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worksheets/sheet4.xml" ContentType="application/vnd.openxmlformats-officedocument.spreadsheetml.worksheet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worksheets/sheet5.xml" ContentType="application/vnd.openxmlformats-officedocument.spreadsheetml.worksheet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6.xml" ContentType="application/vnd.openxmlformats-officedocument.spreadsheetml.pivotTable+xml"/>
  <Override PartName="/xl/worksheets/sheet6.xml" ContentType="application/vnd.openxmlformats-officedocument.spreadsheetml.worksheet+xml"/>
  <Override PartName="/xl/pivotCache/pivotCacheRecords3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Tables/pivotTable7.xml" ContentType="application/vnd.openxmlformats-officedocument.spreadsheetml.pivotTable+xml"/>
  <Override PartName="/xl/worksheets/sheet7.xml" ContentType="application/vnd.openxmlformats-officedocument.spreadsheetml.worksheet+xml"/>
  <Override PartName="/xl/pivotTables/pivotTable8.xml" ContentType="application/vnd.openxmlformats-officedocument.spreadsheetml.pivotTable+xml"/>
  <Override PartName="/xl/worksheets/sheet8.xml" ContentType="application/vnd.openxmlformats-officedocument.spreadsheetml.worksheet+xml"/>
  <Override PartName="/xl/comments/comment1.xml" ContentType="application/vnd.openxmlformats-officedocument.spreadsheetml.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19392" windowHeight="10392" tabRatio="699" firstSheet="3" activeTab="7" autoFilterDateGrouping="1"/>
  </bookViews>
  <sheets>
    <sheet xmlns:r="http://schemas.openxmlformats.org/officeDocument/2006/relationships" name="상품별-그래프" sheetId="1" state="visible" r:id="rId1"/>
    <sheet xmlns:r="http://schemas.openxmlformats.org/officeDocument/2006/relationships" name="상세 상품별 실적" sheetId="2" state="visible" r:id="rId2"/>
    <sheet xmlns:r="http://schemas.openxmlformats.org/officeDocument/2006/relationships" name="상품별-피벗" sheetId="3" state="visible" r:id="rId3"/>
    <sheet xmlns:r="http://schemas.openxmlformats.org/officeDocument/2006/relationships" name="채널별-피벗" sheetId="4" state="visible" r:id="rId4"/>
    <sheet xmlns:r="http://schemas.openxmlformats.org/officeDocument/2006/relationships" name="월실적(선형)" sheetId="5" state="visible" r:id="rId5"/>
    <sheet xmlns:r="http://schemas.openxmlformats.org/officeDocument/2006/relationships" name="광고비" sheetId="6" state="visible" r:id="rId6"/>
    <sheet xmlns:r="http://schemas.openxmlformats.org/officeDocument/2006/relationships" name="제품별 매출" sheetId="7" state="visible" r:id="rId7"/>
    <sheet xmlns:r="http://schemas.openxmlformats.org/officeDocument/2006/relationships" name="RD" sheetId="8" state="visible" r:id="rId8"/>
    <sheet xmlns:r="http://schemas.openxmlformats.org/officeDocument/2006/relationships" name="매칭테이블" sheetId="9" state="visible" r:id="rId9"/>
    <sheet xmlns:r="http://schemas.openxmlformats.org/officeDocument/2006/relationships" name="Sheet1" sheetId="10" state="visible" r:id="rId10"/>
  </sheets>
  <definedNames>
    <definedName name="_xlnm._FilterDatabase" localSheetId="7" hidden="1">'RD'!$B$1:$P$2718</definedName>
  </definedNames>
  <calcPr calcId="191029" fullCalcOnLoad="1"/>
  <pivotCaches>
    <pivotCache xmlns:r="http://schemas.openxmlformats.org/officeDocument/2006/relationships" cacheId="7" r:id="rId11"/>
    <pivotCache xmlns:r="http://schemas.openxmlformats.org/officeDocument/2006/relationships" cacheId="6" r:id="rId12"/>
    <pivotCache xmlns:r="http://schemas.openxmlformats.org/officeDocument/2006/relationships" cacheId="5" r:id="rId13"/>
  </pivotCaches>
</workbook>
</file>

<file path=xl/styles.xml><?xml version="1.0" encoding="utf-8"?>
<styleSheet xmlns="http://schemas.openxmlformats.org/spreadsheetml/2006/main">
  <numFmts count="5">
    <numFmt numFmtId="164" formatCode="#,##0_ "/>
    <numFmt numFmtId="165" formatCode="_-* #,##0_-;\-* #,##0_-;_-* &quot;-&quot;_-;_-@_-"/>
    <numFmt numFmtId="166" formatCode="mm&quot;월&quot;\ dd&quot;일&quot;"/>
    <numFmt numFmtId="167" formatCode="yyyy\-mm\-dd"/>
    <numFmt numFmtId="168" formatCode="0_ "/>
  </numFmts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11"/>
      <scheme val="major"/>
    </font>
    <font>
      <name val="맑은 고딕"/>
      <charset val="129"/>
      <family val="3"/>
      <color rgb="FF1155CC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"/>
        <bgColor indexed="64"/>
      </patternFill>
    </fill>
  </fills>
  <borders count="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2" fillId="0" borderId="0" applyAlignment="1">
      <alignment vertical="center"/>
    </xf>
    <xf numFmtId="41" fontId="2" fillId="0" borderId="0" applyAlignment="1">
      <alignment vertical="center"/>
    </xf>
  </cellStyleXfs>
  <cellXfs count="56">
    <xf numFmtId="0" fontId="0" fillId="0" borderId="0" applyAlignment="1" pivotButton="0" quotePrefix="0" xfId="0">
      <alignment vertical="center"/>
    </xf>
    <xf numFmtId="0" fontId="0" fillId="0" borderId="0" applyAlignment="1" pivotButton="1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vertical="center"/>
    </xf>
    <xf numFmtId="9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165" fontId="0" fillId="0" borderId="0" applyAlignment="1" pivotButton="0" quotePrefix="0" xfId="1">
      <alignment vertical="center"/>
    </xf>
    <xf numFmtId="166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horizontal="left" vertical="center"/>
    </xf>
    <xf numFmtId="0" fontId="0" fillId="3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1"/>
    </xf>
    <xf numFmtId="14" fontId="0" fillId="0" borderId="0" applyAlignment="1" pivotButton="0" quotePrefix="0" xfId="0">
      <alignment horizontal="left" vertical="center"/>
    </xf>
    <xf numFmtId="168" fontId="0" fillId="0" borderId="0" applyAlignment="1" pivotButton="0" quotePrefix="0" xfId="0">
      <alignment vertical="center"/>
    </xf>
    <xf numFmtId="3" fontId="0" fillId="0" borderId="0" applyAlignment="1" pivotButton="0" quotePrefix="0" xfId="0">
      <alignment vertical="center"/>
    </xf>
    <xf numFmtId="3" fontId="0" fillId="0" borderId="0" applyAlignment="1" pivotButton="0" quotePrefix="0" xfId="0">
      <alignment vertical="center" wrapText="1"/>
    </xf>
    <xf numFmtId="3" fontId="3" fillId="0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10" fontId="0" fillId="0" borderId="1" applyAlignment="1" pivotButton="0" quotePrefix="0" xfId="0">
      <alignment vertical="center"/>
    </xf>
    <xf numFmtId="3" fontId="3" fillId="0" borderId="0" applyAlignment="1" pivotButton="0" quotePrefix="0" xfId="0">
      <alignment horizontal="right" wrapText="1"/>
    </xf>
    <xf numFmtId="3" fontId="4" fillId="0" borderId="0" applyAlignment="1" pivotButton="0" quotePrefix="0" xfId="0">
      <alignment horizontal="right" wrapText="1"/>
    </xf>
    <xf numFmtId="0" fontId="0" fillId="0" borderId="2" applyAlignment="1" pivotButton="0" quotePrefix="0" xfId="0">
      <alignment vertical="center"/>
    </xf>
    <xf numFmtId="3" fontId="4" fillId="0" borderId="2" applyAlignment="1" pivotButton="0" quotePrefix="0" xfId="0">
      <alignment horizontal="right" wrapText="1"/>
    </xf>
    <xf numFmtId="0" fontId="0" fillId="0" borderId="3" applyAlignment="1" pivotButton="0" quotePrefix="0" xfId="0">
      <alignment vertical="center"/>
    </xf>
    <xf numFmtId="3" fontId="3" fillId="4" borderId="4" applyAlignment="1" pivotButton="0" quotePrefix="0" xfId="0">
      <alignment horizontal="right" wrapText="1"/>
    </xf>
    <xf numFmtId="3" fontId="3" fillId="4" borderId="0" applyAlignment="1" pivotButton="0" quotePrefix="0" xfId="0">
      <alignment horizontal="right" wrapText="1"/>
    </xf>
    <xf numFmtId="3" fontId="3" fillId="4" borderId="5" applyAlignment="1" pivotButton="0" quotePrefix="0" xfId="0">
      <alignment horizontal="right" wrapText="1"/>
    </xf>
    <xf numFmtId="3" fontId="3" fillId="4" borderId="6" applyAlignment="1" pivotButton="0" quotePrefix="0" xfId="0">
      <alignment horizontal="right" wrapText="1"/>
    </xf>
    <xf numFmtId="0" fontId="0" fillId="5" borderId="0" applyAlignment="1" pivotButton="0" quotePrefix="0" xfId="0">
      <alignment vertical="center"/>
    </xf>
    <xf numFmtId="168" fontId="0" fillId="5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1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168" fontId="5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5" fontId="0" fillId="0" borderId="0" applyAlignment="1" pivotButton="0" quotePrefix="0" xfId="1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1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8" fontId="0" fillId="5" borderId="0" applyAlignment="1" pivotButton="0" quotePrefix="0" xfId="0">
      <alignment vertical="center"/>
    </xf>
    <xf numFmtId="167" fontId="0" fillId="0" borderId="0" applyAlignment="1" pivotButton="0" quotePrefix="0" xfId="0">
      <alignment horizontal="left" vertical="center"/>
    </xf>
    <xf numFmtId="168" fontId="5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2">
    <cellStyle name="표준" xfId="0" builtinId="0"/>
    <cellStyle name="쉼표 [0]" xfId="1" builtinId="6"/>
  </cellStyles>
  <dxfs count="2"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pivotCacheDefinition" Target="/xl/pivotCache/pivotCacheDefinition1.xml" Id="rId11"/><Relationship Type="http://schemas.openxmlformats.org/officeDocument/2006/relationships/pivotCacheDefinition" Target="/xl/pivotCache/pivotCacheDefinition2.xml" Id="rId12"/><Relationship Type="http://schemas.openxmlformats.org/officeDocument/2006/relationships/pivotCacheDefinition" Target="/xl/pivotCache/pivotCacheDefinition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charts/chart1.xml><?xml version="1.0" encoding="utf-8"?>
<chartSpace xmlns="http://schemas.openxmlformats.org/drawingml/2006/chart">
  <pivotSource>
    <name>[02.유즈_이지어드민_데이터 정리_헤더변경 ★.xlsx]상품별-피벗!피벗 테이블2</name>
    <fmtId val="3"/>
  </pivotSource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4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 i="1"/>
              <a:t>상품별 판매 수량</a:t>
            </a:r>
            <a:r>
              <a:rPr lang="en-US" altLang="ko-KR" b="1" i="1"/>
              <a:t xml:space="preserve">(CS, </a:t>
            </a:r>
            <a:r>
              <a:rPr lang="ko-KR" altLang="en-US" b="1" i="1"/>
              <a:t>밀리밀 건 제외</a:t>
            </a:r>
            <a:r>
              <a:rPr lang="en-US" altLang="ko-KR" b="1" i="1"/>
              <a:t>)</a:t>
            </a:r>
            <a:endParaRPr lang="ko-KR" altLang="en-US" b="1" i="1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4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title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1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1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1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1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1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1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1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1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1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1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2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2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2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2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2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2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2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2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2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2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3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3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3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3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3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3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3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3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3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3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4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4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4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4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4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4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solidFill xmlns:a="http://schemas.openxmlformats.org/drawingml/2006/main">
              <a:schemeClr val="accent1"/>
            </a:solidFill>
            <a:ln xmlns:a="http://schemas.openxmlformats.org/drawingml/2006/main" w="9525">
              <a:solidFill>
                <a:schemeClr val="accent1"/>
              </a:solidFill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4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4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solidFill xmlns:a="http://schemas.openxmlformats.org/drawingml/2006/main">
              <a:schemeClr val="accent1"/>
            </a:solidFill>
            <a:ln xmlns:a="http://schemas.openxmlformats.org/drawingml/2006/main" w="9525">
              <a:solidFill>
                <a:schemeClr val="accent1"/>
              </a:solidFill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4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4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solidFill xmlns:a="http://schemas.openxmlformats.org/drawingml/2006/main">
              <a:schemeClr val="accent1"/>
            </a:solidFill>
            <a:ln xmlns:a="http://schemas.openxmlformats.org/drawingml/2006/main" w="9525">
              <a:solidFill>
                <a:schemeClr val="accent1"/>
              </a:solidFill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5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5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solidFill xmlns:a="http://schemas.openxmlformats.org/drawingml/2006/main">
              <a:schemeClr val="accent1"/>
            </a:solidFill>
            <a:ln xmlns:a="http://schemas.openxmlformats.org/drawingml/2006/main" w="9525">
              <a:solidFill>
                <a:schemeClr val="accent1"/>
              </a:solidFill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1"/>
          <showVal val="1"/>
          <showCatName val="1"/>
          <showSerName val="1"/>
          <showPercent val="1"/>
          <showBubbleSize val="1"/>
        </dLbl>
      </pivotFmt>
      <pivotFmt>
        <idx val="5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5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5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5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5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5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5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5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</pivotFmts>
    <plotArea>
      <layout/>
      <barChart>
        <barDir val="col"/>
        <grouping val="stacked"/>
        <varyColors val="0"/>
        <ser>
          <idx val="0"/>
          <order val="0"/>
          <tx>
            <strRef>
              <f>'상품별-피벗'!$D$3:$D$4</f>
              <strCache>
                <ptCount val="1"/>
                <pt idx="0">
                  <v>고체향수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multiLvlStrRef>
              <multiLvlStrCache>
                <lvl>
                  <pt idx="0">
                    <v>금</v>
                  </pt>
                  <pt idx="1">
                    <v>토</v>
                  </pt>
                  <pt idx="2">
                    <v>화</v>
                  </pt>
                  <pt idx="3">
                    <v>수</v>
                  </pt>
                  <pt idx="4">
                    <v>목</v>
                  </pt>
                  <pt idx="5">
                    <v>금</v>
                  </pt>
                  <pt idx="6">
                    <v>토</v>
                  </pt>
                  <pt idx="7">
                    <v>일</v>
                  </pt>
                  <pt idx="8">
                    <v>월</v>
                  </pt>
                  <pt idx="9">
                    <v>화</v>
                  </pt>
                  <pt idx="10">
                    <v>수</v>
                  </pt>
                  <pt idx="11">
                    <v>목</v>
                  </pt>
                  <pt idx="12">
                    <v>금</v>
                  </pt>
                  <pt idx="13">
                    <v>토</v>
                  </pt>
                  <pt idx="14">
                    <v>일</v>
                  </pt>
                  <pt idx="15">
                    <v>월</v>
                  </pt>
                  <pt idx="16">
                    <v>화</v>
                  </pt>
                  <pt idx="17">
                    <v>수</v>
                  </pt>
                  <pt idx="18">
                    <v>목</v>
                  </pt>
                  <pt idx="19">
                    <v>금</v>
                  </pt>
                  <pt idx="20">
                    <v>토</v>
                  </pt>
                  <pt idx="21">
                    <v>일</v>
                  </pt>
                  <pt idx="22">
                    <v>월</v>
                  </pt>
                  <pt idx="23">
                    <v>화</v>
                  </pt>
                  <pt idx="24">
                    <v>수</v>
                  </pt>
                  <pt idx="25">
                    <v>목</v>
                  </pt>
                  <pt idx="26">
                    <v>금</v>
                  </pt>
                  <pt idx="27">
                    <v>토</v>
                  </pt>
                  <pt idx="28">
                    <v>일</v>
                  </pt>
                  <pt idx="29">
                    <v>월</v>
                  </pt>
                  <pt idx="30">
                    <v>화</v>
                  </pt>
                  <pt idx="31">
                    <v>수</v>
                  </pt>
                  <pt idx="32">
                    <v>목</v>
                  </pt>
                  <pt idx="33">
                    <v>금</v>
                  </pt>
                  <pt idx="34">
                    <v>토</v>
                  </pt>
                  <pt idx="35">
                    <v>일</v>
                  </pt>
                  <pt idx="36">
                    <v>월</v>
                  </pt>
                  <pt idx="37">
                    <v>화</v>
                  </pt>
                  <pt idx="38">
                    <v>수</v>
                  </pt>
                  <pt idx="39">
                    <v>목</v>
                  </pt>
                  <pt idx="40">
                    <v>금</v>
                  </pt>
                  <pt idx="41">
                    <v>토</v>
                  </pt>
                  <pt idx="42">
                    <v>일</v>
                  </pt>
                  <pt idx="43">
                    <v>월</v>
                  </pt>
                  <pt idx="44">
                    <v>화</v>
                  </pt>
                  <pt idx="45">
                    <v>수</v>
                  </pt>
                  <pt idx="46">
                    <v>목</v>
                  </pt>
                  <pt idx="47">
                    <v>금</v>
                  </pt>
                  <pt idx="48">
                    <v>토</v>
                  </pt>
                  <pt idx="49">
                    <v>일</v>
                  </pt>
                  <pt idx="50">
                    <v>월</v>
                  </pt>
                  <pt idx="51">
                    <v>화</v>
                  </pt>
                  <pt idx="52">
                    <v>수</v>
                  </pt>
                  <pt idx="53">
                    <v>목</v>
                  </pt>
                  <pt idx="54">
                    <v>금</v>
                  </pt>
                  <pt idx="55">
                    <v>토</v>
                  </pt>
                  <pt idx="56">
                    <v>일</v>
                  </pt>
                  <pt idx="57">
                    <v>월</v>
                  </pt>
                  <pt idx="58">
                    <v>화</v>
                  </pt>
                  <pt idx="59">
                    <v>수</v>
                  </pt>
                  <pt idx="60">
                    <v>목</v>
                  </pt>
                  <pt idx="61">
                    <v>금</v>
                  </pt>
                  <pt idx="62">
                    <v>토</v>
                  </pt>
                  <pt idx="63">
                    <v>일</v>
                  </pt>
                  <pt idx="64">
                    <v>월</v>
                  </pt>
                  <pt idx="65">
                    <v>화</v>
                  </pt>
                  <pt idx="66">
                    <v>수</v>
                  </pt>
                  <pt idx="67">
                    <v>목</v>
                  </pt>
                  <pt idx="68">
                    <v>금</v>
                  </pt>
                  <pt idx="69">
                    <v>토</v>
                  </pt>
                  <pt idx="70">
                    <v>일</v>
                  </pt>
                  <pt idx="71">
                    <v>월</v>
                  </pt>
                  <pt idx="72">
                    <v>화</v>
                  </pt>
                  <pt idx="73">
                    <v>수</v>
                  </pt>
                  <pt idx="74">
                    <v>목</v>
                  </pt>
                  <pt idx="75">
                    <v>금</v>
                  </pt>
                  <pt idx="76">
                    <v>토</v>
                  </pt>
                  <pt idx="77">
                    <v>일</v>
                  </pt>
                  <pt idx="78">
                    <v>월</v>
                  </pt>
                  <pt idx="79">
                    <v>화</v>
                  </pt>
                  <pt idx="80">
                    <v>수</v>
                  </pt>
                  <pt idx="81">
                    <v>목</v>
                  </pt>
                  <pt idx="82">
                    <v>금</v>
                  </pt>
                  <pt idx="83">
                    <v>토</v>
                  </pt>
                  <pt idx="84">
                    <v>일</v>
                  </pt>
                  <pt idx="85">
                    <v>월</v>
                  </pt>
                  <pt idx="86">
                    <v>화</v>
                  </pt>
                  <pt idx="87">
                    <v>수</v>
                  </pt>
                  <pt idx="88">
                    <v>목</v>
                  </pt>
                  <pt idx="89">
                    <v>금</v>
                  </pt>
                  <pt idx="90">
                    <v>토</v>
                  </pt>
                  <pt idx="91">
                    <v>일</v>
                  </pt>
                  <pt idx="92">
                    <v>월</v>
                  </pt>
                  <pt idx="93">
                    <v>화</v>
                  </pt>
                  <pt idx="94">
                    <v>수</v>
                  </pt>
                  <pt idx="95">
                    <v>목</v>
                  </pt>
                  <pt idx="96">
                    <v>금</v>
                  </pt>
                  <pt idx="97">
                    <v>토</v>
                  </pt>
                  <pt idx="98">
                    <v>일</v>
                  </pt>
                  <pt idx="99">
                    <v>월</v>
                  </pt>
                  <pt idx="100">
                    <v>화</v>
                  </pt>
                  <pt idx="101">
                    <v>수</v>
                  </pt>
                  <pt idx="102">
                    <v>목</v>
                  </pt>
                  <pt idx="103">
                    <v>금</v>
                  </pt>
                  <pt idx="104">
                    <v>토</v>
                  </pt>
                  <pt idx="105">
                    <v>일</v>
                  </pt>
                  <pt idx="106">
                    <v>월</v>
                  </pt>
                  <pt idx="107">
                    <v>화</v>
                  </pt>
                  <pt idx="108">
                    <v>수</v>
                  </pt>
                  <pt idx="109">
                    <v>목</v>
                  </pt>
                  <pt idx="110">
                    <v>금</v>
                  </pt>
                  <pt idx="111">
                    <v>토</v>
                  </pt>
                  <pt idx="112">
                    <v>일</v>
                  </pt>
                  <pt idx="113">
                    <v>월</v>
                  </pt>
                  <pt idx="114">
                    <v>화</v>
                  </pt>
                  <pt idx="115">
                    <v>수</v>
                  </pt>
                  <pt idx="116">
                    <v>목</v>
                  </pt>
                  <pt idx="117">
                    <v>금</v>
                  </pt>
                  <pt idx="118">
                    <v>토</v>
                  </pt>
                  <pt idx="119">
                    <v>일</v>
                  </pt>
                  <pt idx="120">
                    <v>월</v>
                  </pt>
                  <pt idx="121">
                    <v>화</v>
                  </pt>
                  <pt idx="122">
                    <v>수</v>
                  </pt>
                  <pt idx="123">
                    <v>목</v>
                  </pt>
                  <pt idx="124">
                    <v>금</v>
                  </pt>
                  <pt idx="125">
                    <v>토</v>
                  </pt>
                  <pt idx="126">
                    <v>일</v>
                  </pt>
                  <pt idx="127">
                    <v>월</v>
                  </pt>
                  <pt idx="128">
                    <v>화</v>
                  </pt>
                  <pt idx="129">
                    <v>수</v>
                  </pt>
                  <pt idx="130">
                    <v>목</v>
                  </pt>
                  <pt idx="131">
                    <v>금</v>
                  </pt>
                  <pt idx="132">
                    <v>토</v>
                  </pt>
                  <pt idx="133">
                    <v>일</v>
                  </pt>
                  <pt idx="134">
                    <v>월</v>
                  </pt>
                  <pt idx="135">
                    <v>화</v>
                  </pt>
                  <pt idx="136">
                    <v>수</v>
                  </pt>
                  <pt idx="137">
                    <v>목</v>
                  </pt>
                  <pt idx="138">
                    <v>금</v>
                  </pt>
                  <pt idx="139">
                    <v>토</v>
                  </pt>
                  <pt idx="140">
                    <v>일</v>
                  </pt>
                  <pt idx="141">
                    <v>월</v>
                  </pt>
                  <pt idx="142">
                    <v>화</v>
                  </pt>
                  <pt idx="143">
                    <v>수</v>
                  </pt>
                  <pt idx="144">
                    <v>목</v>
                  </pt>
                  <pt idx="145">
                    <v>금</v>
                  </pt>
                  <pt idx="146">
                    <v>토</v>
                  </pt>
                  <pt idx="147">
                    <v>일</v>
                  </pt>
                  <pt idx="148">
                    <v>월</v>
                  </pt>
                  <pt idx="149">
                    <v>화</v>
                  </pt>
                  <pt idx="150">
                    <v>수</v>
                  </pt>
                  <pt idx="151">
                    <v>목</v>
                  </pt>
                  <pt idx="152">
                    <v>금</v>
                  </pt>
                  <pt idx="153">
                    <v>토</v>
                  </pt>
                  <pt idx="154">
                    <v>일</v>
                  </pt>
                  <pt idx="155">
                    <v>월</v>
                  </pt>
                  <pt idx="156">
                    <v>화</v>
                  </pt>
                  <pt idx="157">
                    <v>수</v>
                  </pt>
                  <pt idx="158">
                    <v>목</v>
                  </pt>
                  <pt idx="159">
                    <v>금</v>
                  </pt>
                  <pt idx="160">
                    <v>토</v>
                  </pt>
                  <pt idx="161">
                    <v>일</v>
                  </pt>
                  <pt idx="162">
                    <v>월</v>
                  </pt>
                  <pt idx="163">
                    <v>화</v>
                  </pt>
                  <pt idx="164">
                    <v>수</v>
                  </pt>
                  <pt idx="165">
                    <v>목</v>
                  </pt>
                  <pt idx="166">
                    <v>금</v>
                  </pt>
                  <pt idx="167">
                    <v>토</v>
                  </pt>
                  <pt idx="168">
                    <v>일</v>
                  </pt>
                  <pt idx="169">
                    <v>월</v>
                  </pt>
                  <pt idx="170">
                    <v>화</v>
                  </pt>
                  <pt idx="171">
                    <v>수</v>
                  </pt>
                  <pt idx="172">
                    <v>목</v>
                  </pt>
                  <pt idx="173">
                    <v>금</v>
                  </pt>
                  <pt idx="174">
                    <v>토</v>
                  </pt>
                  <pt idx="175">
                    <v>일</v>
                  </pt>
                  <pt idx="176">
                    <v>월</v>
                  </pt>
                  <pt idx="177">
                    <v>화</v>
                  </pt>
                  <pt idx="178">
                    <v>수</v>
                  </pt>
                  <pt idx="179">
                    <v>목</v>
                  </pt>
                  <pt idx="180">
                    <v>금</v>
                  </pt>
                  <pt idx="181">
                    <v>토</v>
                  </pt>
                  <pt idx="182">
                    <v>일</v>
                  </pt>
                  <pt idx="183">
                    <v>월</v>
                  </pt>
                  <pt idx="184">
                    <v>화</v>
                  </pt>
                  <pt idx="185">
                    <v>수</v>
                  </pt>
                  <pt idx="186">
                    <v>목</v>
                  </pt>
                  <pt idx="187">
                    <v>금</v>
                  </pt>
                  <pt idx="188">
                    <v>토</v>
                  </pt>
                  <pt idx="189">
                    <v>일</v>
                  </pt>
                  <pt idx="190">
                    <v>월</v>
                  </pt>
                  <pt idx="191">
                    <v>화</v>
                  </pt>
                  <pt idx="192">
                    <v>수</v>
                  </pt>
                  <pt idx="193">
                    <v>목</v>
                  </pt>
                  <pt idx="194">
                    <v>금</v>
                  </pt>
                  <pt idx="195">
                    <v>토</v>
                  </pt>
                  <pt idx="196">
                    <v>일</v>
                  </pt>
                  <pt idx="197">
                    <v>월</v>
                  </pt>
                  <pt idx="198">
                    <v>화</v>
                  </pt>
                  <pt idx="199">
                    <v>수</v>
                  </pt>
                  <pt idx="200">
                    <v>목</v>
                  </pt>
                  <pt idx="201">
                    <v>금</v>
                  </pt>
                  <pt idx="202">
                    <v>토</v>
                  </pt>
                  <pt idx="203">
                    <v>일</v>
                  </pt>
                  <pt idx="204">
                    <v>월</v>
                  </pt>
                  <pt idx="205">
                    <v>화</v>
                  </pt>
                  <pt idx="206">
                    <v>수</v>
                  </pt>
                  <pt idx="207">
                    <v>목</v>
                  </pt>
                  <pt idx="208">
                    <v>금</v>
                  </pt>
                  <pt idx="209">
                    <v>토</v>
                  </pt>
                  <pt idx="210">
                    <v>일</v>
                  </pt>
                  <pt idx="211">
                    <v>월</v>
                  </pt>
                  <pt idx="212">
                    <v>화</v>
                  </pt>
                  <pt idx="213">
                    <v>수</v>
                  </pt>
                  <pt idx="214">
                    <v>목</v>
                  </pt>
                  <pt idx="215">
                    <v>금</v>
                  </pt>
                  <pt idx="216">
                    <v>토</v>
                  </pt>
                  <pt idx="217">
                    <v>일</v>
                  </pt>
                  <pt idx="218">
                    <v>월</v>
                  </pt>
                  <pt idx="219">
                    <v>화</v>
                  </pt>
                  <pt idx="220">
                    <v>수</v>
                  </pt>
                  <pt idx="221">
                    <v>목</v>
                  </pt>
                  <pt idx="222">
                    <v>금</v>
                  </pt>
                  <pt idx="223">
                    <v>토</v>
                  </pt>
                  <pt idx="224">
                    <v>일</v>
                  </pt>
                  <pt idx="225">
                    <v>월</v>
                  </pt>
                  <pt idx="226">
                    <v>화</v>
                  </pt>
                  <pt idx="227">
                    <v>수</v>
                  </pt>
                  <pt idx="228">
                    <v>목</v>
                  </pt>
                  <pt idx="229">
                    <v>금</v>
                  </pt>
                  <pt idx="230">
                    <v>토</v>
                  </pt>
                  <pt idx="231">
                    <v>일</v>
                  </pt>
                  <pt idx="232">
                    <v>월</v>
                  </pt>
                  <pt idx="233">
                    <v>화</v>
                  </pt>
                  <pt idx="234">
                    <v>수</v>
                  </pt>
                  <pt idx="235">
                    <v>목</v>
                  </pt>
                  <pt idx="236">
                    <v>금</v>
                  </pt>
                  <pt idx="237">
                    <v>토</v>
                  </pt>
                  <pt idx="238">
                    <v>일</v>
                  </pt>
                  <pt idx="239">
                    <v>월</v>
                  </pt>
                  <pt idx="240">
                    <v>화</v>
                  </pt>
                  <pt idx="241">
                    <v>수</v>
                  </pt>
                  <pt idx="242">
                    <v>목</v>
                  </pt>
                  <pt idx="243">
                    <v>금</v>
                  </pt>
                  <pt idx="244">
                    <v>토</v>
                  </pt>
                  <pt idx="245">
                    <v>일</v>
                  </pt>
                  <pt idx="246">
                    <v>월</v>
                  </pt>
                  <pt idx="247">
                    <v>화</v>
                  </pt>
                  <pt idx="248">
                    <v>수</v>
                  </pt>
                  <pt idx="249">
                    <v>목</v>
                  </pt>
                  <pt idx="250">
                    <v>금</v>
                  </pt>
                  <pt idx="251">
                    <v>토</v>
                  </pt>
                  <pt idx="252">
                    <v>일</v>
                  </pt>
                  <pt idx="253">
                    <v>월</v>
                  </pt>
                  <pt idx="254">
                    <v>화</v>
                  </pt>
                  <pt idx="255">
                    <v>수</v>
                  </pt>
                  <pt idx="256">
                    <v>목</v>
                  </pt>
                  <pt idx="257">
                    <v>금</v>
                  </pt>
                  <pt idx="258">
                    <v>토</v>
                  </pt>
                  <pt idx="259">
                    <v>일</v>
                  </pt>
                  <pt idx="260">
                    <v>월</v>
                  </pt>
                  <pt idx="261">
                    <v>화</v>
                  </pt>
                </lvl>
                <lvl>
                  <pt idx="0">
                    <v>2020-05-22</v>
                  </pt>
                  <pt idx="1">
                    <v>2020-05-23</v>
                  </pt>
                  <pt idx="2">
                    <v>2020-05-26</v>
                  </pt>
                  <pt idx="3">
                    <v>2020-05-27</v>
                  </pt>
                  <pt idx="4">
                    <v>2020-05-28</v>
                  </pt>
                  <pt idx="5">
                    <v>2020-05-29</v>
                  </pt>
                  <pt idx="6">
                    <v>2020-05-30</v>
                  </pt>
                  <pt idx="7">
                    <v>2020-05-31</v>
                  </pt>
                  <pt idx="8">
                    <v>2020-06-01</v>
                  </pt>
                  <pt idx="9">
                    <v>2020-06-02</v>
                  </pt>
                  <pt idx="10">
                    <v>2020-06-03</v>
                  </pt>
                  <pt idx="11">
                    <v>2020-06-04</v>
                  </pt>
                  <pt idx="12">
                    <v>2020-06-05</v>
                  </pt>
                  <pt idx="13">
                    <v>2020-06-06</v>
                  </pt>
                  <pt idx="14">
                    <v>2020-06-07</v>
                  </pt>
                  <pt idx="15">
                    <v>2020-06-08</v>
                  </pt>
                  <pt idx="16">
                    <v>2020-06-09</v>
                  </pt>
                  <pt idx="17">
                    <v>2020-06-10</v>
                  </pt>
                  <pt idx="18">
                    <v>2020-06-11</v>
                  </pt>
                  <pt idx="19">
                    <v>2020-06-12</v>
                  </pt>
                  <pt idx="20">
                    <v>2020-06-13</v>
                  </pt>
                  <pt idx="21">
                    <v>2020-06-14</v>
                  </pt>
                  <pt idx="22">
                    <v>2020-06-15</v>
                  </pt>
                  <pt idx="23">
                    <v>2020-06-16</v>
                  </pt>
                  <pt idx="24">
                    <v>2020-06-17</v>
                  </pt>
                  <pt idx="25">
                    <v>2020-06-18</v>
                  </pt>
                  <pt idx="26">
                    <v>2020-06-19</v>
                  </pt>
                  <pt idx="27">
                    <v>2020-06-20</v>
                  </pt>
                  <pt idx="28">
                    <v>2020-06-21</v>
                  </pt>
                  <pt idx="29">
                    <v>2020-06-22</v>
                  </pt>
                  <pt idx="30">
                    <v>2020-06-23</v>
                  </pt>
                  <pt idx="31">
                    <v>2020-06-24</v>
                  </pt>
                  <pt idx="32">
                    <v>2020-06-25</v>
                  </pt>
                  <pt idx="33">
                    <v>2020-06-26</v>
                  </pt>
                  <pt idx="34">
                    <v>2020-06-27</v>
                  </pt>
                  <pt idx="35">
                    <v>2020-06-28</v>
                  </pt>
                  <pt idx="36">
                    <v>2020-06-29</v>
                  </pt>
                  <pt idx="37">
                    <v>2020-06-30</v>
                  </pt>
                  <pt idx="38">
                    <v>2020-07-01</v>
                  </pt>
                  <pt idx="39">
                    <v>2020-07-02</v>
                  </pt>
                  <pt idx="40">
                    <v>2020-07-03</v>
                  </pt>
                  <pt idx="41">
                    <v>2020-07-04</v>
                  </pt>
                  <pt idx="42">
                    <v>2020-07-05</v>
                  </pt>
                  <pt idx="43">
                    <v>2020-07-06</v>
                  </pt>
                  <pt idx="44">
                    <v>2020-07-07</v>
                  </pt>
                  <pt idx="45">
                    <v>2020-07-08</v>
                  </pt>
                  <pt idx="46">
                    <v>2020-07-09</v>
                  </pt>
                  <pt idx="47">
                    <v>2020-07-10</v>
                  </pt>
                  <pt idx="48">
                    <v>2020-07-11</v>
                  </pt>
                  <pt idx="49">
                    <v>2020-07-12</v>
                  </pt>
                  <pt idx="50">
                    <v>2020-07-13</v>
                  </pt>
                  <pt idx="51">
                    <v>2020-07-14</v>
                  </pt>
                  <pt idx="52">
                    <v>2020-07-15</v>
                  </pt>
                  <pt idx="53">
                    <v>2020-07-16</v>
                  </pt>
                  <pt idx="54">
                    <v>2020-07-17</v>
                  </pt>
                  <pt idx="55">
                    <v>2020-07-18</v>
                  </pt>
                  <pt idx="56">
                    <v>2020-07-19</v>
                  </pt>
                  <pt idx="57">
                    <v>2020-07-20</v>
                  </pt>
                  <pt idx="58">
                    <v>2020-07-21</v>
                  </pt>
                  <pt idx="59">
                    <v>2020-07-22</v>
                  </pt>
                  <pt idx="60">
                    <v>2020-07-23</v>
                  </pt>
                  <pt idx="61">
                    <v>2020-07-24</v>
                  </pt>
                  <pt idx="62">
                    <v>2020-07-25</v>
                  </pt>
                  <pt idx="63">
                    <v>2020-07-26</v>
                  </pt>
                  <pt idx="64">
                    <v>2020-07-27</v>
                  </pt>
                  <pt idx="65">
                    <v>2020-07-28</v>
                  </pt>
                  <pt idx="66">
                    <v>2020-07-29</v>
                  </pt>
                  <pt idx="67">
                    <v>2020-07-30</v>
                  </pt>
                  <pt idx="68">
                    <v>2020-07-31</v>
                  </pt>
                  <pt idx="69">
                    <v>2020-08-01</v>
                  </pt>
                  <pt idx="70">
                    <v>2020-08-02</v>
                  </pt>
                  <pt idx="71">
                    <v>2020-08-03</v>
                  </pt>
                  <pt idx="72">
                    <v>2020-08-04</v>
                  </pt>
                  <pt idx="73">
                    <v>2020-08-05</v>
                  </pt>
                  <pt idx="74">
                    <v>2020-08-06</v>
                  </pt>
                  <pt idx="75">
                    <v>2020-08-07</v>
                  </pt>
                  <pt idx="76">
                    <v>2020-08-08</v>
                  </pt>
                  <pt idx="77">
                    <v>2020-08-09</v>
                  </pt>
                  <pt idx="78">
                    <v>2020-08-10</v>
                  </pt>
                  <pt idx="79">
                    <v>2020-08-11</v>
                  </pt>
                  <pt idx="80">
                    <v>2020-08-12</v>
                  </pt>
                  <pt idx="81">
                    <v>2020-08-13</v>
                  </pt>
                  <pt idx="82">
                    <v>2020-08-14</v>
                  </pt>
                  <pt idx="83">
                    <v>2020-08-15</v>
                  </pt>
                  <pt idx="84">
                    <v>2020-08-16</v>
                  </pt>
                  <pt idx="85">
                    <v>2020-08-17</v>
                  </pt>
                  <pt idx="86">
                    <v>2020-08-18</v>
                  </pt>
                  <pt idx="87">
                    <v>2020-08-19</v>
                  </pt>
                  <pt idx="88">
                    <v>2020-08-20</v>
                  </pt>
                  <pt idx="89">
                    <v>2020-08-21</v>
                  </pt>
                  <pt idx="90">
                    <v>2020-08-22</v>
                  </pt>
                  <pt idx="91">
                    <v>2020-08-23</v>
                  </pt>
                  <pt idx="92">
                    <v>2020-08-24</v>
                  </pt>
                  <pt idx="93">
                    <v>2020-08-25</v>
                  </pt>
                  <pt idx="94">
                    <v>2020-08-26</v>
                  </pt>
                  <pt idx="95">
                    <v>2020-08-27</v>
                  </pt>
                  <pt idx="96">
                    <v>2020-08-28</v>
                  </pt>
                  <pt idx="97">
                    <v>2020-08-29</v>
                  </pt>
                  <pt idx="98">
                    <v>2020-08-30</v>
                  </pt>
                  <pt idx="99">
                    <v>2020-08-31</v>
                  </pt>
                  <pt idx="100">
                    <v>2020-09-01</v>
                  </pt>
                  <pt idx="101">
                    <v>2020-09-02</v>
                  </pt>
                  <pt idx="102">
                    <v>2020-09-03</v>
                  </pt>
                  <pt idx="103">
                    <v>2020-09-04</v>
                  </pt>
                  <pt idx="104">
                    <v>2020-09-05</v>
                  </pt>
                  <pt idx="105">
                    <v>2020-09-06</v>
                  </pt>
                  <pt idx="106">
                    <v>2020-09-07</v>
                  </pt>
                  <pt idx="107">
                    <v>2020-09-08</v>
                  </pt>
                  <pt idx="108">
                    <v>2020-09-09</v>
                  </pt>
                  <pt idx="109">
                    <v>2020-09-10</v>
                  </pt>
                  <pt idx="110">
                    <v>2020-09-11</v>
                  </pt>
                  <pt idx="111">
                    <v>2020-09-12</v>
                  </pt>
                  <pt idx="112">
                    <v>2020-09-13</v>
                  </pt>
                  <pt idx="113">
                    <v>2020-09-14</v>
                  </pt>
                  <pt idx="114">
                    <v>2020-09-15</v>
                  </pt>
                  <pt idx="115">
                    <v>2020-09-16</v>
                  </pt>
                  <pt idx="116">
                    <v>2020-09-17</v>
                  </pt>
                  <pt idx="117">
                    <v>2020-09-18</v>
                  </pt>
                  <pt idx="118">
                    <v>2020-09-19</v>
                  </pt>
                  <pt idx="119">
                    <v>2020-09-20</v>
                  </pt>
                  <pt idx="120">
                    <v>2020-09-21</v>
                  </pt>
                  <pt idx="121">
                    <v>2020-09-22</v>
                  </pt>
                  <pt idx="122">
                    <v>2020-09-23</v>
                  </pt>
                  <pt idx="123">
                    <v>2020-09-24</v>
                  </pt>
                  <pt idx="124">
                    <v>2020-09-25</v>
                  </pt>
                  <pt idx="125">
                    <v>2020-09-26</v>
                  </pt>
                  <pt idx="126">
                    <v>2020-09-27</v>
                  </pt>
                  <pt idx="127">
                    <v>2020-09-28</v>
                  </pt>
                  <pt idx="128">
                    <v>2020-09-29</v>
                  </pt>
                  <pt idx="129">
                    <v>2020-09-30</v>
                  </pt>
                  <pt idx="130">
                    <v>2020-10-01</v>
                  </pt>
                  <pt idx="131">
                    <v>2020-10-02</v>
                  </pt>
                  <pt idx="132">
                    <v>2020-10-03</v>
                  </pt>
                  <pt idx="133">
                    <v>2020-10-04</v>
                  </pt>
                  <pt idx="134">
                    <v>2020-10-05</v>
                  </pt>
                  <pt idx="135">
                    <v>2020-10-06</v>
                  </pt>
                  <pt idx="136">
                    <v>2020-10-07</v>
                  </pt>
                  <pt idx="137">
                    <v>2020-10-08</v>
                  </pt>
                  <pt idx="138">
                    <v>2020-10-09</v>
                  </pt>
                  <pt idx="139">
                    <v>2020-10-10</v>
                  </pt>
                  <pt idx="140">
                    <v>2020-10-11</v>
                  </pt>
                  <pt idx="141">
                    <v>2020-10-12</v>
                  </pt>
                  <pt idx="142">
                    <v>2020-10-13</v>
                  </pt>
                  <pt idx="143">
                    <v>2020-10-14</v>
                  </pt>
                  <pt idx="144">
                    <v>2020-10-15</v>
                  </pt>
                  <pt idx="145">
                    <v>2020-10-16</v>
                  </pt>
                  <pt idx="146">
                    <v>2020-10-17</v>
                  </pt>
                  <pt idx="147">
                    <v>2020-10-18</v>
                  </pt>
                  <pt idx="148">
                    <v>2020-10-19</v>
                  </pt>
                  <pt idx="149">
                    <v>2020-10-20</v>
                  </pt>
                  <pt idx="150">
                    <v>2020-10-21</v>
                  </pt>
                  <pt idx="151">
                    <v>2020-10-22</v>
                  </pt>
                  <pt idx="152">
                    <v>2020-10-23</v>
                  </pt>
                  <pt idx="153">
                    <v>2020-10-24</v>
                  </pt>
                  <pt idx="154">
                    <v>2020-10-25</v>
                  </pt>
                  <pt idx="155">
                    <v>2020-10-26</v>
                  </pt>
                  <pt idx="156">
                    <v>2020-10-27</v>
                  </pt>
                  <pt idx="157">
                    <v>2020-10-28</v>
                  </pt>
                  <pt idx="158">
                    <v>2020-10-29</v>
                  </pt>
                  <pt idx="159">
                    <v>2020-10-30</v>
                  </pt>
                  <pt idx="160">
                    <v>2020-10-31</v>
                  </pt>
                  <pt idx="161">
                    <v>2020-11-01</v>
                  </pt>
                  <pt idx="162">
                    <v>2020-11-02</v>
                  </pt>
                  <pt idx="163">
                    <v>2020-11-03</v>
                  </pt>
                  <pt idx="164">
                    <v>2020-11-04</v>
                  </pt>
                  <pt idx="165">
                    <v>2020-11-05</v>
                  </pt>
                  <pt idx="166">
                    <v>2020-11-06</v>
                  </pt>
                  <pt idx="167">
                    <v>2020-11-07</v>
                  </pt>
                  <pt idx="168">
                    <v>2020-11-08</v>
                  </pt>
                  <pt idx="169">
                    <v>2020-11-09</v>
                  </pt>
                  <pt idx="170">
                    <v>2020-11-10</v>
                  </pt>
                  <pt idx="171">
                    <v>2020-11-11</v>
                  </pt>
                  <pt idx="172">
                    <v>2020-11-12</v>
                  </pt>
                  <pt idx="173">
                    <v>2020-11-13</v>
                  </pt>
                  <pt idx="174">
                    <v>2020-11-14</v>
                  </pt>
                  <pt idx="175">
                    <v>2020-11-15</v>
                  </pt>
                  <pt idx="176">
                    <v>2020-11-16</v>
                  </pt>
                  <pt idx="177">
                    <v>2020-11-17</v>
                  </pt>
                  <pt idx="178">
                    <v>2020-11-18</v>
                  </pt>
                  <pt idx="179">
                    <v>2020-11-19</v>
                  </pt>
                  <pt idx="180">
                    <v>2020-11-20</v>
                  </pt>
                  <pt idx="181">
                    <v>2020-11-21</v>
                  </pt>
                  <pt idx="182">
                    <v>2020-11-22</v>
                  </pt>
                  <pt idx="183">
                    <v>2020-11-23</v>
                  </pt>
                  <pt idx="184">
                    <v>2020-11-24</v>
                  </pt>
                  <pt idx="185">
                    <v>2020-11-25</v>
                  </pt>
                  <pt idx="186">
                    <v>2020-11-26</v>
                  </pt>
                  <pt idx="187">
                    <v>2020-11-27</v>
                  </pt>
                  <pt idx="188">
                    <v>2020-11-28</v>
                  </pt>
                  <pt idx="189">
                    <v>2020-11-29</v>
                  </pt>
                  <pt idx="190">
                    <v>2020-11-30</v>
                  </pt>
                  <pt idx="191">
                    <v>2020-12-01</v>
                  </pt>
                  <pt idx="192">
                    <v>2020-12-02</v>
                  </pt>
                  <pt idx="193">
                    <v>2020-12-03</v>
                  </pt>
                  <pt idx="194">
                    <v>2020-12-04</v>
                  </pt>
                  <pt idx="195">
                    <v>2020-12-05</v>
                  </pt>
                  <pt idx="196">
                    <v>2020-12-06</v>
                  </pt>
                  <pt idx="197">
                    <v>2020-12-07</v>
                  </pt>
                  <pt idx="198">
                    <v>2020-12-08</v>
                  </pt>
                  <pt idx="199">
                    <v>2020-12-09</v>
                  </pt>
                  <pt idx="200">
                    <v>2020-12-10</v>
                  </pt>
                  <pt idx="201">
                    <v>2020-12-11</v>
                  </pt>
                  <pt idx="202">
                    <v>2020-12-12</v>
                  </pt>
                  <pt idx="203">
                    <v>2020-12-13</v>
                  </pt>
                  <pt idx="204">
                    <v>2020-12-14</v>
                  </pt>
                  <pt idx="205">
                    <v>2020-12-15</v>
                  </pt>
                  <pt idx="206">
                    <v>2020-12-16</v>
                  </pt>
                  <pt idx="207">
                    <v>2020-12-17</v>
                  </pt>
                  <pt idx="208">
                    <v>2020-12-18</v>
                  </pt>
                  <pt idx="209">
                    <v>2020-12-19</v>
                  </pt>
                  <pt idx="210">
                    <v>2020-12-20</v>
                  </pt>
                  <pt idx="211">
                    <v>2020-12-21</v>
                  </pt>
                  <pt idx="212">
                    <v>2020-12-22</v>
                  </pt>
                  <pt idx="213">
                    <v>2020-12-23</v>
                  </pt>
                  <pt idx="214">
                    <v>2020-12-24</v>
                  </pt>
                  <pt idx="215">
                    <v>2020-12-25</v>
                  </pt>
                  <pt idx="216">
                    <v>2020-12-26</v>
                  </pt>
                  <pt idx="217">
                    <v>2020-12-27</v>
                  </pt>
                  <pt idx="218">
                    <v>2020-12-28</v>
                  </pt>
                  <pt idx="219">
                    <v>2020-12-29</v>
                  </pt>
                  <pt idx="220">
                    <v>2020-12-30</v>
                  </pt>
                  <pt idx="221">
                    <v>2020-12-31</v>
                  </pt>
                  <pt idx="222">
                    <v>2021-01-01</v>
                  </pt>
                  <pt idx="223">
                    <v>2021-01-02</v>
                  </pt>
                  <pt idx="224">
                    <v>2021-01-03</v>
                  </pt>
                  <pt idx="225">
                    <v>2021-01-04</v>
                  </pt>
                  <pt idx="226">
                    <v>2021-01-05</v>
                  </pt>
                  <pt idx="227">
                    <v>2021-01-06</v>
                  </pt>
                  <pt idx="228">
                    <v>2021-01-07</v>
                  </pt>
                  <pt idx="229">
                    <v>2021-01-08</v>
                  </pt>
                  <pt idx="230">
                    <v>2021-01-09</v>
                  </pt>
                  <pt idx="231">
                    <v>2021-01-10</v>
                  </pt>
                  <pt idx="232">
                    <v>2021-01-11</v>
                  </pt>
                  <pt idx="233">
                    <v>2021-01-12</v>
                  </pt>
                  <pt idx="234">
                    <v>2021-01-13</v>
                  </pt>
                  <pt idx="235">
                    <v>2021-01-14</v>
                  </pt>
                  <pt idx="236">
                    <v>2021-01-15</v>
                  </pt>
                  <pt idx="237">
                    <v>2021-01-16</v>
                  </pt>
                  <pt idx="238">
                    <v>2021-01-17</v>
                  </pt>
                  <pt idx="239">
                    <v>2021-01-18</v>
                  </pt>
                  <pt idx="240">
                    <v>2021-01-19</v>
                  </pt>
                  <pt idx="241">
                    <v>2021-01-20</v>
                  </pt>
                  <pt idx="242">
                    <v>2021-01-21</v>
                  </pt>
                  <pt idx="243">
                    <v>2021-01-22</v>
                  </pt>
                  <pt idx="244">
                    <v>2021-01-23</v>
                  </pt>
                  <pt idx="245">
                    <v>2021-01-24</v>
                  </pt>
                  <pt idx="246">
                    <v>2021-01-25</v>
                  </pt>
                  <pt idx="247">
                    <v>2021-01-26</v>
                  </pt>
                  <pt idx="248">
                    <v>2021-01-27</v>
                  </pt>
                  <pt idx="249">
                    <v>2021-01-28</v>
                  </pt>
                  <pt idx="250">
                    <v>2021-01-29</v>
                  </pt>
                  <pt idx="251">
                    <v>2021-01-30</v>
                  </pt>
                  <pt idx="252">
                    <v>2021-01-31</v>
                  </pt>
                  <pt idx="253">
                    <v>2021-02-01</v>
                  </pt>
                  <pt idx="254">
                    <v>2021-02-02</v>
                  </pt>
                  <pt idx="255">
                    <v>2021-02-03</v>
                  </pt>
                  <pt idx="256">
                    <v>2021-02-04</v>
                  </pt>
                  <pt idx="257">
                    <v>2021-02-05</v>
                  </pt>
                  <pt idx="258">
                    <v>2021-02-06</v>
                  </pt>
                  <pt idx="259">
                    <v>2021-02-07</v>
                  </pt>
                  <pt idx="260">
                    <v>2021-02-08</v>
                  </pt>
                  <pt idx="261">
                    <v>2021-02-09</v>
                  </pt>
                </lvl>
              </multiLvlStrCache>
              <f>'상품별-피벗'!$B$5:$C$267</f>
            </multiLvlStrRef>
          </cat>
          <val>
            <numRef>
              <f>'상품별-피벗'!$D$5:$D$267</f>
              <numCache>
                <formatCode xml:space="preserve">#,##0_ </formatCode>
                <ptCount val="262"/>
                <pt idx="0">
                  <v>2</v>
                </pt>
                <pt idx="1">
                  <v>1</v>
                </pt>
                <pt idx="2">
                  <v>6</v>
                </pt>
                <pt idx="3">
                  <v>11</v>
                </pt>
                <pt idx="4">
                  <v>6</v>
                </pt>
                <pt idx="5">
                  <v>2</v>
                </pt>
                <pt idx="6">
                  <v>5</v>
                </pt>
                <pt idx="7">
                  <v>4</v>
                </pt>
                <pt idx="8">
                  <v>2</v>
                </pt>
                <pt idx="9">
                  <v>3</v>
                </pt>
                <pt idx="10">
                  <v>3</v>
                </pt>
                <pt idx="11">
                  <v>26</v>
                </pt>
                <pt idx="12">
                  <v>12</v>
                </pt>
                <pt idx="13">
                  <v>10</v>
                </pt>
                <pt idx="14">
                  <v>13</v>
                </pt>
                <pt idx="15">
                  <v>23</v>
                </pt>
                <pt idx="16">
                  <v>21</v>
                </pt>
                <pt idx="17">
                  <v>31</v>
                </pt>
                <pt idx="18">
                  <v>20</v>
                </pt>
                <pt idx="19">
                  <v>17</v>
                </pt>
                <pt idx="20">
                  <v>37</v>
                </pt>
                <pt idx="21">
                  <v>26</v>
                </pt>
                <pt idx="22">
                  <v>25</v>
                </pt>
                <pt idx="23">
                  <v>24</v>
                </pt>
                <pt idx="24">
                  <v>30</v>
                </pt>
                <pt idx="25">
                  <v>62</v>
                </pt>
                <pt idx="26">
                  <v>65</v>
                </pt>
                <pt idx="27">
                  <v>92</v>
                </pt>
                <pt idx="28">
                  <v>95</v>
                </pt>
                <pt idx="29">
                  <v>76</v>
                </pt>
                <pt idx="30">
                  <v>89</v>
                </pt>
                <pt idx="31">
                  <v>88</v>
                </pt>
                <pt idx="32">
                  <v>93</v>
                </pt>
                <pt idx="33">
                  <v>75</v>
                </pt>
                <pt idx="34">
                  <v>69</v>
                </pt>
                <pt idx="35">
                  <v>82</v>
                </pt>
                <pt idx="36">
                  <v>59</v>
                </pt>
                <pt idx="37">
                  <v>63</v>
                </pt>
                <pt idx="38">
                  <v>57</v>
                </pt>
                <pt idx="39">
                  <v>35</v>
                </pt>
                <pt idx="40">
                  <v>21</v>
                </pt>
                <pt idx="41">
                  <v>7</v>
                </pt>
                <pt idx="42">
                  <v>15</v>
                </pt>
                <pt idx="43">
                  <v>31</v>
                </pt>
                <pt idx="44">
                  <v>44</v>
                </pt>
                <pt idx="45">
                  <v>31</v>
                </pt>
                <pt idx="46">
                  <v>42</v>
                </pt>
                <pt idx="47">
                  <v>30</v>
                </pt>
                <pt idx="48">
                  <v>36</v>
                </pt>
                <pt idx="49">
                  <v>68</v>
                </pt>
                <pt idx="50">
                  <v>50</v>
                </pt>
                <pt idx="51">
                  <v>82</v>
                </pt>
                <pt idx="52">
                  <v>116</v>
                </pt>
                <pt idx="53">
                  <v>51</v>
                </pt>
                <pt idx="54">
                  <v>89</v>
                </pt>
                <pt idx="55">
                  <v>42</v>
                </pt>
                <pt idx="56">
                  <v>46</v>
                </pt>
                <pt idx="57">
                  <v>67</v>
                </pt>
                <pt idx="58">
                  <v>98</v>
                </pt>
                <pt idx="59">
                  <v>105</v>
                </pt>
                <pt idx="60">
                  <v>116</v>
                </pt>
                <pt idx="61">
                  <v>127</v>
                </pt>
                <pt idx="62">
                  <v>107</v>
                </pt>
                <pt idx="63">
                  <v>152</v>
                </pt>
                <pt idx="64">
                  <v>110</v>
                </pt>
                <pt idx="65">
                  <v>126</v>
                </pt>
                <pt idx="66">
                  <v>103</v>
                </pt>
                <pt idx="67">
                  <v>66</v>
                </pt>
                <pt idx="68">
                  <v>63</v>
                </pt>
                <pt idx="69">
                  <v>65</v>
                </pt>
                <pt idx="70">
                  <v>66</v>
                </pt>
                <pt idx="71">
                  <v>82</v>
                </pt>
                <pt idx="72">
                  <v>86</v>
                </pt>
                <pt idx="73">
                  <v>80</v>
                </pt>
                <pt idx="74">
                  <v>67</v>
                </pt>
                <pt idx="75">
                  <v>79</v>
                </pt>
                <pt idx="76">
                  <v>76</v>
                </pt>
                <pt idx="77">
                  <v>91</v>
                </pt>
                <pt idx="78">
                  <v>86</v>
                </pt>
                <pt idx="79">
                  <v>73</v>
                </pt>
                <pt idx="80">
                  <v>76</v>
                </pt>
                <pt idx="81">
                  <v>62</v>
                </pt>
                <pt idx="82">
                  <v>51</v>
                </pt>
                <pt idx="83">
                  <v>44</v>
                </pt>
                <pt idx="84">
                  <v>48</v>
                </pt>
                <pt idx="85">
                  <v>62</v>
                </pt>
                <pt idx="86">
                  <v>75</v>
                </pt>
                <pt idx="87">
                  <v>86</v>
                </pt>
                <pt idx="88">
                  <v>83</v>
                </pt>
                <pt idx="89">
                  <v>66</v>
                </pt>
                <pt idx="90">
                  <v>68</v>
                </pt>
                <pt idx="91">
                  <v>92</v>
                </pt>
                <pt idx="92">
                  <v>76</v>
                </pt>
                <pt idx="93">
                  <v>74</v>
                </pt>
                <pt idx="94">
                  <v>89</v>
                </pt>
                <pt idx="95">
                  <v>94</v>
                </pt>
                <pt idx="96">
                  <v>80</v>
                </pt>
                <pt idx="97">
                  <v>80</v>
                </pt>
                <pt idx="98">
                  <v>96</v>
                </pt>
                <pt idx="99">
                  <v>97</v>
                </pt>
                <pt idx="100">
                  <v>109</v>
                </pt>
                <pt idx="101">
                  <v>106</v>
                </pt>
                <pt idx="102">
                  <v>87</v>
                </pt>
                <pt idx="103">
                  <v>97</v>
                </pt>
                <pt idx="104">
                  <v>80</v>
                </pt>
                <pt idx="105">
                  <v>83</v>
                </pt>
                <pt idx="106">
                  <v>83</v>
                </pt>
                <pt idx="107">
                  <v>78</v>
                </pt>
                <pt idx="108">
                  <v>89</v>
                </pt>
                <pt idx="109">
                  <v>80</v>
                </pt>
                <pt idx="110">
                  <v>87</v>
                </pt>
                <pt idx="111">
                  <v>77</v>
                </pt>
                <pt idx="112">
                  <v>82</v>
                </pt>
                <pt idx="113">
                  <v>92</v>
                </pt>
                <pt idx="114">
                  <v>98</v>
                </pt>
                <pt idx="115">
                  <v>77</v>
                </pt>
                <pt idx="116">
                  <v>88</v>
                </pt>
                <pt idx="117">
                  <v>86</v>
                </pt>
                <pt idx="118">
                  <v>84</v>
                </pt>
                <pt idx="119">
                  <v>101</v>
                </pt>
                <pt idx="120">
                  <v>89</v>
                </pt>
                <pt idx="121">
                  <v>97</v>
                </pt>
                <pt idx="122">
                  <v>103</v>
                </pt>
                <pt idx="123">
                  <v>106</v>
                </pt>
                <pt idx="124">
                  <v>107</v>
                </pt>
                <pt idx="125">
                  <v>140</v>
                </pt>
                <pt idx="126">
                  <v>177</v>
                </pt>
                <pt idx="127">
                  <v>165</v>
                </pt>
                <pt idx="128">
                  <v>223</v>
                </pt>
                <pt idx="129">
                  <v>327</v>
                </pt>
                <pt idx="130">
                  <v>343</v>
                </pt>
                <pt idx="131">
                  <v>320</v>
                </pt>
                <pt idx="132">
                  <v>342</v>
                </pt>
                <pt idx="133">
                  <v>311</v>
                </pt>
                <pt idx="134">
                  <v>272</v>
                </pt>
                <pt idx="135">
                  <v>259</v>
                </pt>
                <pt idx="136">
                  <v>266</v>
                </pt>
                <pt idx="137">
                  <v>194</v>
                </pt>
                <pt idx="138">
                  <v>273</v>
                </pt>
                <pt idx="139">
                  <v>279</v>
                </pt>
                <pt idx="140">
                  <v>331</v>
                </pt>
                <pt idx="141">
                  <v>271</v>
                </pt>
                <pt idx="142">
                  <v>289</v>
                </pt>
                <pt idx="143">
                  <v>318</v>
                </pt>
                <pt idx="144">
                  <v>279</v>
                </pt>
                <pt idx="145">
                  <v>264</v>
                </pt>
                <pt idx="146">
                  <v>325</v>
                </pt>
                <pt idx="147">
                  <v>304</v>
                </pt>
                <pt idx="148">
                  <v>295</v>
                </pt>
                <pt idx="149">
                  <v>299</v>
                </pt>
                <pt idx="150">
                  <v>281</v>
                </pt>
                <pt idx="151">
                  <v>308</v>
                </pt>
                <pt idx="152">
                  <v>302</v>
                </pt>
                <pt idx="153">
                  <v>311</v>
                </pt>
                <pt idx="154">
                  <v>315</v>
                </pt>
                <pt idx="155">
                  <v>311</v>
                </pt>
                <pt idx="156">
                  <v>293</v>
                </pt>
                <pt idx="157">
                  <v>339</v>
                </pt>
                <pt idx="158">
                  <v>294</v>
                </pt>
                <pt idx="159">
                  <v>273</v>
                </pt>
                <pt idx="160">
                  <v>322</v>
                </pt>
                <pt idx="161">
                  <v>377</v>
                </pt>
                <pt idx="162">
                  <v>354</v>
                </pt>
                <pt idx="163">
                  <v>382</v>
                </pt>
                <pt idx="164">
                  <v>354</v>
                </pt>
                <pt idx="165">
                  <v>337</v>
                </pt>
                <pt idx="166">
                  <v>329</v>
                </pt>
                <pt idx="167">
                  <v>382</v>
                </pt>
                <pt idx="168">
                  <v>354</v>
                </pt>
                <pt idx="169">
                  <v>307</v>
                </pt>
                <pt idx="170">
                  <v>347</v>
                </pt>
                <pt idx="171">
                  <v>413</v>
                </pt>
                <pt idx="172">
                  <v>364</v>
                </pt>
                <pt idx="173">
                  <v>333</v>
                </pt>
                <pt idx="174">
                  <v>413</v>
                </pt>
                <pt idx="175">
                  <v>288</v>
                </pt>
                <pt idx="176">
                  <v>231</v>
                </pt>
                <pt idx="177">
                  <v>306</v>
                </pt>
                <pt idx="178">
                  <v>260</v>
                </pt>
                <pt idx="179">
                  <v>266</v>
                </pt>
                <pt idx="180">
                  <v>274</v>
                </pt>
                <pt idx="181">
                  <v>326</v>
                </pt>
                <pt idx="182">
                  <v>326</v>
                </pt>
                <pt idx="183">
                  <v>203</v>
                </pt>
                <pt idx="184">
                  <v>205</v>
                </pt>
                <pt idx="185">
                  <v>194</v>
                </pt>
                <pt idx="186">
                  <v>194</v>
                </pt>
                <pt idx="187">
                  <v>210</v>
                </pt>
                <pt idx="188">
                  <v>239</v>
                </pt>
                <pt idx="189">
                  <v>274</v>
                </pt>
                <pt idx="190">
                  <v>212</v>
                </pt>
                <pt idx="191">
                  <v>292</v>
                </pt>
                <pt idx="192">
                  <v>329</v>
                </pt>
                <pt idx="193">
                  <v>1153</v>
                </pt>
                <pt idx="194">
                  <v>247</v>
                </pt>
                <pt idx="195">
                  <v>286</v>
                </pt>
                <pt idx="196">
                  <v>307</v>
                </pt>
                <pt idx="197">
                  <v>505</v>
                </pt>
                <pt idx="198">
                  <v>241</v>
                </pt>
                <pt idx="199">
                  <v>236</v>
                </pt>
                <pt idx="200">
                  <v>245</v>
                </pt>
                <pt idx="201">
                  <v>257</v>
                </pt>
                <pt idx="202">
                  <v>350</v>
                </pt>
                <pt idx="203">
                  <v>343</v>
                </pt>
                <pt idx="204">
                  <v>424</v>
                </pt>
                <pt idx="205">
                  <v>453</v>
                </pt>
                <pt idx="206">
                  <v>411</v>
                </pt>
                <pt idx="207">
                  <v>444</v>
                </pt>
                <pt idx="208">
                  <v>392</v>
                </pt>
                <pt idx="209">
                  <v>497</v>
                </pt>
                <pt idx="210">
                  <v>431</v>
                </pt>
                <pt idx="211">
                  <v>291</v>
                </pt>
                <pt idx="212">
                  <v>289</v>
                </pt>
                <pt idx="213">
                  <v>425</v>
                </pt>
                <pt idx="214">
                  <v>436</v>
                </pt>
                <pt idx="215">
                  <v>686</v>
                </pt>
                <pt idx="216">
                  <v>782</v>
                </pt>
                <pt idx="217">
                  <v>685</v>
                </pt>
                <pt idx="218">
                  <v>450</v>
                </pt>
                <pt idx="219">
                  <v>453</v>
                </pt>
                <pt idx="220">
                  <v>473</v>
                </pt>
                <pt idx="221">
                  <v>451</v>
                </pt>
                <pt idx="222">
                  <v>874</v>
                </pt>
                <pt idx="223">
                  <v>740</v>
                </pt>
                <pt idx="224">
                  <v>702</v>
                </pt>
                <pt idx="225">
                  <v>689</v>
                </pt>
                <pt idx="226">
                  <v>693</v>
                </pt>
                <pt idx="227">
                  <v>630</v>
                </pt>
                <pt idx="228">
                  <v>609</v>
                </pt>
                <pt idx="229">
                  <v>528</v>
                </pt>
                <pt idx="230">
                  <v>722</v>
                </pt>
                <pt idx="231">
                  <v>811</v>
                </pt>
                <pt idx="232">
                  <v>553</v>
                </pt>
                <pt idx="233">
                  <v>686</v>
                </pt>
                <pt idx="234">
                  <v>735</v>
                </pt>
                <pt idx="235">
                  <v>552</v>
                </pt>
                <pt idx="236">
                  <v>550</v>
                </pt>
                <pt idx="237">
                  <v>604</v>
                </pt>
                <pt idx="238">
                  <v>706</v>
                </pt>
                <pt idx="239">
                  <v>543</v>
                </pt>
                <pt idx="240">
                  <v>457</v>
                </pt>
                <pt idx="241">
                  <v>465</v>
                </pt>
                <pt idx="242">
                  <v>480</v>
                </pt>
                <pt idx="243">
                  <v>400</v>
                </pt>
                <pt idx="244">
                  <v>615</v>
                </pt>
                <pt idx="245">
                  <v>659</v>
                </pt>
                <pt idx="246">
                  <v>487</v>
                </pt>
                <pt idx="247">
                  <v>400</v>
                </pt>
                <pt idx="248">
                  <v>456</v>
                </pt>
                <pt idx="249">
                  <v>424</v>
                </pt>
                <pt idx="250">
                  <v>385</v>
                </pt>
                <pt idx="251">
                  <v>409</v>
                </pt>
                <pt idx="252">
                  <v>472</v>
                </pt>
                <pt idx="253">
                  <v>466</v>
                </pt>
                <pt idx="254">
                  <v>445</v>
                </pt>
                <pt idx="255">
                  <v>657</v>
                </pt>
                <pt idx="256">
                  <v>441</v>
                </pt>
                <pt idx="257">
                  <v>356</v>
                </pt>
                <pt idx="258">
                  <v>393</v>
                </pt>
                <pt idx="259">
                  <v>450</v>
                </pt>
                <pt idx="260">
                  <v>303</v>
                </pt>
                <pt idx="261">
                  <v>350</v>
                </pt>
              </numCache>
            </numRef>
          </val>
        </ser>
        <ser>
          <idx val="1"/>
          <order val="1"/>
          <tx>
            <strRef>
              <f>'상품별-피벗'!$E$3:$E$4</f>
              <strCache>
                <ptCount val="1"/>
                <pt idx="0">
                  <v>쇼핑백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multiLvlStrRef>
              <multiLvlStrCache>
                <lvl>
                  <pt idx="0">
                    <v>금</v>
                  </pt>
                  <pt idx="1">
                    <v>토</v>
                  </pt>
                  <pt idx="2">
                    <v>화</v>
                  </pt>
                  <pt idx="3">
                    <v>수</v>
                  </pt>
                  <pt idx="4">
                    <v>목</v>
                  </pt>
                  <pt idx="5">
                    <v>금</v>
                  </pt>
                  <pt idx="6">
                    <v>토</v>
                  </pt>
                  <pt idx="7">
                    <v>일</v>
                  </pt>
                  <pt idx="8">
                    <v>월</v>
                  </pt>
                  <pt idx="9">
                    <v>화</v>
                  </pt>
                  <pt idx="10">
                    <v>수</v>
                  </pt>
                  <pt idx="11">
                    <v>목</v>
                  </pt>
                  <pt idx="12">
                    <v>금</v>
                  </pt>
                  <pt idx="13">
                    <v>토</v>
                  </pt>
                  <pt idx="14">
                    <v>일</v>
                  </pt>
                  <pt idx="15">
                    <v>월</v>
                  </pt>
                  <pt idx="16">
                    <v>화</v>
                  </pt>
                  <pt idx="17">
                    <v>수</v>
                  </pt>
                  <pt idx="18">
                    <v>목</v>
                  </pt>
                  <pt idx="19">
                    <v>금</v>
                  </pt>
                  <pt idx="20">
                    <v>토</v>
                  </pt>
                  <pt idx="21">
                    <v>일</v>
                  </pt>
                  <pt idx="22">
                    <v>월</v>
                  </pt>
                  <pt idx="23">
                    <v>화</v>
                  </pt>
                  <pt idx="24">
                    <v>수</v>
                  </pt>
                  <pt idx="25">
                    <v>목</v>
                  </pt>
                  <pt idx="26">
                    <v>금</v>
                  </pt>
                  <pt idx="27">
                    <v>토</v>
                  </pt>
                  <pt idx="28">
                    <v>일</v>
                  </pt>
                  <pt idx="29">
                    <v>월</v>
                  </pt>
                  <pt idx="30">
                    <v>화</v>
                  </pt>
                  <pt idx="31">
                    <v>수</v>
                  </pt>
                  <pt idx="32">
                    <v>목</v>
                  </pt>
                  <pt idx="33">
                    <v>금</v>
                  </pt>
                  <pt idx="34">
                    <v>토</v>
                  </pt>
                  <pt idx="35">
                    <v>일</v>
                  </pt>
                  <pt idx="36">
                    <v>월</v>
                  </pt>
                  <pt idx="37">
                    <v>화</v>
                  </pt>
                  <pt idx="38">
                    <v>수</v>
                  </pt>
                  <pt idx="39">
                    <v>목</v>
                  </pt>
                  <pt idx="40">
                    <v>금</v>
                  </pt>
                  <pt idx="41">
                    <v>토</v>
                  </pt>
                  <pt idx="42">
                    <v>일</v>
                  </pt>
                  <pt idx="43">
                    <v>월</v>
                  </pt>
                  <pt idx="44">
                    <v>화</v>
                  </pt>
                  <pt idx="45">
                    <v>수</v>
                  </pt>
                  <pt idx="46">
                    <v>목</v>
                  </pt>
                  <pt idx="47">
                    <v>금</v>
                  </pt>
                  <pt idx="48">
                    <v>토</v>
                  </pt>
                  <pt idx="49">
                    <v>일</v>
                  </pt>
                  <pt idx="50">
                    <v>월</v>
                  </pt>
                  <pt idx="51">
                    <v>화</v>
                  </pt>
                  <pt idx="52">
                    <v>수</v>
                  </pt>
                  <pt idx="53">
                    <v>목</v>
                  </pt>
                  <pt idx="54">
                    <v>금</v>
                  </pt>
                  <pt idx="55">
                    <v>토</v>
                  </pt>
                  <pt idx="56">
                    <v>일</v>
                  </pt>
                  <pt idx="57">
                    <v>월</v>
                  </pt>
                  <pt idx="58">
                    <v>화</v>
                  </pt>
                  <pt idx="59">
                    <v>수</v>
                  </pt>
                  <pt idx="60">
                    <v>목</v>
                  </pt>
                  <pt idx="61">
                    <v>금</v>
                  </pt>
                  <pt idx="62">
                    <v>토</v>
                  </pt>
                  <pt idx="63">
                    <v>일</v>
                  </pt>
                  <pt idx="64">
                    <v>월</v>
                  </pt>
                  <pt idx="65">
                    <v>화</v>
                  </pt>
                  <pt idx="66">
                    <v>수</v>
                  </pt>
                  <pt idx="67">
                    <v>목</v>
                  </pt>
                  <pt idx="68">
                    <v>금</v>
                  </pt>
                  <pt idx="69">
                    <v>토</v>
                  </pt>
                  <pt idx="70">
                    <v>일</v>
                  </pt>
                  <pt idx="71">
                    <v>월</v>
                  </pt>
                  <pt idx="72">
                    <v>화</v>
                  </pt>
                  <pt idx="73">
                    <v>수</v>
                  </pt>
                  <pt idx="74">
                    <v>목</v>
                  </pt>
                  <pt idx="75">
                    <v>금</v>
                  </pt>
                  <pt idx="76">
                    <v>토</v>
                  </pt>
                  <pt idx="77">
                    <v>일</v>
                  </pt>
                  <pt idx="78">
                    <v>월</v>
                  </pt>
                  <pt idx="79">
                    <v>화</v>
                  </pt>
                  <pt idx="80">
                    <v>수</v>
                  </pt>
                  <pt idx="81">
                    <v>목</v>
                  </pt>
                  <pt idx="82">
                    <v>금</v>
                  </pt>
                  <pt idx="83">
                    <v>토</v>
                  </pt>
                  <pt idx="84">
                    <v>일</v>
                  </pt>
                  <pt idx="85">
                    <v>월</v>
                  </pt>
                  <pt idx="86">
                    <v>화</v>
                  </pt>
                  <pt idx="87">
                    <v>수</v>
                  </pt>
                  <pt idx="88">
                    <v>목</v>
                  </pt>
                  <pt idx="89">
                    <v>금</v>
                  </pt>
                  <pt idx="90">
                    <v>토</v>
                  </pt>
                  <pt idx="91">
                    <v>일</v>
                  </pt>
                  <pt idx="92">
                    <v>월</v>
                  </pt>
                  <pt idx="93">
                    <v>화</v>
                  </pt>
                  <pt idx="94">
                    <v>수</v>
                  </pt>
                  <pt idx="95">
                    <v>목</v>
                  </pt>
                  <pt idx="96">
                    <v>금</v>
                  </pt>
                  <pt idx="97">
                    <v>토</v>
                  </pt>
                  <pt idx="98">
                    <v>일</v>
                  </pt>
                  <pt idx="99">
                    <v>월</v>
                  </pt>
                  <pt idx="100">
                    <v>화</v>
                  </pt>
                  <pt idx="101">
                    <v>수</v>
                  </pt>
                  <pt idx="102">
                    <v>목</v>
                  </pt>
                  <pt idx="103">
                    <v>금</v>
                  </pt>
                  <pt idx="104">
                    <v>토</v>
                  </pt>
                  <pt idx="105">
                    <v>일</v>
                  </pt>
                  <pt idx="106">
                    <v>월</v>
                  </pt>
                  <pt idx="107">
                    <v>화</v>
                  </pt>
                  <pt idx="108">
                    <v>수</v>
                  </pt>
                  <pt idx="109">
                    <v>목</v>
                  </pt>
                  <pt idx="110">
                    <v>금</v>
                  </pt>
                  <pt idx="111">
                    <v>토</v>
                  </pt>
                  <pt idx="112">
                    <v>일</v>
                  </pt>
                  <pt idx="113">
                    <v>월</v>
                  </pt>
                  <pt idx="114">
                    <v>화</v>
                  </pt>
                  <pt idx="115">
                    <v>수</v>
                  </pt>
                  <pt idx="116">
                    <v>목</v>
                  </pt>
                  <pt idx="117">
                    <v>금</v>
                  </pt>
                  <pt idx="118">
                    <v>토</v>
                  </pt>
                  <pt idx="119">
                    <v>일</v>
                  </pt>
                  <pt idx="120">
                    <v>월</v>
                  </pt>
                  <pt idx="121">
                    <v>화</v>
                  </pt>
                  <pt idx="122">
                    <v>수</v>
                  </pt>
                  <pt idx="123">
                    <v>목</v>
                  </pt>
                  <pt idx="124">
                    <v>금</v>
                  </pt>
                  <pt idx="125">
                    <v>토</v>
                  </pt>
                  <pt idx="126">
                    <v>일</v>
                  </pt>
                  <pt idx="127">
                    <v>월</v>
                  </pt>
                  <pt idx="128">
                    <v>화</v>
                  </pt>
                  <pt idx="129">
                    <v>수</v>
                  </pt>
                  <pt idx="130">
                    <v>목</v>
                  </pt>
                  <pt idx="131">
                    <v>금</v>
                  </pt>
                  <pt idx="132">
                    <v>토</v>
                  </pt>
                  <pt idx="133">
                    <v>일</v>
                  </pt>
                  <pt idx="134">
                    <v>월</v>
                  </pt>
                  <pt idx="135">
                    <v>화</v>
                  </pt>
                  <pt idx="136">
                    <v>수</v>
                  </pt>
                  <pt idx="137">
                    <v>목</v>
                  </pt>
                  <pt idx="138">
                    <v>금</v>
                  </pt>
                  <pt idx="139">
                    <v>토</v>
                  </pt>
                  <pt idx="140">
                    <v>일</v>
                  </pt>
                  <pt idx="141">
                    <v>월</v>
                  </pt>
                  <pt idx="142">
                    <v>화</v>
                  </pt>
                  <pt idx="143">
                    <v>수</v>
                  </pt>
                  <pt idx="144">
                    <v>목</v>
                  </pt>
                  <pt idx="145">
                    <v>금</v>
                  </pt>
                  <pt idx="146">
                    <v>토</v>
                  </pt>
                  <pt idx="147">
                    <v>일</v>
                  </pt>
                  <pt idx="148">
                    <v>월</v>
                  </pt>
                  <pt idx="149">
                    <v>화</v>
                  </pt>
                  <pt idx="150">
                    <v>수</v>
                  </pt>
                  <pt idx="151">
                    <v>목</v>
                  </pt>
                  <pt idx="152">
                    <v>금</v>
                  </pt>
                  <pt idx="153">
                    <v>토</v>
                  </pt>
                  <pt idx="154">
                    <v>일</v>
                  </pt>
                  <pt idx="155">
                    <v>월</v>
                  </pt>
                  <pt idx="156">
                    <v>화</v>
                  </pt>
                  <pt idx="157">
                    <v>수</v>
                  </pt>
                  <pt idx="158">
                    <v>목</v>
                  </pt>
                  <pt idx="159">
                    <v>금</v>
                  </pt>
                  <pt idx="160">
                    <v>토</v>
                  </pt>
                  <pt idx="161">
                    <v>일</v>
                  </pt>
                  <pt idx="162">
                    <v>월</v>
                  </pt>
                  <pt idx="163">
                    <v>화</v>
                  </pt>
                  <pt idx="164">
                    <v>수</v>
                  </pt>
                  <pt idx="165">
                    <v>목</v>
                  </pt>
                  <pt idx="166">
                    <v>금</v>
                  </pt>
                  <pt idx="167">
                    <v>토</v>
                  </pt>
                  <pt idx="168">
                    <v>일</v>
                  </pt>
                  <pt idx="169">
                    <v>월</v>
                  </pt>
                  <pt idx="170">
                    <v>화</v>
                  </pt>
                  <pt idx="171">
                    <v>수</v>
                  </pt>
                  <pt idx="172">
                    <v>목</v>
                  </pt>
                  <pt idx="173">
                    <v>금</v>
                  </pt>
                  <pt idx="174">
                    <v>토</v>
                  </pt>
                  <pt idx="175">
                    <v>일</v>
                  </pt>
                  <pt idx="176">
                    <v>월</v>
                  </pt>
                  <pt idx="177">
                    <v>화</v>
                  </pt>
                  <pt idx="178">
                    <v>수</v>
                  </pt>
                  <pt idx="179">
                    <v>목</v>
                  </pt>
                  <pt idx="180">
                    <v>금</v>
                  </pt>
                  <pt idx="181">
                    <v>토</v>
                  </pt>
                  <pt idx="182">
                    <v>일</v>
                  </pt>
                  <pt idx="183">
                    <v>월</v>
                  </pt>
                  <pt idx="184">
                    <v>화</v>
                  </pt>
                  <pt idx="185">
                    <v>수</v>
                  </pt>
                  <pt idx="186">
                    <v>목</v>
                  </pt>
                  <pt idx="187">
                    <v>금</v>
                  </pt>
                  <pt idx="188">
                    <v>토</v>
                  </pt>
                  <pt idx="189">
                    <v>일</v>
                  </pt>
                  <pt idx="190">
                    <v>월</v>
                  </pt>
                  <pt idx="191">
                    <v>화</v>
                  </pt>
                  <pt idx="192">
                    <v>수</v>
                  </pt>
                  <pt idx="193">
                    <v>목</v>
                  </pt>
                  <pt idx="194">
                    <v>금</v>
                  </pt>
                  <pt idx="195">
                    <v>토</v>
                  </pt>
                  <pt idx="196">
                    <v>일</v>
                  </pt>
                  <pt idx="197">
                    <v>월</v>
                  </pt>
                  <pt idx="198">
                    <v>화</v>
                  </pt>
                  <pt idx="199">
                    <v>수</v>
                  </pt>
                  <pt idx="200">
                    <v>목</v>
                  </pt>
                  <pt idx="201">
                    <v>금</v>
                  </pt>
                  <pt idx="202">
                    <v>토</v>
                  </pt>
                  <pt idx="203">
                    <v>일</v>
                  </pt>
                  <pt idx="204">
                    <v>월</v>
                  </pt>
                  <pt idx="205">
                    <v>화</v>
                  </pt>
                  <pt idx="206">
                    <v>수</v>
                  </pt>
                  <pt idx="207">
                    <v>목</v>
                  </pt>
                  <pt idx="208">
                    <v>금</v>
                  </pt>
                  <pt idx="209">
                    <v>토</v>
                  </pt>
                  <pt idx="210">
                    <v>일</v>
                  </pt>
                  <pt idx="211">
                    <v>월</v>
                  </pt>
                  <pt idx="212">
                    <v>화</v>
                  </pt>
                  <pt idx="213">
                    <v>수</v>
                  </pt>
                  <pt idx="214">
                    <v>목</v>
                  </pt>
                  <pt idx="215">
                    <v>금</v>
                  </pt>
                  <pt idx="216">
                    <v>토</v>
                  </pt>
                  <pt idx="217">
                    <v>일</v>
                  </pt>
                  <pt idx="218">
                    <v>월</v>
                  </pt>
                  <pt idx="219">
                    <v>화</v>
                  </pt>
                  <pt idx="220">
                    <v>수</v>
                  </pt>
                  <pt idx="221">
                    <v>목</v>
                  </pt>
                  <pt idx="222">
                    <v>금</v>
                  </pt>
                  <pt idx="223">
                    <v>토</v>
                  </pt>
                  <pt idx="224">
                    <v>일</v>
                  </pt>
                  <pt idx="225">
                    <v>월</v>
                  </pt>
                  <pt idx="226">
                    <v>화</v>
                  </pt>
                  <pt idx="227">
                    <v>수</v>
                  </pt>
                  <pt idx="228">
                    <v>목</v>
                  </pt>
                  <pt idx="229">
                    <v>금</v>
                  </pt>
                  <pt idx="230">
                    <v>토</v>
                  </pt>
                  <pt idx="231">
                    <v>일</v>
                  </pt>
                  <pt idx="232">
                    <v>월</v>
                  </pt>
                  <pt idx="233">
                    <v>화</v>
                  </pt>
                  <pt idx="234">
                    <v>수</v>
                  </pt>
                  <pt idx="235">
                    <v>목</v>
                  </pt>
                  <pt idx="236">
                    <v>금</v>
                  </pt>
                  <pt idx="237">
                    <v>토</v>
                  </pt>
                  <pt idx="238">
                    <v>일</v>
                  </pt>
                  <pt idx="239">
                    <v>월</v>
                  </pt>
                  <pt idx="240">
                    <v>화</v>
                  </pt>
                  <pt idx="241">
                    <v>수</v>
                  </pt>
                  <pt idx="242">
                    <v>목</v>
                  </pt>
                  <pt idx="243">
                    <v>금</v>
                  </pt>
                  <pt idx="244">
                    <v>토</v>
                  </pt>
                  <pt idx="245">
                    <v>일</v>
                  </pt>
                  <pt idx="246">
                    <v>월</v>
                  </pt>
                  <pt idx="247">
                    <v>화</v>
                  </pt>
                  <pt idx="248">
                    <v>수</v>
                  </pt>
                  <pt idx="249">
                    <v>목</v>
                  </pt>
                  <pt idx="250">
                    <v>금</v>
                  </pt>
                  <pt idx="251">
                    <v>토</v>
                  </pt>
                  <pt idx="252">
                    <v>일</v>
                  </pt>
                  <pt idx="253">
                    <v>월</v>
                  </pt>
                  <pt idx="254">
                    <v>화</v>
                  </pt>
                  <pt idx="255">
                    <v>수</v>
                  </pt>
                  <pt idx="256">
                    <v>목</v>
                  </pt>
                  <pt idx="257">
                    <v>금</v>
                  </pt>
                  <pt idx="258">
                    <v>토</v>
                  </pt>
                  <pt idx="259">
                    <v>일</v>
                  </pt>
                  <pt idx="260">
                    <v>월</v>
                  </pt>
                  <pt idx="261">
                    <v>화</v>
                  </pt>
                </lvl>
                <lvl>
                  <pt idx="0">
                    <v>2020-05-22</v>
                  </pt>
                  <pt idx="1">
                    <v>2020-05-23</v>
                  </pt>
                  <pt idx="2">
                    <v>2020-05-26</v>
                  </pt>
                  <pt idx="3">
                    <v>2020-05-27</v>
                  </pt>
                  <pt idx="4">
                    <v>2020-05-28</v>
                  </pt>
                  <pt idx="5">
                    <v>2020-05-29</v>
                  </pt>
                  <pt idx="6">
                    <v>2020-05-30</v>
                  </pt>
                  <pt idx="7">
                    <v>2020-05-31</v>
                  </pt>
                  <pt idx="8">
                    <v>2020-06-01</v>
                  </pt>
                  <pt idx="9">
                    <v>2020-06-02</v>
                  </pt>
                  <pt idx="10">
                    <v>2020-06-03</v>
                  </pt>
                  <pt idx="11">
                    <v>2020-06-04</v>
                  </pt>
                  <pt idx="12">
                    <v>2020-06-05</v>
                  </pt>
                  <pt idx="13">
                    <v>2020-06-06</v>
                  </pt>
                  <pt idx="14">
                    <v>2020-06-07</v>
                  </pt>
                  <pt idx="15">
                    <v>2020-06-08</v>
                  </pt>
                  <pt idx="16">
                    <v>2020-06-09</v>
                  </pt>
                  <pt idx="17">
                    <v>2020-06-10</v>
                  </pt>
                  <pt idx="18">
                    <v>2020-06-11</v>
                  </pt>
                  <pt idx="19">
                    <v>2020-06-12</v>
                  </pt>
                  <pt idx="20">
                    <v>2020-06-13</v>
                  </pt>
                  <pt idx="21">
                    <v>2020-06-14</v>
                  </pt>
                  <pt idx="22">
                    <v>2020-06-15</v>
                  </pt>
                  <pt idx="23">
                    <v>2020-06-16</v>
                  </pt>
                  <pt idx="24">
                    <v>2020-06-17</v>
                  </pt>
                  <pt idx="25">
                    <v>2020-06-18</v>
                  </pt>
                  <pt idx="26">
                    <v>2020-06-19</v>
                  </pt>
                  <pt idx="27">
                    <v>2020-06-20</v>
                  </pt>
                  <pt idx="28">
                    <v>2020-06-21</v>
                  </pt>
                  <pt idx="29">
                    <v>2020-06-22</v>
                  </pt>
                  <pt idx="30">
                    <v>2020-06-23</v>
                  </pt>
                  <pt idx="31">
                    <v>2020-06-24</v>
                  </pt>
                  <pt idx="32">
                    <v>2020-06-25</v>
                  </pt>
                  <pt idx="33">
                    <v>2020-06-26</v>
                  </pt>
                  <pt idx="34">
                    <v>2020-06-27</v>
                  </pt>
                  <pt idx="35">
                    <v>2020-06-28</v>
                  </pt>
                  <pt idx="36">
                    <v>2020-06-29</v>
                  </pt>
                  <pt idx="37">
                    <v>2020-06-30</v>
                  </pt>
                  <pt idx="38">
                    <v>2020-07-01</v>
                  </pt>
                  <pt idx="39">
                    <v>2020-07-02</v>
                  </pt>
                  <pt idx="40">
                    <v>2020-07-03</v>
                  </pt>
                  <pt idx="41">
                    <v>2020-07-04</v>
                  </pt>
                  <pt idx="42">
                    <v>2020-07-05</v>
                  </pt>
                  <pt idx="43">
                    <v>2020-07-06</v>
                  </pt>
                  <pt idx="44">
                    <v>2020-07-07</v>
                  </pt>
                  <pt idx="45">
                    <v>2020-07-08</v>
                  </pt>
                  <pt idx="46">
                    <v>2020-07-09</v>
                  </pt>
                  <pt idx="47">
                    <v>2020-07-10</v>
                  </pt>
                  <pt idx="48">
                    <v>2020-07-11</v>
                  </pt>
                  <pt idx="49">
                    <v>2020-07-12</v>
                  </pt>
                  <pt idx="50">
                    <v>2020-07-13</v>
                  </pt>
                  <pt idx="51">
                    <v>2020-07-14</v>
                  </pt>
                  <pt idx="52">
                    <v>2020-07-15</v>
                  </pt>
                  <pt idx="53">
                    <v>2020-07-16</v>
                  </pt>
                  <pt idx="54">
                    <v>2020-07-17</v>
                  </pt>
                  <pt idx="55">
                    <v>2020-07-18</v>
                  </pt>
                  <pt idx="56">
                    <v>2020-07-19</v>
                  </pt>
                  <pt idx="57">
                    <v>2020-07-20</v>
                  </pt>
                  <pt idx="58">
                    <v>2020-07-21</v>
                  </pt>
                  <pt idx="59">
                    <v>2020-07-22</v>
                  </pt>
                  <pt idx="60">
                    <v>2020-07-23</v>
                  </pt>
                  <pt idx="61">
                    <v>2020-07-24</v>
                  </pt>
                  <pt idx="62">
                    <v>2020-07-25</v>
                  </pt>
                  <pt idx="63">
                    <v>2020-07-26</v>
                  </pt>
                  <pt idx="64">
                    <v>2020-07-27</v>
                  </pt>
                  <pt idx="65">
                    <v>2020-07-28</v>
                  </pt>
                  <pt idx="66">
                    <v>2020-07-29</v>
                  </pt>
                  <pt idx="67">
                    <v>2020-07-30</v>
                  </pt>
                  <pt idx="68">
                    <v>2020-07-31</v>
                  </pt>
                  <pt idx="69">
                    <v>2020-08-01</v>
                  </pt>
                  <pt idx="70">
                    <v>2020-08-02</v>
                  </pt>
                  <pt idx="71">
                    <v>2020-08-03</v>
                  </pt>
                  <pt idx="72">
                    <v>2020-08-04</v>
                  </pt>
                  <pt idx="73">
                    <v>2020-08-05</v>
                  </pt>
                  <pt idx="74">
                    <v>2020-08-06</v>
                  </pt>
                  <pt idx="75">
                    <v>2020-08-07</v>
                  </pt>
                  <pt idx="76">
                    <v>2020-08-08</v>
                  </pt>
                  <pt idx="77">
                    <v>2020-08-09</v>
                  </pt>
                  <pt idx="78">
                    <v>2020-08-10</v>
                  </pt>
                  <pt idx="79">
                    <v>2020-08-11</v>
                  </pt>
                  <pt idx="80">
                    <v>2020-08-12</v>
                  </pt>
                  <pt idx="81">
                    <v>2020-08-13</v>
                  </pt>
                  <pt idx="82">
                    <v>2020-08-14</v>
                  </pt>
                  <pt idx="83">
                    <v>2020-08-15</v>
                  </pt>
                  <pt idx="84">
                    <v>2020-08-16</v>
                  </pt>
                  <pt idx="85">
                    <v>2020-08-17</v>
                  </pt>
                  <pt idx="86">
                    <v>2020-08-18</v>
                  </pt>
                  <pt idx="87">
                    <v>2020-08-19</v>
                  </pt>
                  <pt idx="88">
                    <v>2020-08-20</v>
                  </pt>
                  <pt idx="89">
                    <v>2020-08-21</v>
                  </pt>
                  <pt idx="90">
                    <v>2020-08-22</v>
                  </pt>
                  <pt idx="91">
                    <v>2020-08-23</v>
                  </pt>
                  <pt idx="92">
                    <v>2020-08-24</v>
                  </pt>
                  <pt idx="93">
                    <v>2020-08-25</v>
                  </pt>
                  <pt idx="94">
                    <v>2020-08-26</v>
                  </pt>
                  <pt idx="95">
                    <v>2020-08-27</v>
                  </pt>
                  <pt idx="96">
                    <v>2020-08-28</v>
                  </pt>
                  <pt idx="97">
                    <v>2020-08-29</v>
                  </pt>
                  <pt idx="98">
                    <v>2020-08-30</v>
                  </pt>
                  <pt idx="99">
                    <v>2020-08-31</v>
                  </pt>
                  <pt idx="100">
                    <v>2020-09-01</v>
                  </pt>
                  <pt idx="101">
                    <v>2020-09-02</v>
                  </pt>
                  <pt idx="102">
                    <v>2020-09-03</v>
                  </pt>
                  <pt idx="103">
                    <v>2020-09-04</v>
                  </pt>
                  <pt idx="104">
                    <v>2020-09-05</v>
                  </pt>
                  <pt idx="105">
                    <v>2020-09-06</v>
                  </pt>
                  <pt idx="106">
                    <v>2020-09-07</v>
                  </pt>
                  <pt idx="107">
                    <v>2020-09-08</v>
                  </pt>
                  <pt idx="108">
                    <v>2020-09-09</v>
                  </pt>
                  <pt idx="109">
                    <v>2020-09-10</v>
                  </pt>
                  <pt idx="110">
                    <v>2020-09-11</v>
                  </pt>
                  <pt idx="111">
                    <v>2020-09-12</v>
                  </pt>
                  <pt idx="112">
                    <v>2020-09-13</v>
                  </pt>
                  <pt idx="113">
                    <v>2020-09-14</v>
                  </pt>
                  <pt idx="114">
                    <v>2020-09-15</v>
                  </pt>
                  <pt idx="115">
                    <v>2020-09-16</v>
                  </pt>
                  <pt idx="116">
                    <v>2020-09-17</v>
                  </pt>
                  <pt idx="117">
                    <v>2020-09-18</v>
                  </pt>
                  <pt idx="118">
                    <v>2020-09-19</v>
                  </pt>
                  <pt idx="119">
                    <v>2020-09-20</v>
                  </pt>
                  <pt idx="120">
                    <v>2020-09-21</v>
                  </pt>
                  <pt idx="121">
                    <v>2020-09-22</v>
                  </pt>
                  <pt idx="122">
                    <v>2020-09-23</v>
                  </pt>
                  <pt idx="123">
                    <v>2020-09-24</v>
                  </pt>
                  <pt idx="124">
                    <v>2020-09-25</v>
                  </pt>
                  <pt idx="125">
                    <v>2020-09-26</v>
                  </pt>
                  <pt idx="126">
                    <v>2020-09-27</v>
                  </pt>
                  <pt idx="127">
                    <v>2020-09-28</v>
                  </pt>
                  <pt idx="128">
                    <v>2020-09-29</v>
                  </pt>
                  <pt idx="129">
                    <v>2020-09-30</v>
                  </pt>
                  <pt idx="130">
                    <v>2020-10-01</v>
                  </pt>
                  <pt idx="131">
                    <v>2020-10-02</v>
                  </pt>
                  <pt idx="132">
                    <v>2020-10-03</v>
                  </pt>
                  <pt idx="133">
                    <v>2020-10-04</v>
                  </pt>
                  <pt idx="134">
                    <v>2020-10-05</v>
                  </pt>
                  <pt idx="135">
                    <v>2020-10-06</v>
                  </pt>
                  <pt idx="136">
                    <v>2020-10-07</v>
                  </pt>
                  <pt idx="137">
                    <v>2020-10-08</v>
                  </pt>
                  <pt idx="138">
                    <v>2020-10-09</v>
                  </pt>
                  <pt idx="139">
                    <v>2020-10-10</v>
                  </pt>
                  <pt idx="140">
                    <v>2020-10-11</v>
                  </pt>
                  <pt idx="141">
                    <v>2020-10-12</v>
                  </pt>
                  <pt idx="142">
                    <v>2020-10-13</v>
                  </pt>
                  <pt idx="143">
                    <v>2020-10-14</v>
                  </pt>
                  <pt idx="144">
                    <v>2020-10-15</v>
                  </pt>
                  <pt idx="145">
                    <v>2020-10-16</v>
                  </pt>
                  <pt idx="146">
                    <v>2020-10-17</v>
                  </pt>
                  <pt idx="147">
                    <v>2020-10-18</v>
                  </pt>
                  <pt idx="148">
                    <v>2020-10-19</v>
                  </pt>
                  <pt idx="149">
                    <v>2020-10-20</v>
                  </pt>
                  <pt idx="150">
                    <v>2020-10-21</v>
                  </pt>
                  <pt idx="151">
                    <v>2020-10-22</v>
                  </pt>
                  <pt idx="152">
                    <v>2020-10-23</v>
                  </pt>
                  <pt idx="153">
                    <v>2020-10-24</v>
                  </pt>
                  <pt idx="154">
                    <v>2020-10-25</v>
                  </pt>
                  <pt idx="155">
                    <v>2020-10-26</v>
                  </pt>
                  <pt idx="156">
                    <v>2020-10-27</v>
                  </pt>
                  <pt idx="157">
                    <v>2020-10-28</v>
                  </pt>
                  <pt idx="158">
                    <v>2020-10-29</v>
                  </pt>
                  <pt idx="159">
                    <v>2020-10-30</v>
                  </pt>
                  <pt idx="160">
                    <v>2020-10-31</v>
                  </pt>
                  <pt idx="161">
                    <v>2020-11-01</v>
                  </pt>
                  <pt idx="162">
                    <v>2020-11-02</v>
                  </pt>
                  <pt idx="163">
                    <v>2020-11-03</v>
                  </pt>
                  <pt idx="164">
                    <v>2020-11-04</v>
                  </pt>
                  <pt idx="165">
                    <v>2020-11-05</v>
                  </pt>
                  <pt idx="166">
                    <v>2020-11-06</v>
                  </pt>
                  <pt idx="167">
                    <v>2020-11-07</v>
                  </pt>
                  <pt idx="168">
                    <v>2020-11-08</v>
                  </pt>
                  <pt idx="169">
                    <v>2020-11-09</v>
                  </pt>
                  <pt idx="170">
                    <v>2020-11-10</v>
                  </pt>
                  <pt idx="171">
                    <v>2020-11-11</v>
                  </pt>
                  <pt idx="172">
                    <v>2020-11-12</v>
                  </pt>
                  <pt idx="173">
                    <v>2020-11-13</v>
                  </pt>
                  <pt idx="174">
                    <v>2020-11-14</v>
                  </pt>
                  <pt idx="175">
                    <v>2020-11-15</v>
                  </pt>
                  <pt idx="176">
                    <v>2020-11-16</v>
                  </pt>
                  <pt idx="177">
                    <v>2020-11-17</v>
                  </pt>
                  <pt idx="178">
                    <v>2020-11-18</v>
                  </pt>
                  <pt idx="179">
                    <v>2020-11-19</v>
                  </pt>
                  <pt idx="180">
                    <v>2020-11-20</v>
                  </pt>
                  <pt idx="181">
                    <v>2020-11-21</v>
                  </pt>
                  <pt idx="182">
                    <v>2020-11-22</v>
                  </pt>
                  <pt idx="183">
                    <v>2020-11-23</v>
                  </pt>
                  <pt idx="184">
                    <v>2020-11-24</v>
                  </pt>
                  <pt idx="185">
                    <v>2020-11-25</v>
                  </pt>
                  <pt idx="186">
                    <v>2020-11-26</v>
                  </pt>
                  <pt idx="187">
                    <v>2020-11-27</v>
                  </pt>
                  <pt idx="188">
                    <v>2020-11-28</v>
                  </pt>
                  <pt idx="189">
                    <v>2020-11-29</v>
                  </pt>
                  <pt idx="190">
                    <v>2020-11-30</v>
                  </pt>
                  <pt idx="191">
                    <v>2020-12-01</v>
                  </pt>
                  <pt idx="192">
                    <v>2020-12-02</v>
                  </pt>
                  <pt idx="193">
                    <v>2020-12-03</v>
                  </pt>
                  <pt idx="194">
                    <v>2020-12-04</v>
                  </pt>
                  <pt idx="195">
                    <v>2020-12-05</v>
                  </pt>
                  <pt idx="196">
                    <v>2020-12-06</v>
                  </pt>
                  <pt idx="197">
                    <v>2020-12-07</v>
                  </pt>
                  <pt idx="198">
                    <v>2020-12-08</v>
                  </pt>
                  <pt idx="199">
                    <v>2020-12-09</v>
                  </pt>
                  <pt idx="200">
                    <v>2020-12-10</v>
                  </pt>
                  <pt idx="201">
                    <v>2020-12-11</v>
                  </pt>
                  <pt idx="202">
                    <v>2020-12-12</v>
                  </pt>
                  <pt idx="203">
                    <v>2020-12-13</v>
                  </pt>
                  <pt idx="204">
                    <v>2020-12-14</v>
                  </pt>
                  <pt idx="205">
                    <v>2020-12-15</v>
                  </pt>
                  <pt idx="206">
                    <v>2020-12-16</v>
                  </pt>
                  <pt idx="207">
                    <v>2020-12-17</v>
                  </pt>
                  <pt idx="208">
                    <v>2020-12-18</v>
                  </pt>
                  <pt idx="209">
                    <v>2020-12-19</v>
                  </pt>
                  <pt idx="210">
                    <v>2020-12-20</v>
                  </pt>
                  <pt idx="211">
                    <v>2020-12-21</v>
                  </pt>
                  <pt idx="212">
                    <v>2020-12-22</v>
                  </pt>
                  <pt idx="213">
                    <v>2020-12-23</v>
                  </pt>
                  <pt idx="214">
                    <v>2020-12-24</v>
                  </pt>
                  <pt idx="215">
                    <v>2020-12-25</v>
                  </pt>
                  <pt idx="216">
                    <v>2020-12-26</v>
                  </pt>
                  <pt idx="217">
                    <v>2020-12-27</v>
                  </pt>
                  <pt idx="218">
                    <v>2020-12-28</v>
                  </pt>
                  <pt idx="219">
                    <v>2020-12-29</v>
                  </pt>
                  <pt idx="220">
                    <v>2020-12-30</v>
                  </pt>
                  <pt idx="221">
                    <v>2020-12-31</v>
                  </pt>
                  <pt idx="222">
                    <v>2021-01-01</v>
                  </pt>
                  <pt idx="223">
                    <v>2021-01-02</v>
                  </pt>
                  <pt idx="224">
                    <v>2021-01-03</v>
                  </pt>
                  <pt idx="225">
                    <v>2021-01-04</v>
                  </pt>
                  <pt idx="226">
                    <v>2021-01-05</v>
                  </pt>
                  <pt idx="227">
                    <v>2021-01-06</v>
                  </pt>
                  <pt idx="228">
                    <v>2021-01-07</v>
                  </pt>
                  <pt idx="229">
                    <v>2021-01-08</v>
                  </pt>
                  <pt idx="230">
                    <v>2021-01-09</v>
                  </pt>
                  <pt idx="231">
                    <v>2021-01-10</v>
                  </pt>
                  <pt idx="232">
                    <v>2021-01-11</v>
                  </pt>
                  <pt idx="233">
                    <v>2021-01-12</v>
                  </pt>
                  <pt idx="234">
                    <v>2021-01-13</v>
                  </pt>
                  <pt idx="235">
                    <v>2021-01-14</v>
                  </pt>
                  <pt idx="236">
                    <v>2021-01-15</v>
                  </pt>
                  <pt idx="237">
                    <v>2021-01-16</v>
                  </pt>
                  <pt idx="238">
                    <v>2021-01-17</v>
                  </pt>
                  <pt idx="239">
                    <v>2021-01-18</v>
                  </pt>
                  <pt idx="240">
                    <v>2021-01-19</v>
                  </pt>
                  <pt idx="241">
                    <v>2021-01-20</v>
                  </pt>
                  <pt idx="242">
                    <v>2021-01-21</v>
                  </pt>
                  <pt idx="243">
                    <v>2021-01-22</v>
                  </pt>
                  <pt idx="244">
                    <v>2021-01-23</v>
                  </pt>
                  <pt idx="245">
                    <v>2021-01-24</v>
                  </pt>
                  <pt idx="246">
                    <v>2021-01-25</v>
                  </pt>
                  <pt idx="247">
                    <v>2021-01-26</v>
                  </pt>
                  <pt idx="248">
                    <v>2021-01-27</v>
                  </pt>
                  <pt idx="249">
                    <v>2021-01-28</v>
                  </pt>
                  <pt idx="250">
                    <v>2021-01-29</v>
                  </pt>
                  <pt idx="251">
                    <v>2021-01-30</v>
                  </pt>
                  <pt idx="252">
                    <v>2021-01-31</v>
                  </pt>
                  <pt idx="253">
                    <v>2021-02-01</v>
                  </pt>
                  <pt idx="254">
                    <v>2021-02-02</v>
                  </pt>
                  <pt idx="255">
                    <v>2021-02-03</v>
                  </pt>
                  <pt idx="256">
                    <v>2021-02-04</v>
                  </pt>
                  <pt idx="257">
                    <v>2021-02-05</v>
                  </pt>
                  <pt idx="258">
                    <v>2021-02-06</v>
                  </pt>
                  <pt idx="259">
                    <v>2021-02-07</v>
                  </pt>
                  <pt idx="260">
                    <v>2021-02-08</v>
                  </pt>
                  <pt idx="261">
                    <v>2021-02-09</v>
                  </pt>
                </lvl>
              </multiLvlStrCache>
              <f>'상품별-피벗'!$B$5:$C$267</f>
            </multiLvlStrRef>
          </cat>
          <val>
            <numRef>
              <f>'상품별-피벗'!$E$5:$E$267</f>
              <numCache>
                <formatCode xml:space="preserve">#,##0_ </formatCode>
                <ptCount val="262"/>
                <pt idx="9">
                  <v>1</v>
                </pt>
                <pt idx="28">
                  <v>2</v>
                </pt>
                <pt idx="30">
                  <v>2</v>
                </pt>
                <pt idx="32">
                  <v>1</v>
                </pt>
                <pt idx="33">
                  <v>2</v>
                </pt>
                <pt idx="34">
                  <v>1</v>
                </pt>
                <pt idx="35">
                  <v>2</v>
                </pt>
                <pt idx="36">
                  <v>1</v>
                </pt>
                <pt idx="37">
                  <v>1</v>
                </pt>
                <pt idx="39">
                  <v>1</v>
                </pt>
                <pt idx="40">
                  <v>1</v>
                </pt>
                <pt idx="42">
                  <v>1</v>
                </pt>
                <pt idx="45">
                  <v>1</v>
                </pt>
                <pt idx="47">
                  <v>1</v>
                </pt>
                <pt idx="48">
                  <v>1</v>
                </pt>
                <pt idx="51">
                  <v>3</v>
                </pt>
                <pt idx="52">
                  <v>1</v>
                </pt>
                <pt idx="54">
                  <v>2</v>
                </pt>
                <pt idx="56">
                  <v>1</v>
                </pt>
                <pt idx="58">
                  <v>1</v>
                </pt>
                <pt idx="59">
                  <v>1</v>
                </pt>
                <pt idx="60">
                  <v>3</v>
                </pt>
                <pt idx="61">
                  <v>2</v>
                </pt>
                <pt idx="62">
                  <v>2</v>
                </pt>
                <pt idx="63">
                  <v>1</v>
                </pt>
                <pt idx="64">
                  <v>1</v>
                </pt>
                <pt idx="65">
                  <v>2</v>
                </pt>
                <pt idx="66">
                  <v>1</v>
                </pt>
                <pt idx="70">
                  <v>1</v>
                </pt>
                <pt idx="72">
                  <v>1</v>
                </pt>
                <pt idx="73">
                  <v>3</v>
                </pt>
                <pt idx="74">
                  <v>2</v>
                </pt>
                <pt idx="75">
                  <v>1</v>
                </pt>
                <pt idx="78">
                  <v>1</v>
                </pt>
                <pt idx="79">
                  <v>2</v>
                </pt>
                <pt idx="80">
                  <v>2</v>
                </pt>
                <pt idx="82">
                  <v>3</v>
                </pt>
                <pt idx="83">
                  <v>2</v>
                </pt>
                <pt idx="84">
                  <v>2</v>
                </pt>
                <pt idx="85">
                  <v>5</v>
                </pt>
                <pt idx="86">
                  <v>1</v>
                </pt>
                <pt idx="87">
                  <v>1</v>
                </pt>
                <pt idx="88">
                  <v>1</v>
                </pt>
                <pt idx="89">
                  <v>3</v>
                </pt>
                <pt idx="90">
                  <v>2</v>
                </pt>
                <pt idx="91">
                  <v>1</v>
                </pt>
                <pt idx="92">
                  <v>2</v>
                </pt>
                <pt idx="93">
                  <v>3</v>
                </pt>
                <pt idx="94">
                  <v>1</v>
                </pt>
                <pt idx="95">
                  <v>1</v>
                </pt>
                <pt idx="97">
                  <v>1</v>
                </pt>
                <pt idx="98">
                  <v>2</v>
                </pt>
                <pt idx="99">
                  <v>1</v>
                </pt>
                <pt idx="100">
                  <v>2</v>
                </pt>
                <pt idx="101">
                  <v>3</v>
                </pt>
                <pt idx="102">
                  <v>2</v>
                </pt>
                <pt idx="104">
                  <v>2</v>
                </pt>
                <pt idx="105">
                  <v>1</v>
                </pt>
                <pt idx="106">
                  <v>4</v>
                </pt>
                <pt idx="107">
                  <v>7</v>
                </pt>
                <pt idx="108">
                  <v>2</v>
                </pt>
                <pt idx="109">
                  <v>1</v>
                </pt>
                <pt idx="110">
                  <v>3</v>
                </pt>
                <pt idx="111">
                  <v>2</v>
                </pt>
                <pt idx="112">
                  <v>3</v>
                </pt>
                <pt idx="113">
                  <v>3</v>
                </pt>
                <pt idx="114">
                  <v>1</v>
                </pt>
                <pt idx="115">
                  <v>1</v>
                </pt>
                <pt idx="116">
                  <v>1</v>
                </pt>
                <pt idx="118">
                  <v>4</v>
                </pt>
                <pt idx="119">
                  <v>2</v>
                </pt>
                <pt idx="120">
                  <v>2</v>
                </pt>
                <pt idx="121">
                  <v>1</v>
                </pt>
                <pt idx="122">
                  <v>2</v>
                </pt>
                <pt idx="123">
                  <v>4</v>
                </pt>
                <pt idx="124">
                  <v>1</v>
                </pt>
                <pt idx="125">
                  <v>2</v>
                </pt>
                <pt idx="126">
                  <v>5</v>
                </pt>
                <pt idx="127">
                  <v>1</v>
                </pt>
                <pt idx="128">
                  <v>2</v>
                </pt>
                <pt idx="129">
                  <v>3</v>
                </pt>
                <pt idx="130">
                  <v>4</v>
                </pt>
                <pt idx="131">
                  <v>7</v>
                </pt>
                <pt idx="132">
                  <v>9</v>
                </pt>
                <pt idx="133">
                  <v>4</v>
                </pt>
                <pt idx="134">
                  <v>6</v>
                </pt>
                <pt idx="135">
                  <v>6</v>
                </pt>
                <pt idx="136">
                  <v>4</v>
                </pt>
                <pt idx="137">
                  <v>4</v>
                </pt>
                <pt idx="138">
                  <v>5</v>
                </pt>
                <pt idx="139">
                  <v>4</v>
                </pt>
                <pt idx="140">
                  <v>10</v>
                </pt>
                <pt idx="141">
                  <v>5</v>
                </pt>
                <pt idx="142">
                  <v>8</v>
                </pt>
                <pt idx="143">
                  <v>4</v>
                </pt>
                <pt idx="144">
                  <v>6</v>
                </pt>
                <pt idx="145">
                  <v>6</v>
                </pt>
                <pt idx="146">
                  <v>4</v>
                </pt>
                <pt idx="147">
                  <v>7</v>
                </pt>
                <pt idx="148">
                  <v>5</v>
                </pt>
                <pt idx="149">
                  <v>7</v>
                </pt>
                <pt idx="150">
                  <v>5</v>
                </pt>
                <pt idx="151">
                  <v>3</v>
                </pt>
                <pt idx="152">
                  <v>9</v>
                </pt>
                <pt idx="153">
                  <v>10</v>
                </pt>
                <pt idx="154">
                  <v>9</v>
                </pt>
                <pt idx="155">
                  <v>7</v>
                </pt>
                <pt idx="156">
                  <v>3</v>
                </pt>
                <pt idx="157">
                  <v>6</v>
                </pt>
                <pt idx="158">
                  <v>7</v>
                </pt>
                <pt idx="159">
                  <v>1</v>
                </pt>
                <pt idx="160">
                  <v>8</v>
                </pt>
                <pt idx="161">
                  <v>7</v>
                </pt>
                <pt idx="162">
                  <v>10</v>
                </pt>
                <pt idx="163">
                  <v>6</v>
                </pt>
                <pt idx="164">
                  <v>9</v>
                </pt>
                <pt idx="165">
                  <v>2</v>
                </pt>
                <pt idx="166">
                  <v>7</v>
                </pt>
                <pt idx="167">
                  <v>8</v>
                </pt>
                <pt idx="168">
                  <v>9</v>
                </pt>
                <pt idx="169">
                  <v>3</v>
                </pt>
                <pt idx="170">
                  <v>12</v>
                </pt>
                <pt idx="171">
                  <v>7</v>
                </pt>
                <pt idx="172">
                  <v>8</v>
                </pt>
                <pt idx="173">
                  <v>1</v>
                </pt>
                <pt idx="174">
                  <v>10</v>
                </pt>
                <pt idx="175">
                  <v>6</v>
                </pt>
                <pt idx="176">
                  <v>7</v>
                </pt>
                <pt idx="177">
                  <v>6</v>
                </pt>
                <pt idx="178">
                  <v>6</v>
                </pt>
                <pt idx="179">
                  <v>6</v>
                </pt>
                <pt idx="180">
                  <v>9</v>
                </pt>
                <pt idx="181">
                  <v>5</v>
                </pt>
                <pt idx="182">
                  <v>7</v>
                </pt>
                <pt idx="183">
                  <v>4</v>
                </pt>
                <pt idx="184">
                  <v>3</v>
                </pt>
                <pt idx="185">
                  <v>1</v>
                </pt>
                <pt idx="186">
                  <v>6</v>
                </pt>
                <pt idx="187">
                  <v>7</v>
                </pt>
                <pt idx="188">
                  <v>9</v>
                </pt>
                <pt idx="189">
                  <v>7</v>
                </pt>
                <pt idx="190">
                  <v>7</v>
                </pt>
                <pt idx="191">
                  <v>7</v>
                </pt>
                <pt idx="192">
                  <v>12</v>
                </pt>
                <pt idx="193">
                  <v>32</v>
                </pt>
                <pt idx="194">
                  <v>5</v>
                </pt>
                <pt idx="195">
                  <v>6</v>
                </pt>
                <pt idx="196">
                  <v>8</v>
                </pt>
                <pt idx="197">
                  <v>10</v>
                </pt>
                <pt idx="198">
                  <v>3</v>
                </pt>
                <pt idx="199">
                  <v>4</v>
                </pt>
                <pt idx="200">
                  <v>5</v>
                </pt>
                <pt idx="201">
                  <v>6</v>
                </pt>
                <pt idx="202">
                  <v>8</v>
                </pt>
                <pt idx="203">
                  <v>3</v>
                </pt>
                <pt idx="204">
                  <v>9</v>
                </pt>
                <pt idx="205">
                  <v>14</v>
                </pt>
                <pt idx="206">
                  <v>7</v>
                </pt>
                <pt idx="207">
                  <v>11</v>
                </pt>
                <pt idx="208">
                  <v>6</v>
                </pt>
                <pt idx="209">
                  <v>2</v>
                </pt>
                <pt idx="210">
                  <v>1</v>
                </pt>
                <pt idx="211">
                  <v>1</v>
                </pt>
                <pt idx="212">
                  <v>1</v>
                </pt>
                <pt idx="217">
                  <v>3</v>
                </pt>
                <pt idx="220">
                  <v>1</v>
                </pt>
                <pt idx="221">
                  <v>1</v>
                </pt>
                <pt idx="222">
                  <v>1</v>
                </pt>
                <pt idx="224">
                  <v>1</v>
                </pt>
                <pt idx="226">
                  <v>1</v>
                </pt>
                <pt idx="227">
                  <v>1</v>
                </pt>
                <pt idx="229">
                  <v>1</v>
                </pt>
                <pt idx="231">
                  <v>2</v>
                </pt>
                <pt idx="234">
                  <v>1</v>
                </pt>
                <pt idx="235">
                  <v>1</v>
                </pt>
                <pt idx="236">
                  <v>3</v>
                </pt>
                <pt idx="237">
                  <v>13</v>
                </pt>
                <pt idx="238">
                  <v>12</v>
                </pt>
                <pt idx="239">
                  <v>19</v>
                </pt>
                <pt idx="240">
                  <v>13</v>
                </pt>
                <pt idx="241">
                  <v>13</v>
                </pt>
                <pt idx="242">
                  <v>16</v>
                </pt>
                <pt idx="243">
                  <v>6</v>
                </pt>
                <pt idx="244">
                  <v>18</v>
                </pt>
                <pt idx="245">
                  <v>18</v>
                </pt>
                <pt idx="246">
                  <v>8</v>
                </pt>
                <pt idx="247">
                  <v>13</v>
                </pt>
                <pt idx="248">
                  <v>10</v>
                </pt>
                <pt idx="249">
                  <v>8</v>
                </pt>
                <pt idx="250">
                  <v>8</v>
                </pt>
                <pt idx="251">
                  <v>16</v>
                </pt>
                <pt idx="252">
                  <v>17</v>
                </pt>
                <pt idx="253">
                  <v>7</v>
                </pt>
                <pt idx="254">
                  <v>7</v>
                </pt>
                <pt idx="255">
                  <v>19</v>
                </pt>
                <pt idx="256">
                  <v>13</v>
                </pt>
                <pt idx="257">
                  <v>9</v>
                </pt>
                <pt idx="258">
                  <v>5</v>
                </pt>
                <pt idx="259">
                  <v>13</v>
                </pt>
                <pt idx="260">
                  <v>8</v>
                </pt>
                <pt idx="261">
                  <v>8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70"/>
        <overlap val="100"/>
        <axId val="1325711736"/>
        <axId val="1325712056"/>
      </barChart>
      <catAx>
        <axId val="132571173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1325712056"/>
        <crosses val="autoZero"/>
        <auto val="1"/>
        <lblAlgn val="ctr"/>
        <lblOffset val="100"/>
        <noMultiLvlLbl val="0"/>
      </catAx>
      <valAx>
        <axId val="132571205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_ 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1325711736"/>
        <crosses val="autoZero"/>
        <crossBetween val="between"/>
      </valAx>
    </plotArea>
    <legend>
      <legendPos val="t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pivotSource>
    <name>[02.유즈_이지어드민_데이터 정리_헤더변경 ★.xlsx]상품별-피벗!피벗 테이블3</name>
    <fmtId val="12"/>
  </pivotSource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4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ko-KR" sz="1440" b="1" i="1" kern="1200" spc="0" baseline="0">
                <a:solidFill>
                  <a:srgbClr val="595959"/>
                </a:solidFill>
                <effectLst/>
              </a:rPr>
              <a:t>상품별 판매</a:t>
            </a:r>
            <a:r>
              <a:rPr lang="ko-KR" altLang="en-US" sz="1440" b="1" i="1" kern="1200" spc="0" baseline="0">
                <a:solidFill>
                  <a:srgbClr val="595959"/>
                </a:solidFill>
                <effectLst/>
              </a:rPr>
              <a:t>액</a:t>
            </a:r>
            <a:r>
              <a:rPr lang="en-US" altLang="ko-KR" sz="1440" b="1" i="1" kern="1200" spc="0" baseline="0">
                <a:solidFill>
                  <a:srgbClr val="595959"/>
                </a:solidFill>
                <effectLst/>
              </a:rPr>
              <a:t xml:space="preserve">(CS, </a:t>
            </a:r>
            <a:r>
              <a:rPr lang="ko-KR" altLang="en-US" sz="1440" b="1" i="1" kern="1200" spc="0" baseline="0">
                <a:solidFill>
                  <a:srgbClr val="595959"/>
                </a:solidFill>
                <effectLst/>
              </a:rPr>
              <a:t>밀리밀</a:t>
            </a:r>
            <a:r>
              <a:rPr lang="ko-KR" altLang="ko-KR" sz="1440" b="1" i="1" kern="1200" spc="0" baseline="0">
                <a:solidFill>
                  <a:srgbClr val="595959"/>
                </a:solidFill>
                <effectLst/>
              </a:rPr>
              <a:t>건 제외</a:t>
            </a:r>
            <a:r>
              <a:rPr lang="en-US" altLang="ko-KR" sz="1440" b="1" i="1" kern="1200" spc="0" baseline="0">
                <a:solidFill>
                  <a:srgbClr val="595959"/>
                </a:solidFill>
                <effectLst/>
              </a:rPr>
              <a:t>)</a:t>
            </a:r>
            <a:endParaRPr lang="ko-KR" altLang="ko-KR">
              <effectLst/>
            </a:endParaRP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4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title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2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2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2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</pivotFmts>
    <plotArea>
      <layout/>
      <barChart>
        <barDir val="col"/>
        <grouping val="stacked"/>
        <varyColors val="0"/>
        <ser>
          <idx val="0"/>
          <order val="0"/>
          <tx>
            <strRef>
              <f>'상품별-피벗'!$L$3:$L$4</f>
              <strCache>
                <ptCount val="1"/>
                <pt idx="0">
                  <v>고체향수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multiLvlStrRef>
              <multiLvlStrCache>
                <lvl>
                  <pt idx="0">
                    <v>금</v>
                  </pt>
                  <pt idx="1">
                    <v>토</v>
                  </pt>
                  <pt idx="2">
                    <v>화</v>
                  </pt>
                  <pt idx="3">
                    <v>수</v>
                  </pt>
                  <pt idx="4">
                    <v>목</v>
                  </pt>
                  <pt idx="5">
                    <v>금</v>
                  </pt>
                  <pt idx="6">
                    <v>토</v>
                  </pt>
                  <pt idx="7">
                    <v>일</v>
                  </pt>
                  <pt idx="8">
                    <v>월</v>
                  </pt>
                  <pt idx="9">
                    <v>화</v>
                  </pt>
                  <pt idx="10">
                    <v>수</v>
                  </pt>
                  <pt idx="11">
                    <v>목</v>
                  </pt>
                  <pt idx="12">
                    <v>금</v>
                  </pt>
                  <pt idx="13">
                    <v>토</v>
                  </pt>
                  <pt idx="14">
                    <v>일</v>
                  </pt>
                  <pt idx="15">
                    <v>월</v>
                  </pt>
                  <pt idx="16">
                    <v>화</v>
                  </pt>
                  <pt idx="17">
                    <v>수</v>
                  </pt>
                  <pt idx="18">
                    <v>목</v>
                  </pt>
                  <pt idx="19">
                    <v>금</v>
                  </pt>
                  <pt idx="20">
                    <v>토</v>
                  </pt>
                  <pt idx="21">
                    <v>일</v>
                  </pt>
                  <pt idx="22">
                    <v>월</v>
                  </pt>
                  <pt idx="23">
                    <v>화</v>
                  </pt>
                  <pt idx="24">
                    <v>수</v>
                  </pt>
                  <pt idx="25">
                    <v>목</v>
                  </pt>
                  <pt idx="26">
                    <v>금</v>
                  </pt>
                  <pt idx="27">
                    <v>토</v>
                  </pt>
                  <pt idx="28">
                    <v>일</v>
                  </pt>
                  <pt idx="29">
                    <v>월</v>
                  </pt>
                  <pt idx="30">
                    <v>화</v>
                  </pt>
                  <pt idx="31">
                    <v>수</v>
                  </pt>
                  <pt idx="32">
                    <v>목</v>
                  </pt>
                  <pt idx="33">
                    <v>금</v>
                  </pt>
                  <pt idx="34">
                    <v>토</v>
                  </pt>
                  <pt idx="35">
                    <v>일</v>
                  </pt>
                  <pt idx="36">
                    <v>월</v>
                  </pt>
                  <pt idx="37">
                    <v>화</v>
                  </pt>
                  <pt idx="38">
                    <v>수</v>
                  </pt>
                  <pt idx="39">
                    <v>목</v>
                  </pt>
                  <pt idx="40">
                    <v>금</v>
                  </pt>
                  <pt idx="41">
                    <v>토</v>
                  </pt>
                  <pt idx="42">
                    <v>일</v>
                  </pt>
                  <pt idx="43">
                    <v>월</v>
                  </pt>
                  <pt idx="44">
                    <v>화</v>
                  </pt>
                  <pt idx="45">
                    <v>수</v>
                  </pt>
                  <pt idx="46">
                    <v>목</v>
                  </pt>
                  <pt idx="47">
                    <v>금</v>
                  </pt>
                  <pt idx="48">
                    <v>토</v>
                  </pt>
                  <pt idx="49">
                    <v>일</v>
                  </pt>
                  <pt idx="50">
                    <v>월</v>
                  </pt>
                  <pt idx="51">
                    <v>화</v>
                  </pt>
                  <pt idx="52">
                    <v>수</v>
                  </pt>
                  <pt idx="53">
                    <v>목</v>
                  </pt>
                  <pt idx="54">
                    <v>금</v>
                  </pt>
                  <pt idx="55">
                    <v>토</v>
                  </pt>
                  <pt idx="56">
                    <v>일</v>
                  </pt>
                  <pt idx="57">
                    <v>월</v>
                  </pt>
                  <pt idx="58">
                    <v>화</v>
                  </pt>
                  <pt idx="59">
                    <v>수</v>
                  </pt>
                  <pt idx="60">
                    <v>목</v>
                  </pt>
                  <pt idx="61">
                    <v>금</v>
                  </pt>
                  <pt idx="62">
                    <v>토</v>
                  </pt>
                  <pt idx="63">
                    <v>일</v>
                  </pt>
                  <pt idx="64">
                    <v>월</v>
                  </pt>
                  <pt idx="65">
                    <v>화</v>
                  </pt>
                  <pt idx="66">
                    <v>수</v>
                  </pt>
                  <pt idx="67">
                    <v>목</v>
                  </pt>
                  <pt idx="68">
                    <v>금</v>
                  </pt>
                  <pt idx="69">
                    <v>토</v>
                  </pt>
                  <pt idx="70">
                    <v>일</v>
                  </pt>
                  <pt idx="71">
                    <v>월</v>
                  </pt>
                  <pt idx="72">
                    <v>화</v>
                  </pt>
                  <pt idx="73">
                    <v>수</v>
                  </pt>
                  <pt idx="74">
                    <v>목</v>
                  </pt>
                  <pt idx="75">
                    <v>금</v>
                  </pt>
                  <pt idx="76">
                    <v>토</v>
                  </pt>
                  <pt idx="77">
                    <v>일</v>
                  </pt>
                  <pt idx="78">
                    <v>월</v>
                  </pt>
                  <pt idx="79">
                    <v>화</v>
                  </pt>
                  <pt idx="80">
                    <v>수</v>
                  </pt>
                  <pt idx="81">
                    <v>목</v>
                  </pt>
                  <pt idx="82">
                    <v>금</v>
                  </pt>
                  <pt idx="83">
                    <v>토</v>
                  </pt>
                  <pt idx="84">
                    <v>일</v>
                  </pt>
                  <pt idx="85">
                    <v>월</v>
                  </pt>
                  <pt idx="86">
                    <v>화</v>
                  </pt>
                  <pt idx="87">
                    <v>수</v>
                  </pt>
                  <pt idx="88">
                    <v>목</v>
                  </pt>
                  <pt idx="89">
                    <v>금</v>
                  </pt>
                  <pt idx="90">
                    <v>토</v>
                  </pt>
                  <pt idx="91">
                    <v>일</v>
                  </pt>
                  <pt idx="92">
                    <v>월</v>
                  </pt>
                  <pt idx="93">
                    <v>화</v>
                  </pt>
                  <pt idx="94">
                    <v>수</v>
                  </pt>
                  <pt idx="95">
                    <v>목</v>
                  </pt>
                  <pt idx="96">
                    <v>금</v>
                  </pt>
                  <pt idx="97">
                    <v>토</v>
                  </pt>
                  <pt idx="98">
                    <v>일</v>
                  </pt>
                  <pt idx="99">
                    <v>월</v>
                  </pt>
                  <pt idx="100">
                    <v>화</v>
                  </pt>
                  <pt idx="101">
                    <v>수</v>
                  </pt>
                  <pt idx="102">
                    <v>목</v>
                  </pt>
                  <pt idx="103">
                    <v>금</v>
                  </pt>
                  <pt idx="104">
                    <v>토</v>
                  </pt>
                  <pt idx="105">
                    <v>일</v>
                  </pt>
                  <pt idx="106">
                    <v>월</v>
                  </pt>
                  <pt idx="107">
                    <v>화</v>
                  </pt>
                  <pt idx="108">
                    <v>수</v>
                  </pt>
                  <pt idx="109">
                    <v>목</v>
                  </pt>
                  <pt idx="110">
                    <v>금</v>
                  </pt>
                  <pt idx="111">
                    <v>토</v>
                  </pt>
                  <pt idx="112">
                    <v>일</v>
                  </pt>
                  <pt idx="113">
                    <v>월</v>
                  </pt>
                  <pt idx="114">
                    <v>화</v>
                  </pt>
                  <pt idx="115">
                    <v>수</v>
                  </pt>
                  <pt idx="116">
                    <v>목</v>
                  </pt>
                  <pt idx="117">
                    <v>금</v>
                  </pt>
                  <pt idx="118">
                    <v>토</v>
                  </pt>
                  <pt idx="119">
                    <v>일</v>
                  </pt>
                  <pt idx="120">
                    <v>월</v>
                  </pt>
                  <pt idx="121">
                    <v>화</v>
                  </pt>
                  <pt idx="122">
                    <v>수</v>
                  </pt>
                  <pt idx="123">
                    <v>목</v>
                  </pt>
                  <pt idx="124">
                    <v>금</v>
                  </pt>
                  <pt idx="125">
                    <v>토</v>
                  </pt>
                  <pt idx="126">
                    <v>일</v>
                  </pt>
                  <pt idx="127">
                    <v>월</v>
                  </pt>
                  <pt idx="128">
                    <v>화</v>
                  </pt>
                  <pt idx="129">
                    <v>수</v>
                  </pt>
                  <pt idx="130">
                    <v>목</v>
                  </pt>
                  <pt idx="131">
                    <v>금</v>
                  </pt>
                  <pt idx="132">
                    <v>토</v>
                  </pt>
                  <pt idx="133">
                    <v>일</v>
                  </pt>
                  <pt idx="134">
                    <v>월</v>
                  </pt>
                  <pt idx="135">
                    <v>화</v>
                  </pt>
                  <pt idx="136">
                    <v>수</v>
                  </pt>
                  <pt idx="137">
                    <v>목</v>
                  </pt>
                  <pt idx="138">
                    <v>금</v>
                  </pt>
                  <pt idx="139">
                    <v>토</v>
                  </pt>
                  <pt idx="140">
                    <v>일</v>
                  </pt>
                  <pt idx="141">
                    <v>월</v>
                  </pt>
                  <pt idx="142">
                    <v>화</v>
                  </pt>
                  <pt idx="143">
                    <v>수</v>
                  </pt>
                  <pt idx="144">
                    <v>목</v>
                  </pt>
                  <pt idx="145">
                    <v>금</v>
                  </pt>
                  <pt idx="146">
                    <v>토</v>
                  </pt>
                  <pt idx="147">
                    <v>일</v>
                  </pt>
                  <pt idx="148">
                    <v>월</v>
                  </pt>
                  <pt idx="149">
                    <v>화</v>
                  </pt>
                  <pt idx="150">
                    <v>수</v>
                  </pt>
                  <pt idx="151">
                    <v>목</v>
                  </pt>
                  <pt idx="152">
                    <v>금</v>
                  </pt>
                  <pt idx="153">
                    <v>토</v>
                  </pt>
                  <pt idx="154">
                    <v>일</v>
                  </pt>
                  <pt idx="155">
                    <v>월</v>
                  </pt>
                  <pt idx="156">
                    <v>화</v>
                  </pt>
                  <pt idx="157">
                    <v>수</v>
                  </pt>
                  <pt idx="158">
                    <v>목</v>
                  </pt>
                  <pt idx="159">
                    <v>금</v>
                  </pt>
                  <pt idx="160">
                    <v>토</v>
                  </pt>
                  <pt idx="161">
                    <v>일</v>
                  </pt>
                  <pt idx="162">
                    <v>월</v>
                  </pt>
                  <pt idx="163">
                    <v>화</v>
                  </pt>
                  <pt idx="164">
                    <v>수</v>
                  </pt>
                  <pt idx="165">
                    <v>목</v>
                  </pt>
                  <pt idx="166">
                    <v>금</v>
                  </pt>
                  <pt idx="167">
                    <v>토</v>
                  </pt>
                  <pt idx="168">
                    <v>일</v>
                  </pt>
                  <pt idx="169">
                    <v>월</v>
                  </pt>
                  <pt idx="170">
                    <v>화</v>
                  </pt>
                  <pt idx="171">
                    <v>수</v>
                  </pt>
                  <pt idx="172">
                    <v>목</v>
                  </pt>
                  <pt idx="173">
                    <v>금</v>
                  </pt>
                  <pt idx="174">
                    <v>토</v>
                  </pt>
                  <pt idx="175">
                    <v>일</v>
                  </pt>
                  <pt idx="176">
                    <v>월</v>
                  </pt>
                  <pt idx="177">
                    <v>화</v>
                  </pt>
                  <pt idx="178">
                    <v>수</v>
                  </pt>
                  <pt idx="179">
                    <v>목</v>
                  </pt>
                  <pt idx="180">
                    <v>금</v>
                  </pt>
                  <pt idx="181">
                    <v>토</v>
                  </pt>
                  <pt idx="182">
                    <v>일</v>
                  </pt>
                  <pt idx="183">
                    <v>월</v>
                  </pt>
                  <pt idx="184">
                    <v>화</v>
                  </pt>
                  <pt idx="185">
                    <v>수</v>
                  </pt>
                  <pt idx="186">
                    <v>목</v>
                  </pt>
                  <pt idx="187">
                    <v>금</v>
                  </pt>
                  <pt idx="188">
                    <v>토</v>
                  </pt>
                  <pt idx="189">
                    <v>일</v>
                  </pt>
                  <pt idx="190">
                    <v>월</v>
                  </pt>
                  <pt idx="191">
                    <v>화</v>
                  </pt>
                  <pt idx="192">
                    <v>수</v>
                  </pt>
                  <pt idx="193">
                    <v>목</v>
                  </pt>
                  <pt idx="194">
                    <v>금</v>
                  </pt>
                  <pt idx="195">
                    <v>토</v>
                  </pt>
                  <pt idx="196">
                    <v>일</v>
                  </pt>
                  <pt idx="197">
                    <v>월</v>
                  </pt>
                  <pt idx="198">
                    <v>화</v>
                  </pt>
                  <pt idx="199">
                    <v>수</v>
                  </pt>
                  <pt idx="200">
                    <v>목</v>
                  </pt>
                  <pt idx="201">
                    <v>금</v>
                  </pt>
                  <pt idx="202">
                    <v>토</v>
                  </pt>
                  <pt idx="203">
                    <v>일</v>
                  </pt>
                  <pt idx="204">
                    <v>월</v>
                  </pt>
                  <pt idx="205">
                    <v>화</v>
                  </pt>
                  <pt idx="206">
                    <v>수</v>
                  </pt>
                  <pt idx="207">
                    <v>목</v>
                  </pt>
                  <pt idx="208">
                    <v>금</v>
                  </pt>
                  <pt idx="209">
                    <v>토</v>
                  </pt>
                  <pt idx="210">
                    <v>일</v>
                  </pt>
                  <pt idx="211">
                    <v>월</v>
                  </pt>
                  <pt idx="212">
                    <v>화</v>
                  </pt>
                  <pt idx="213">
                    <v>수</v>
                  </pt>
                  <pt idx="214">
                    <v>목</v>
                  </pt>
                  <pt idx="215">
                    <v>금</v>
                  </pt>
                  <pt idx="216">
                    <v>토</v>
                  </pt>
                  <pt idx="217">
                    <v>일</v>
                  </pt>
                  <pt idx="218">
                    <v>월</v>
                  </pt>
                  <pt idx="219">
                    <v>화</v>
                  </pt>
                  <pt idx="220">
                    <v>수</v>
                  </pt>
                  <pt idx="221">
                    <v>목</v>
                  </pt>
                  <pt idx="222">
                    <v>금</v>
                  </pt>
                  <pt idx="223">
                    <v>토</v>
                  </pt>
                  <pt idx="224">
                    <v>일</v>
                  </pt>
                  <pt idx="225">
                    <v>월</v>
                  </pt>
                  <pt idx="226">
                    <v>화</v>
                  </pt>
                  <pt idx="227">
                    <v>수</v>
                  </pt>
                  <pt idx="228">
                    <v>목</v>
                  </pt>
                  <pt idx="229">
                    <v>금</v>
                  </pt>
                  <pt idx="230">
                    <v>토</v>
                  </pt>
                  <pt idx="231">
                    <v>일</v>
                  </pt>
                  <pt idx="232">
                    <v>월</v>
                  </pt>
                  <pt idx="233">
                    <v>화</v>
                  </pt>
                  <pt idx="234">
                    <v>수</v>
                  </pt>
                  <pt idx="235">
                    <v>목</v>
                  </pt>
                  <pt idx="236">
                    <v>금</v>
                  </pt>
                  <pt idx="237">
                    <v>토</v>
                  </pt>
                  <pt idx="238">
                    <v>일</v>
                  </pt>
                  <pt idx="239">
                    <v>월</v>
                  </pt>
                  <pt idx="240">
                    <v>화</v>
                  </pt>
                  <pt idx="241">
                    <v>수</v>
                  </pt>
                  <pt idx="242">
                    <v>목</v>
                  </pt>
                  <pt idx="243">
                    <v>금</v>
                  </pt>
                  <pt idx="244">
                    <v>토</v>
                  </pt>
                  <pt idx="245">
                    <v>일</v>
                  </pt>
                  <pt idx="246">
                    <v>월</v>
                  </pt>
                  <pt idx="247">
                    <v>화</v>
                  </pt>
                  <pt idx="248">
                    <v>수</v>
                  </pt>
                  <pt idx="249">
                    <v>목</v>
                  </pt>
                  <pt idx="250">
                    <v>금</v>
                  </pt>
                  <pt idx="251">
                    <v>토</v>
                  </pt>
                  <pt idx="252">
                    <v>일</v>
                  </pt>
                  <pt idx="253">
                    <v>월</v>
                  </pt>
                  <pt idx="254">
                    <v>화</v>
                  </pt>
                  <pt idx="255">
                    <v>수</v>
                  </pt>
                  <pt idx="256">
                    <v>목</v>
                  </pt>
                  <pt idx="257">
                    <v>금</v>
                  </pt>
                  <pt idx="258">
                    <v>토</v>
                  </pt>
                  <pt idx="259">
                    <v>일</v>
                  </pt>
                  <pt idx="260">
                    <v>월</v>
                  </pt>
                  <pt idx="261">
                    <v>화</v>
                  </pt>
                </lvl>
                <lvl>
                  <pt idx="0">
                    <v>2020-05-22</v>
                  </pt>
                  <pt idx="1">
                    <v>2020-05-23</v>
                  </pt>
                  <pt idx="2">
                    <v>2020-05-26</v>
                  </pt>
                  <pt idx="3">
                    <v>2020-05-27</v>
                  </pt>
                  <pt idx="4">
                    <v>2020-05-28</v>
                  </pt>
                  <pt idx="5">
                    <v>2020-05-29</v>
                  </pt>
                  <pt idx="6">
                    <v>2020-05-30</v>
                  </pt>
                  <pt idx="7">
                    <v>2020-05-31</v>
                  </pt>
                  <pt idx="8">
                    <v>2020-06-01</v>
                  </pt>
                  <pt idx="9">
                    <v>2020-06-02</v>
                  </pt>
                  <pt idx="10">
                    <v>2020-06-03</v>
                  </pt>
                  <pt idx="11">
                    <v>2020-06-04</v>
                  </pt>
                  <pt idx="12">
                    <v>2020-06-05</v>
                  </pt>
                  <pt idx="13">
                    <v>2020-06-06</v>
                  </pt>
                  <pt idx="14">
                    <v>2020-06-07</v>
                  </pt>
                  <pt idx="15">
                    <v>2020-06-08</v>
                  </pt>
                  <pt idx="16">
                    <v>2020-06-09</v>
                  </pt>
                  <pt idx="17">
                    <v>2020-06-10</v>
                  </pt>
                  <pt idx="18">
                    <v>2020-06-11</v>
                  </pt>
                  <pt idx="19">
                    <v>2020-06-12</v>
                  </pt>
                  <pt idx="20">
                    <v>2020-06-13</v>
                  </pt>
                  <pt idx="21">
                    <v>2020-06-14</v>
                  </pt>
                  <pt idx="22">
                    <v>2020-06-15</v>
                  </pt>
                  <pt idx="23">
                    <v>2020-06-16</v>
                  </pt>
                  <pt idx="24">
                    <v>2020-06-17</v>
                  </pt>
                  <pt idx="25">
                    <v>2020-06-18</v>
                  </pt>
                  <pt idx="26">
                    <v>2020-06-19</v>
                  </pt>
                  <pt idx="27">
                    <v>2020-06-20</v>
                  </pt>
                  <pt idx="28">
                    <v>2020-06-21</v>
                  </pt>
                  <pt idx="29">
                    <v>2020-06-22</v>
                  </pt>
                  <pt idx="30">
                    <v>2020-06-23</v>
                  </pt>
                  <pt idx="31">
                    <v>2020-06-24</v>
                  </pt>
                  <pt idx="32">
                    <v>2020-06-25</v>
                  </pt>
                  <pt idx="33">
                    <v>2020-06-26</v>
                  </pt>
                  <pt idx="34">
                    <v>2020-06-27</v>
                  </pt>
                  <pt idx="35">
                    <v>2020-06-28</v>
                  </pt>
                  <pt idx="36">
                    <v>2020-06-29</v>
                  </pt>
                  <pt idx="37">
                    <v>2020-06-30</v>
                  </pt>
                  <pt idx="38">
                    <v>2020-07-01</v>
                  </pt>
                  <pt idx="39">
                    <v>2020-07-02</v>
                  </pt>
                  <pt idx="40">
                    <v>2020-07-03</v>
                  </pt>
                  <pt idx="41">
                    <v>2020-07-04</v>
                  </pt>
                  <pt idx="42">
                    <v>2020-07-05</v>
                  </pt>
                  <pt idx="43">
                    <v>2020-07-06</v>
                  </pt>
                  <pt idx="44">
                    <v>2020-07-07</v>
                  </pt>
                  <pt idx="45">
                    <v>2020-07-08</v>
                  </pt>
                  <pt idx="46">
                    <v>2020-07-09</v>
                  </pt>
                  <pt idx="47">
                    <v>2020-07-10</v>
                  </pt>
                  <pt idx="48">
                    <v>2020-07-11</v>
                  </pt>
                  <pt idx="49">
                    <v>2020-07-12</v>
                  </pt>
                  <pt idx="50">
                    <v>2020-07-13</v>
                  </pt>
                  <pt idx="51">
                    <v>2020-07-14</v>
                  </pt>
                  <pt idx="52">
                    <v>2020-07-15</v>
                  </pt>
                  <pt idx="53">
                    <v>2020-07-16</v>
                  </pt>
                  <pt idx="54">
                    <v>2020-07-17</v>
                  </pt>
                  <pt idx="55">
                    <v>2020-07-18</v>
                  </pt>
                  <pt idx="56">
                    <v>2020-07-19</v>
                  </pt>
                  <pt idx="57">
                    <v>2020-07-20</v>
                  </pt>
                  <pt idx="58">
                    <v>2020-07-21</v>
                  </pt>
                  <pt idx="59">
                    <v>2020-07-22</v>
                  </pt>
                  <pt idx="60">
                    <v>2020-07-23</v>
                  </pt>
                  <pt idx="61">
                    <v>2020-07-24</v>
                  </pt>
                  <pt idx="62">
                    <v>2020-07-25</v>
                  </pt>
                  <pt idx="63">
                    <v>2020-07-26</v>
                  </pt>
                  <pt idx="64">
                    <v>2020-07-27</v>
                  </pt>
                  <pt idx="65">
                    <v>2020-07-28</v>
                  </pt>
                  <pt idx="66">
                    <v>2020-07-29</v>
                  </pt>
                  <pt idx="67">
                    <v>2020-07-30</v>
                  </pt>
                  <pt idx="68">
                    <v>2020-07-31</v>
                  </pt>
                  <pt idx="69">
                    <v>2020-08-01</v>
                  </pt>
                  <pt idx="70">
                    <v>2020-08-02</v>
                  </pt>
                  <pt idx="71">
                    <v>2020-08-03</v>
                  </pt>
                  <pt idx="72">
                    <v>2020-08-04</v>
                  </pt>
                  <pt idx="73">
                    <v>2020-08-05</v>
                  </pt>
                  <pt idx="74">
                    <v>2020-08-06</v>
                  </pt>
                  <pt idx="75">
                    <v>2020-08-07</v>
                  </pt>
                  <pt idx="76">
                    <v>2020-08-08</v>
                  </pt>
                  <pt idx="77">
                    <v>2020-08-09</v>
                  </pt>
                  <pt idx="78">
                    <v>2020-08-10</v>
                  </pt>
                  <pt idx="79">
                    <v>2020-08-11</v>
                  </pt>
                  <pt idx="80">
                    <v>2020-08-12</v>
                  </pt>
                  <pt idx="81">
                    <v>2020-08-13</v>
                  </pt>
                  <pt idx="82">
                    <v>2020-08-14</v>
                  </pt>
                  <pt idx="83">
                    <v>2020-08-15</v>
                  </pt>
                  <pt idx="84">
                    <v>2020-08-16</v>
                  </pt>
                  <pt idx="85">
                    <v>2020-08-17</v>
                  </pt>
                  <pt idx="86">
                    <v>2020-08-18</v>
                  </pt>
                  <pt idx="87">
                    <v>2020-08-19</v>
                  </pt>
                  <pt idx="88">
                    <v>2020-08-20</v>
                  </pt>
                  <pt idx="89">
                    <v>2020-08-21</v>
                  </pt>
                  <pt idx="90">
                    <v>2020-08-22</v>
                  </pt>
                  <pt idx="91">
                    <v>2020-08-23</v>
                  </pt>
                  <pt idx="92">
                    <v>2020-08-24</v>
                  </pt>
                  <pt idx="93">
                    <v>2020-08-25</v>
                  </pt>
                  <pt idx="94">
                    <v>2020-08-26</v>
                  </pt>
                  <pt idx="95">
                    <v>2020-08-27</v>
                  </pt>
                  <pt idx="96">
                    <v>2020-08-28</v>
                  </pt>
                  <pt idx="97">
                    <v>2020-08-29</v>
                  </pt>
                  <pt idx="98">
                    <v>2020-08-30</v>
                  </pt>
                  <pt idx="99">
                    <v>2020-08-31</v>
                  </pt>
                  <pt idx="100">
                    <v>2020-09-01</v>
                  </pt>
                  <pt idx="101">
                    <v>2020-09-02</v>
                  </pt>
                  <pt idx="102">
                    <v>2020-09-03</v>
                  </pt>
                  <pt idx="103">
                    <v>2020-09-04</v>
                  </pt>
                  <pt idx="104">
                    <v>2020-09-05</v>
                  </pt>
                  <pt idx="105">
                    <v>2020-09-06</v>
                  </pt>
                  <pt idx="106">
                    <v>2020-09-07</v>
                  </pt>
                  <pt idx="107">
                    <v>2020-09-08</v>
                  </pt>
                  <pt idx="108">
                    <v>2020-09-09</v>
                  </pt>
                  <pt idx="109">
                    <v>2020-09-10</v>
                  </pt>
                  <pt idx="110">
                    <v>2020-09-11</v>
                  </pt>
                  <pt idx="111">
                    <v>2020-09-12</v>
                  </pt>
                  <pt idx="112">
                    <v>2020-09-13</v>
                  </pt>
                  <pt idx="113">
                    <v>2020-09-14</v>
                  </pt>
                  <pt idx="114">
                    <v>2020-09-15</v>
                  </pt>
                  <pt idx="115">
                    <v>2020-09-16</v>
                  </pt>
                  <pt idx="116">
                    <v>2020-09-17</v>
                  </pt>
                  <pt idx="117">
                    <v>2020-09-18</v>
                  </pt>
                  <pt idx="118">
                    <v>2020-09-19</v>
                  </pt>
                  <pt idx="119">
                    <v>2020-09-20</v>
                  </pt>
                  <pt idx="120">
                    <v>2020-09-21</v>
                  </pt>
                  <pt idx="121">
                    <v>2020-09-22</v>
                  </pt>
                  <pt idx="122">
                    <v>2020-09-23</v>
                  </pt>
                  <pt idx="123">
                    <v>2020-09-24</v>
                  </pt>
                  <pt idx="124">
                    <v>2020-09-25</v>
                  </pt>
                  <pt idx="125">
                    <v>2020-09-26</v>
                  </pt>
                  <pt idx="126">
                    <v>2020-09-27</v>
                  </pt>
                  <pt idx="127">
                    <v>2020-09-28</v>
                  </pt>
                  <pt idx="128">
                    <v>2020-09-29</v>
                  </pt>
                  <pt idx="129">
                    <v>2020-09-30</v>
                  </pt>
                  <pt idx="130">
                    <v>2020-10-01</v>
                  </pt>
                  <pt idx="131">
                    <v>2020-10-02</v>
                  </pt>
                  <pt idx="132">
                    <v>2020-10-03</v>
                  </pt>
                  <pt idx="133">
                    <v>2020-10-04</v>
                  </pt>
                  <pt idx="134">
                    <v>2020-10-05</v>
                  </pt>
                  <pt idx="135">
                    <v>2020-10-06</v>
                  </pt>
                  <pt idx="136">
                    <v>2020-10-07</v>
                  </pt>
                  <pt idx="137">
                    <v>2020-10-08</v>
                  </pt>
                  <pt idx="138">
                    <v>2020-10-09</v>
                  </pt>
                  <pt idx="139">
                    <v>2020-10-10</v>
                  </pt>
                  <pt idx="140">
                    <v>2020-10-11</v>
                  </pt>
                  <pt idx="141">
                    <v>2020-10-12</v>
                  </pt>
                  <pt idx="142">
                    <v>2020-10-13</v>
                  </pt>
                  <pt idx="143">
                    <v>2020-10-14</v>
                  </pt>
                  <pt idx="144">
                    <v>2020-10-15</v>
                  </pt>
                  <pt idx="145">
                    <v>2020-10-16</v>
                  </pt>
                  <pt idx="146">
                    <v>2020-10-17</v>
                  </pt>
                  <pt idx="147">
                    <v>2020-10-18</v>
                  </pt>
                  <pt idx="148">
                    <v>2020-10-19</v>
                  </pt>
                  <pt idx="149">
                    <v>2020-10-20</v>
                  </pt>
                  <pt idx="150">
                    <v>2020-10-21</v>
                  </pt>
                  <pt idx="151">
                    <v>2020-10-22</v>
                  </pt>
                  <pt idx="152">
                    <v>2020-10-23</v>
                  </pt>
                  <pt idx="153">
                    <v>2020-10-24</v>
                  </pt>
                  <pt idx="154">
                    <v>2020-10-25</v>
                  </pt>
                  <pt idx="155">
                    <v>2020-10-26</v>
                  </pt>
                  <pt idx="156">
                    <v>2020-10-27</v>
                  </pt>
                  <pt idx="157">
                    <v>2020-10-28</v>
                  </pt>
                  <pt idx="158">
                    <v>2020-10-29</v>
                  </pt>
                  <pt idx="159">
                    <v>2020-10-30</v>
                  </pt>
                  <pt idx="160">
                    <v>2020-10-31</v>
                  </pt>
                  <pt idx="161">
                    <v>2020-11-01</v>
                  </pt>
                  <pt idx="162">
                    <v>2020-11-02</v>
                  </pt>
                  <pt idx="163">
                    <v>2020-11-03</v>
                  </pt>
                  <pt idx="164">
                    <v>2020-11-04</v>
                  </pt>
                  <pt idx="165">
                    <v>2020-11-05</v>
                  </pt>
                  <pt idx="166">
                    <v>2020-11-06</v>
                  </pt>
                  <pt idx="167">
                    <v>2020-11-07</v>
                  </pt>
                  <pt idx="168">
                    <v>2020-11-08</v>
                  </pt>
                  <pt idx="169">
                    <v>2020-11-09</v>
                  </pt>
                  <pt idx="170">
                    <v>2020-11-10</v>
                  </pt>
                  <pt idx="171">
                    <v>2020-11-11</v>
                  </pt>
                  <pt idx="172">
                    <v>2020-11-12</v>
                  </pt>
                  <pt idx="173">
                    <v>2020-11-13</v>
                  </pt>
                  <pt idx="174">
                    <v>2020-11-14</v>
                  </pt>
                  <pt idx="175">
                    <v>2020-11-15</v>
                  </pt>
                  <pt idx="176">
                    <v>2020-11-16</v>
                  </pt>
                  <pt idx="177">
                    <v>2020-11-17</v>
                  </pt>
                  <pt idx="178">
                    <v>2020-11-18</v>
                  </pt>
                  <pt idx="179">
                    <v>2020-11-19</v>
                  </pt>
                  <pt idx="180">
                    <v>2020-11-20</v>
                  </pt>
                  <pt idx="181">
                    <v>2020-11-21</v>
                  </pt>
                  <pt idx="182">
                    <v>2020-11-22</v>
                  </pt>
                  <pt idx="183">
                    <v>2020-11-23</v>
                  </pt>
                  <pt idx="184">
                    <v>2020-11-24</v>
                  </pt>
                  <pt idx="185">
                    <v>2020-11-25</v>
                  </pt>
                  <pt idx="186">
                    <v>2020-11-26</v>
                  </pt>
                  <pt idx="187">
                    <v>2020-11-27</v>
                  </pt>
                  <pt idx="188">
                    <v>2020-11-28</v>
                  </pt>
                  <pt idx="189">
                    <v>2020-11-29</v>
                  </pt>
                  <pt idx="190">
                    <v>2020-11-30</v>
                  </pt>
                  <pt idx="191">
                    <v>2020-12-01</v>
                  </pt>
                  <pt idx="192">
                    <v>2020-12-02</v>
                  </pt>
                  <pt idx="193">
                    <v>2020-12-03</v>
                  </pt>
                  <pt idx="194">
                    <v>2020-12-04</v>
                  </pt>
                  <pt idx="195">
                    <v>2020-12-05</v>
                  </pt>
                  <pt idx="196">
                    <v>2020-12-06</v>
                  </pt>
                  <pt idx="197">
                    <v>2020-12-07</v>
                  </pt>
                  <pt idx="198">
                    <v>2020-12-08</v>
                  </pt>
                  <pt idx="199">
                    <v>2020-12-09</v>
                  </pt>
                  <pt idx="200">
                    <v>2020-12-10</v>
                  </pt>
                  <pt idx="201">
                    <v>2020-12-11</v>
                  </pt>
                  <pt idx="202">
                    <v>2020-12-12</v>
                  </pt>
                  <pt idx="203">
                    <v>2020-12-13</v>
                  </pt>
                  <pt idx="204">
                    <v>2020-12-14</v>
                  </pt>
                  <pt idx="205">
                    <v>2020-12-15</v>
                  </pt>
                  <pt idx="206">
                    <v>2020-12-16</v>
                  </pt>
                  <pt idx="207">
                    <v>2020-12-17</v>
                  </pt>
                  <pt idx="208">
                    <v>2020-12-18</v>
                  </pt>
                  <pt idx="209">
                    <v>2020-12-19</v>
                  </pt>
                  <pt idx="210">
                    <v>2020-12-20</v>
                  </pt>
                  <pt idx="211">
                    <v>2020-12-21</v>
                  </pt>
                  <pt idx="212">
                    <v>2020-12-22</v>
                  </pt>
                  <pt idx="213">
                    <v>2020-12-23</v>
                  </pt>
                  <pt idx="214">
                    <v>2020-12-24</v>
                  </pt>
                  <pt idx="215">
                    <v>2020-12-25</v>
                  </pt>
                  <pt idx="216">
                    <v>2020-12-26</v>
                  </pt>
                  <pt idx="217">
                    <v>2020-12-27</v>
                  </pt>
                  <pt idx="218">
                    <v>2020-12-28</v>
                  </pt>
                  <pt idx="219">
                    <v>2020-12-29</v>
                  </pt>
                  <pt idx="220">
                    <v>2020-12-30</v>
                  </pt>
                  <pt idx="221">
                    <v>2020-12-31</v>
                  </pt>
                  <pt idx="222">
                    <v>2021-01-01</v>
                  </pt>
                  <pt idx="223">
                    <v>2021-01-02</v>
                  </pt>
                  <pt idx="224">
                    <v>2021-01-03</v>
                  </pt>
                  <pt idx="225">
                    <v>2021-01-04</v>
                  </pt>
                  <pt idx="226">
                    <v>2021-01-05</v>
                  </pt>
                  <pt idx="227">
                    <v>2021-01-06</v>
                  </pt>
                  <pt idx="228">
                    <v>2021-01-07</v>
                  </pt>
                  <pt idx="229">
                    <v>2021-01-08</v>
                  </pt>
                  <pt idx="230">
                    <v>2021-01-09</v>
                  </pt>
                  <pt idx="231">
                    <v>2021-01-10</v>
                  </pt>
                  <pt idx="232">
                    <v>2021-01-11</v>
                  </pt>
                  <pt idx="233">
                    <v>2021-01-12</v>
                  </pt>
                  <pt idx="234">
                    <v>2021-01-13</v>
                  </pt>
                  <pt idx="235">
                    <v>2021-01-14</v>
                  </pt>
                  <pt idx="236">
                    <v>2021-01-15</v>
                  </pt>
                  <pt idx="237">
                    <v>2021-01-16</v>
                  </pt>
                  <pt idx="238">
                    <v>2021-01-17</v>
                  </pt>
                  <pt idx="239">
                    <v>2021-01-18</v>
                  </pt>
                  <pt idx="240">
                    <v>2021-01-19</v>
                  </pt>
                  <pt idx="241">
                    <v>2021-01-20</v>
                  </pt>
                  <pt idx="242">
                    <v>2021-01-21</v>
                  </pt>
                  <pt idx="243">
                    <v>2021-01-22</v>
                  </pt>
                  <pt idx="244">
                    <v>2021-01-23</v>
                  </pt>
                  <pt idx="245">
                    <v>2021-01-24</v>
                  </pt>
                  <pt idx="246">
                    <v>2021-01-25</v>
                  </pt>
                  <pt idx="247">
                    <v>2021-01-26</v>
                  </pt>
                  <pt idx="248">
                    <v>2021-01-27</v>
                  </pt>
                  <pt idx="249">
                    <v>2021-01-28</v>
                  </pt>
                  <pt idx="250">
                    <v>2021-01-29</v>
                  </pt>
                  <pt idx="251">
                    <v>2021-01-30</v>
                  </pt>
                  <pt idx="252">
                    <v>2021-01-31</v>
                  </pt>
                  <pt idx="253">
                    <v>2021-02-01</v>
                  </pt>
                  <pt idx="254">
                    <v>2021-02-02</v>
                  </pt>
                  <pt idx="255">
                    <v>2021-02-03</v>
                  </pt>
                  <pt idx="256">
                    <v>2021-02-04</v>
                  </pt>
                  <pt idx="257">
                    <v>2021-02-05</v>
                  </pt>
                  <pt idx="258">
                    <v>2021-02-06</v>
                  </pt>
                  <pt idx="259">
                    <v>2021-02-07</v>
                  </pt>
                  <pt idx="260">
                    <v>2021-02-08</v>
                  </pt>
                  <pt idx="261">
                    <v>2021-02-09</v>
                  </pt>
                </lvl>
              </multiLvlStrCache>
              <f>'상품별-피벗'!$J$5:$K$267</f>
            </multiLvlStrRef>
          </cat>
          <val>
            <numRef>
              <f>'상품별-피벗'!$L$5:$L$267</f>
              <numCache>
                <formatCode xml:space="preserve">#,##0_ </formatCode>
                <ptCount val="262"/>
                <pt idx="0">
                  <v>76000</v>
                </pt>
                <pt idx="1">
                  <v>38000</v>
                </pt>
                <pt idx="2">
                  <v>259000</v>
                </pt>
                <pt idx="3">
                  <v>480000</v>
                </pt>
                <pt idx="4">
                  <v>228000</v>
                </pt>
                <pt idx="5">
                  <v>107000</v>
                </pt>
                <pt idx="6">
                  <v>190000</v>
                </pt>
                <pt idx="7">
                  <v>183000</v>
                </pt>
                <pt idx="8">
                  <v>76000</v>
                </pt>
                <pt idx="9">
                  <v>145000</v>
                </pt>
                <pt idx="10">
                  <v>114000</v>
                </pt>
                <pt idx="11">
                  <v>1019000</v>
                </pt>
                <pt idx="12">
                  <v>456000</v>
                </pt>
                <pt idx="13">
                  <v>411000</v>
                </pt>
                <pt idx="14">
                  <v>494000</v>
                </pt>
                <pt idx="15">
                  <v>874000</v>
                </pt>
                <pt idx="16">
                  <v>798000</v>
                </pt>
                <pt idx="17">
                  <v>960000</v>
                </pt>
                <pt idx="18">
                  <v>597200</v>
                </pt>
                <pt idx="19">
                  <v>489600</v>
                </pt>
                <pt idx="20">
                  <v>1086800</v>
                </pt>
                <pt idx="21">
                  <v>770000</v>
                </pt>
                <pt idx="22">
                  <v>741200</v>
                </pt>
                <pt idx="23">
                  <v>712400</v>
                </pt>
                <pt idx="24">
                  <v>927600</v>
                </pt>
                <pt idx="25">
                  <v>1785600</v>
                </pt>
                <pt idx="26">
                  <v>1893200</v>
                </pt>
                <pt idx="27">
                  <v>2840400</v>
                </pt>
                <pt idx="28">
                  <v>3355800</v>
                </pt>
                <pt idx="29">
                  <v>2573600</v>
                </pt>
                <pt idx="30">
                  <v>3057000</v>
                </pt>
                <pt idx="31">
                  <v>3116000</v>
                </pt>
                <pt idx="32">
                  <v>3193000</v>
                </pt>
                <pt idx="33">
                  <v>2612000</v>
                </pt>
                <pt idx="34">
                  <v>2346000</v>
                </pt>
                <pt idx="35">
                  <v>2850000</v>
                </pt>
                <pt idx="36">
                  <v>2006000</v>
                </pt>
                <pt idx="37">
                  <v>2173000</v>
                </pt>
                <pt idx="38">
                  <v>1938000</v>
                </pt>
                <pt idx="39">
                  <v>1190000</v>
                </pt>
                <pt idx="40">
                  <v>714000</v>
                </pt>
                <pt idx="41">
                  <v>238000</v>
                </pt>
                <pt idx="42">
                  <v>510000</v>
                </pt>
                <pt idx="43">
                  <v>1054000</v>
                </pt>
                <pt idx="44">
                  <v>1589000</v>
                </pt>
                <pt idx="45">
                  <v>1085000</v>
                </pt>
                <pt idx="46">
                  <v>1459000</v>
                </pt>
                <pt idx="47">
                  <v>1020000</v>
                </pt>
                <pt idx="48">
                  <v>1224000</v>
                </pt>
                <pt idx="49">
                  <v>2312000</v>
                </pt>
                <pt idx="50">
                  <v>1762000</v>
                </pt>
                <pt idx="51">
                  <v>2881000</v>
                </pt>
                <pt idx="52">
                  <v>3975000</v>
                </pt>
                <pt idx="53">
                  <v>1734000</v>
                </pt>
                <pt idx="54">
                  <v>3026000</v>
                </pt>
                <pt idx="55">
                  <v>1428000</v>
                </pt>
                <pt idx="56">
                  <v>1564000</v>
                </pt>
                <pt idx="57">
                  <v>2408200</v>
                </pt>
                <pt idx="58">
                  <v>3642000</v>
                </pt>
                <pt idx="59">
                  <v>3942000</v>
                </pt>
                <pt idx="60">
                  <v>4371800</v>
                </pt>
                <pt idx="61">
                  <v>4677600</v>
                </pt>
                <pt idx="62">
                  <v>4103000</v>
                </pt>
                <pt idx="63">
                  <v>5781800</v>
                </pt>
                <pt idx="64">
                  <v>4254600</v>
                </pt>
                <pt idx="65">
                  <v>4730400</v>
                </pt>
                <pt idx="66">
                  <v>3867800</v>
                </pt>
                <pt idx="67">
                  <v>2554000</v>
                </pt>
                <pt idx="68">
                  <v>2340400</v>
                </pt>
                <pt idx="69">
                  <v>2532400</v>
                </pt>
                <pt idx="70">
                  <v>2467200</v>
                </pt>
                <pt idx="71">
                  <v>3184800</v>
                </pt>
                <pt idx="72">
                  <v>3320800</v>
                </pt>
                <pt idx="73">
                  <v>2918400</v>
                </pt>
                <pt idx="74">
                  <v>2600400</v>
                </pt>
                <pt idx="75">
                  <v>2934000</v>
                </pt>
                <pt idx="76">
                  <v>2832000</v>
                </pt>
                <pt idx="77">
                  <v>3441200</v>
                </pt>
                <pt idx="78">
                  <v>3320800</v>
                </pt>
                <pt idx="79">
                  <v>2705200</v>
                </pt>
                <pt idx="80">
                  <v>2980800</v>
                </pt>
                <pt idx="81">
                  <v>2405600</v>
                </pt>
                <pt idx="82">
                  <v>2056400</v>
                </pt>
                <pt idx="83">
                  <v>1719200</v>
                </pt>
                <pt idx="84">
                  <v>1830400</v>
                </pt>
                <pt idx="85">
                  <v>2331200</v>
                </pt>
                <pt idx="86">
                  <v>2872400</v>
                </pt>
                <pt idx="87">
                  <v>3345600</v>
                </pt>
                <pt idx="88">
                  <v>3144400</v>
                </pt>
                <pt idx="89">
                  <v>2541600</v>
                </pt>
                <pt idx="90">
                  <v>2708800</v>
                </pt>
                <pt idx="91">
                  <v>3673600</v>
                </pt>
                <pt idx="92">
                  <v>3005600</v>
                </pt>
                <pt idx="93">
                  <v>2714400</v>
                </pt>
                <pt idx="94">
                  <v>3422800</v>
                </pt>
                <pt idx="95">
                  <v>3642400</v>
                </pt>
                <pt idx="96">
                  <v>3166400</v>
                </pt>
                <pt idx="97">
                  <v>3017600</v>
                </pt>
                <pt idx="98">
                  <v>3760000</v>
                </pt>
                <pt idx="99">
                  <v>3620400</v>
                </pt>
                <pt idx="100">
                  <v>4177200</v>
                </pt>
                <pt idx="101">
                  <v>4000800</v>
                </pt>
                <pt idx="102">
                  <v>3454000</v>
                </pt>
                <pt idx="103">
                  <v>3744400</v>
                </pt>
                <pt idx="104">
                  <v>3042400</v>
                </pt>
                <pt idx="105">
                  <v>3130800</v>
                </pt>
                <pt idx="106">
                  <v>3094800</v>
                </pt>
                <pt idx="107">
                  <v>3098400</v>
                </pt>
                <pt idx="108">
                  <v>3497200</v>
                </pt>
                <pt idx="109">
                  <v>2992800</v>
                </pt>
                <pt idx="110">
                  <v>3454000</v>
                </pt>
                <pt idx="111">
                  <v>2940400</v>
                </pt>
                <pt idx="112">
                  <v>3284000</v>
                </pt>
                <pt idx="113">
                  <v>3610400</v>
                </pt>
                <pt idx="114">
                  <v>3902400</v>
                </pt>
                <pt idx="115">
                  <v>2965200</v>
                </pt>
                <pt idx="116">
                  <v>3463200</v>
                </pt>
                <pt idx="117">
                  <v>3568800</v>
                </pt>
                <pt idx="118">
                  <v>3426400</v>
                </pt>
                <pt idx="119">
                  <v>3880400</v>
                </pt>
                <pt idx="120">
                  <v>3546800</v>
                </pt>
                <pt idx="121">
                  <v>3794000</v>
                </pt>
                <pt idx="122">
                  <v>4122000</v>
                </pt>
                <pt idx="123">
                  <v>4174400</v>
                </pt>
                <pt idx="124">
                  <v>4158800</v>
                </pt>
                <pt idx="125">
                  <v>5454400</v>
                </pt>
                <pt idx="126">
                  <v>7109200</v>
                </pt>
                <pt idx="127">
                  <v>6577200</v>
                </pt>
                <pt idx="128">
                  <v>9117200</v>
                </pt>
                <pt idx="129">
                  <v>13151600</v>
                </pt>
                <pt idx="130">
                  <v>13670800</v>
                </pt>
                <pt idx="131">
                  <v>12776000</v>
                </pt>
                <pt idx="132">
                  <v>13314400</v>
                </pt>
                <pt idx="133">
                  <v>12409200</v>
                </pt>
                <pt idx="134">
                  <v>11008800</v>
                </pt>
                <pt idx="135">
                  <v>10740400</v>
                </pt>
                <pt idx="136">
                  <v>10940000</v>
                </pt>
                <pt idx="137">
                  <v>7860800</v>
                </pt>
                <pt idx="138">
                  <v>11018000</v>
                </pt>
                <pt idx="139">
                  <v>11122800</v>
                </pt>
                <pt idx="140">
                  <v>13014800</v>
                </pt>
                <pt idx="141">
                  <v>10850800</v>
                </pt>
                <pt idx="142">
                  <v>11487600</v>
                </pt>
                <pt idx="143">
                  <v>12523200</v>
                </pt>
                <pt idx="144">
                  <v>11467600</v>
                </pt>
                <pt idx="145">
                  <v>10786400</v>
                </pt>
                <pt idx="146">
                  <v>13133200</v>
                </pt>
                <pt idx="147">
                  <v>12369600</v>
                </pt>
                <pt idx="148">
                  <v>11666800</v>
                </pt>
                <pt idx="149">
                  <v>11926800</v>
                </pt>
                <pt idx="150">
                  <v>11463600</v>
                </pt>
                <pt idx="151">
                  <v>12679200</v>
                </pt>
                <pt idx="152">
                  <v>12152800</v>
                </pt>
                <pt idx="153">
                  <v>12632400</v>
                </pt>
                <pt idx="154">
                  <v>12619600</v>
                </pt>
                <pt idx="155">
                  <v>12558000</v>
                </pt>
                <pt idx="156">
                  <v>11772400</v>
                </pt>
                <pt idx="157">
                  <v>13670000</v>
                </pt>
                <pt idx="158">
                  <v>11916800</v>
                </pt>
                <pt idx="159">
                  <v>10943600</v>
                </pt>
                <pt idx="160">
                  <v>12857600</v>
                </pt>
                <pt idx="161">
                  <v>14926000</v>
                </pt>
                <pt idx="162">
                  <v>14119200</v>
                </pt>
                <pt idx="163">
                  <v>15691200</v>
                </pt>
                <pt idx="164">
                  <v>14292800</v>
                </pt>
                <pt idx="165">
                  <v>13392400</v>
                </pt>
                <pt idx="166">
                  <v>13591600</v>
                </pt>
                <pt idx="167">
                  <v>15517600</v>
                </pt>
                <pt idx="168">
                  <v>14477600</v>
                </pt>
                <pt idx="169">
                  <v>12174000</v>
                </pt>
                <pt idx="170">
                  <v>14214800</v>
                </pt>
                <pt idx="171">
                  <v>16968400</v>
                </pt>
                <pt idx="172">
                  <v>14781600</v>
                </pt>
                <pt idx="173">
                  <v>13962000</v>
                </pt>
                <pt idx="174">
                  <v>16770000</v>
                </pt>
                <pt idx="175">
                  <v>11588800</v>
                </pt>
                <pt idx="176">
                  <v>9788400</v>
                </pt>
                <pt idx="177">
                  <v>12994400</v>
                </pt>
                <pt idx="178">
                  <v>11182400</v>
                </pt>
                <pt idx="179">
                  <v>11262400</v>
                </pt>
                <pt idx="180">
                  <v>11980800</v>
                </pt>
                <pt idx="181">
                  <v>13922400</v>
                </pt>
                <pt idx="182">
                  <v>14134400</v>
                </pt>
                <pt idx="183">
                  <v>8737200</v>
                </pt>
                <pt idx="184">
                  <v>8433200</v>
                </pt>
                <pt idx="185">
                  <v>8381600</v>
                </pt>
                <pt idx="186">
                  <v>7935200</v>
                </pt>
                <pt idx="187">
                  <v>8898400</v>
                </pt>
                <pt idx="188">
                  <v>10333200</v>
                </pt>
                <pt idx="189">
                  <v>12019200</v>
                </pt>
                <pt idx="190">
                  <v>9068000</v>
                </pt>
                <pt idx="191">
                  <v>12468800</v>
                </pt>
                <pt idx="192">
                  <v>15013200</v>
                </pt>
                <pt idx="193">
                  <v>52413200</v>
                </pt>
                <pt idx="194">
                  <v>10880400</v>
                </pt>
                <pt idx="195">
                  <v>13197400</v>
                </pt>
                <pt idx="196">
                  <v>14063400</v>
                </pt>
                <pt idx="197">
                  <v>22741200</v>
                </pt>
                <pt idx="198">
                  <v>11016600</v>
                </pt>
                <pt idx="199">
                  <v>10546800</v>
                </pt>
                <pt idx="200">
                  <v>10762800</v>
                </pt>
                <pt idx="201">
                  <v>11698000</v>
                </pt>
                <pt idx="202">
                  <v>16383400</v>
                </pt>
                <pt idx="203">
                  <v>15713200</v>
                </pt>
                <pt idx="204">
                  <v>19361800</v>
                </pt>
                <pt idx="205">
                  <v>20713800</v>
                </pt>
                <pt idx="206">
                  <v>18867400</v>
                </pt>
                <pt idx="207">
                  <v>20443600</v>
                </pt>
                <pt idx="208">
                  <v>17773200</v>
                </pt>
                <pt idx="209">
                  <v>21077800</v>
                </pt>
                <pt idx="210">
                  <v>18225000</v>
                </pt>
                <pt idx="211">
                  <v>12034000</v>
                </pt>
                <pt idx="212">
                  <v>12603400</v>
                </pt>
                <pt idx="213">
                  <v>18672800</v>
                </pt>
                <pt idx="214">
                  <v>18820400</v>
                </pt>
                <pt idx="215">
                  <v>29531000</v>
                </pt>
                <pt idx="216">
                  <v>33493600</v>
                </pt>
                <pt idx="217">
                  <v>30174800</v>
                </pt>
                <pt idx="218">
                  <v>19059600</v>
                </pt>
                <pt idx="219">
                  <v>19231600</v>
                </pt>
                <pt idx="220">
                  <v>19884800</v>
                </pt>
                <pt idx="221">
                  <v>18434800</v>
                </pt>
                <pt idx="222">
                  <v>33841600</v>
                </pt>
                <pt idx="223">
                  <v>29041600</v>
                </pt>
                <pt idx="224">
                  <v>27196800</v>
                </pt>
                <pt idx="225">
                  <v>26620400</v>
                </pt>
                <pt idx="226">
                  <v>27215600</v>
                </pt>
                <pt idx="227">
                  <v>24646400</v>
                </pt>
                <pt idx="228">
                  <v>23910000</v>
                </pt>
                <pt idx="229">
                  <v>20600000</v>
                </pt>
                <pt idx="230">
                  <v>27721600</v>
                </pt>
                <pt idx="231">
                  <v>31303600</v>
                </pt>
                <pt idx="232">
                  <v>21795600</v>
                </pt>
                <pt idx="233">
                  <v>25275200</v>
                </pt>
                <pt idx="234">
                  <v>25698800</v>
                </pt>
                <pt idx="235">
                  <v>19532800</v>
                </pt>
                <pt idx="236">
                  <v>20062400</v>
                </pt>
                <pt idx="237">
                  <v>24355200</v>
                </pt>
                <pt idx="238">
                  <v>28096000</v>
                </pt>
                <pt idx="239">
                  <v>21718800</v>
                </pt>
                <pt idx="240">
                  <v>18712400</v>
                </pt>
                <pt idx="241">
                  <v>19778000</v>
                </pt>
                <pt idx="242">
                  <v>20614400</v>
                </pt>
                <pt idx="243">
                  <v>17063200</v>
                </pt>
                <pt idx="244">
                  <v>25994000</v>
                </pt>
                <pt idx="245">
                  <v>27961200</v>
                </pt>
                <pt idx="246">
                  <v>20682800</v>
                </pt>
                <pt idx="247">
                  <v>17596800</v>
                </pt>
                <pt idx="248">
                  <v>19769600</v>
                </pt>
                <pt idx="249">
                  <v>18115200</v>
                </pt>
                <pt idx="250">
                  <v>16810000</v>
                </pt>
                <pt idx="251">
                  <v>17204400</v>
                </pt>
                <pt idx="252">
                  <v>20685600</v>
                </pt>
                <pt idx="253">
                  <v>19671200</v>
                </pt>
                <pt idx="254">
                  <v>18701200</v>
                </pt>
                <pt idx="255">
                  <v>30199600</v>
                </pt>
                <pt idx="256">
                  <v>19672400</v>
                </pt>
                <pt idx="257">
                  <v>16270400</v>
                </pt>
                <pt idx="258">
                  <v>18049200</v>
                </pt>
                <pt idx="259">
                  <v>20185600</v>
                </pt>
                <pt idx="260">
                  <v>13476400</v>
                </pt>
                <pt idx="261">
                  <v>15248000</v>
                </pt>
              </numCache>
            </numRef>
          </val>
        </ser>
        <ser>
          <idx val="1"/>
          <order val="1"/>
          <tx>
            <strRef>
              <f>'상품별-피벗'!$M$3:$M$4</f>
              <strCache>
                <ptCount val="1"/>
                <pt idx="0">
                  <v>쇼핑백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multiLvlStrRef>
              <multiLvlStrCache>
                <lvl>
                  <pt idx="0">
                    <v>금</v>
                  </pt>
                  <pt idx="1">
                    <v>토</v>
                  </pt>
                  <pt idx="2">
                    <v>화</v>
                  </pt>
                  <pt idx="3">
                    <v>수</v>
                  </pt>
                  <pt idx="4">
                    <v>목</v>
                  </pt>
                  <pt idx="5">
                    <v>금</v>
                  </pt>
                  <pt idx="6">
                    <v>토</v>
                  </pt>
                  <pt idx="7">
                    <v>일</v>
                  </pt>
                  <pt idx="8">
                    <v>월</v>
                  </pt>
                  <pt idx="9">
                    <v>화</v>
                  </pt>
                  <pt idx="10">
                    <v>수</v>
                  </pt>
                  <pt idx="11">
                    <v>목</v>
                  </pt>
                  <pt idx="12">
                    <v>금</v>
                  </pt>
                  <pt idx="13">
                    <v>토</v>
                  </pt>
                  <pt idx="14">
                    <v>일</v>
                  </pt>
                  <pt idx="15">
                    <v>월</v>
                  </pt>
                  <pt idx="16">
                    <v>화</v>
                  </pt>
                  <pt idx="17">
                    <v>수</v>
                  </pt>
                  <pt idx="18">
                    <v>목</v>
                  </pt>
                  <pt idx="19">
                    <v>금</v>
                  </pt>
                  <pt idx="20">
                    <v>토</v>
                  </pt>
                  <pt idx="21">
                    <v>일</v>
                  </pt>
                  <pt idx="22">
                    <v>월</v>
                  </pt>
                  <pt idx="23">
                    <v>화</v>
                  </pt>
                  <pt idx="24">
                    <v>수</v>
                  </pt>
                  <pt idx="25">
                    <v>목</v>
                  </pt>
                  <pt idx="26">
                    <v>금</v>
                  </pt>
                  <pt idx="27">
                    <v>토</v>
                  </pt>
                  <pt idx="28">
                    <v>일</v>
                  </pt>
                  <pt idx="29">
                    <v>월</v>
                  </pt>
                  <pt idx="30">
                    <v>화</v>
                  </pt>
                  <pt idx="31">
                    <v>수</v>
                  </pt>
                  <pt idx="32">
                    <v>목</v>
                  </pt>
                  <pt idx="33">
                    <v>금</v>
                  </pt>
                  <pt idx="34">
                    <v>토</v>
                  </pt>
                  <pt idx="35">
                    <v>일</v>
                  </pt>
                  <pt idx="36">
                    <v>월</v>
                  </pt>
                  <pt idx="37">
                    <v>화</v>
                  </pt>
                  <pt idx="38">
                    <v>수</v>
                  </pt>
                  <pt idx="39">
                    <v>목</v>
                  </pt>
                  <pt idx="40">
                    <v>금</v>
                  </pt>
                  <pt idx="41">
                    <v>토</v>
                  </pt>
                  <pt idx="42">
                    <v>일</v>
                  </pt>
                  <pt idx="43">
                    <v>월</v>
                  </pt>
                  <pt idx="44">
                    <v>화</v>
                  </pt>
                  <pt idx="45">
                    <v>수</v>
                  </pt>
                  <pt idx="46">
                    <v>목</v>
                  </pt>
                  <pt idx="47">
                    <v>금</v>
                  </pt>
                  <pt idx="48">
                    <v>토</v>
                  </pt>
                  <pt idx="49">
                    <v>일</v>
                  </pt>
                  <pt idx="50">
                    <v>월</v>
                  </pt>
                  <pt idx="51">
                    <v>화</v>
                  </pt>
                  <pt idx="52">
                    <v>수</v>
                  </pt>
                  <pt idx="53">
                    <v>목</v>
                  </pt>
                  <pt idx="54">
                    <v>금</v>
                  </pt>
                  <pt idx="55">
                    <v>토</v>
                  </pt>
                  <pt idx="56">
                    <v>일</v>
                  </pt>
                  <pt idx="57">
                    <v>월</v>
                  </pt>
                  <pt idx="58">
                    <v>화</v>
                  </pt>
                  <pt idx="59">
                    <v>수</v>
                  </pt>
                  <pt idx="60">
                    <v>목</v>
                  </pt>
                  <pt idx="61">
                    <v>금</v>
                  </pt>
                  <pt idx="62">
                    <v>토</v>
                  </pt>
                  <pt idx="63">
                    <v>일</v>
                  </pt>
                  <pt idx="64">
                    <v>월</v>
                  </pt>
                  <pt idx="65">
                    <v>화</v>
                  </pt>
                  <pt idx="66">
                    <v>수</v>
                  </pt>
                  <pt idx="67">
                    <v>목</v>
                  </pt>
                  <pt idx="68">
                    <v>금</v>
                  </pt>
                  <pt idx="69">
                    <v>토</v>
                  </pt>
                  <pt idx="70">
                    <v>일</v>
                  </pt>
                  <pt idx="71">
                    <v>월</v>
                  </pt>
                  <pt idx="72">
                    <v>화</v>
                  </pt>
                  <pt idx="73">
                    <v>수</v>
                  </pt>
                  <pt idx="74">
                    <v>목</v>
                  </pt>
                  <pt idx="75">
                    <v>금</v>
                  </pt>
                  <pt idx="76">
                    <v>토</v>
                  </pt>
                  <pt idx="77">
                    <v>일</v>
                  </pt>
                  <pt idx="78">
                    <v>월</v>
                  </pt>
                  <pt idx="79">
                    <v>화</v>
                  </pt>
                  <pt idx="80">
                    <v>수</v>
                  </pt>
                  <pt idx="81">
                    <v>목</v>
                  </pt>
                  <pt idx="82">
                    <v>금</v>
                  </pt>
                  <pt idx="83">
                    <v>토</v>
                  </pt>
                  <pt idx="84">
                    <v>일</v>
                  </pt>
                  <pt idx="85">
                    <v>월</v>
                  </pt>
                  <pt idx="86">
                    <v>화</v>
                  </pt>
                  <pt idx="87">
                    <v>수</v>
                  </pt>
                  <pt idx="88">
                    <v>목</v>
                  </pt>
                  <pt idx="89">
                    <v>금</v>
                  </pt>
                  <pt idx="90">
                    <v>토</v>
                  </pt>
                  <pt idx="91">
                    <v>일</v>
                  </pt>
                  <pt idx="92">
                    <v>월</v>
                  </pt>
                  <pt idx="93">
                    <v>화</v>
                  </pt>
                  <pt idx="94">
                    <v>수</v>
                  </pt>
                  <pt idx="95">
                    <v>목</v>
                  </pt>
                  <pt idx="96">
                    <v>금</v>
                  </pt>
                  <pt idx="97">
                    <v>토</v>
                  </pt>
                  <pt idx="98">
                    <v>일</v>
                  </pt>
                  <pt idx="99">
                    <v>월</v>
                  </pt>
                  <pt idx="100">
                    <v>화</v>
                  </pt>
                  <pt idx="101">
                    <v>수</v>
                  </pt>
                  <pt idx="102">
                    <v>목</v>
                  </pt>
                  <pt idx="103">
                    <v>금</v>
                  </pt>
                  <pt idx="104">
                    <v>토</v>
                  </pt>
                  <pt idx="105">
                    <v>일</v>
                  </pt>
                  <pt idx="106">
                    <v>월</v>
                  </pt>
                  <pt idx="107">
                    <v>화</v>
                  </pt>
                  <pt idx="108">
                    <v>수</v>
                  </pt>
                  <pt idx="109">
                    <v>목</v>
                  </pt>
                  <pt idx="110">
                    <v>금</v>
                  </pt>
                  <pt idx="111">
                    <v>토</v>
                  </pt>
                  <pt idx="112">
                    <v>일</v>
                  </pt>
                  <pt idx="113">
                    <v>월</v>
                  </pt>
                  <pt idx="114">
                    <v>화</v>
                  </pt>
                  <pt idx="115">
                    <v>수</v>
                  </pt>
                  <pt idx="116">
                    <v>목</v>
                  </pt>
                  <pt idx="117">
                    <v>금</v>
                  </pt>
                  <pt idx="118">
                    <v>토</v>
                  </pt>
                  <pt idx="119">
                    <v>일</v>
                  </pt>
                  <pt idx="120">
                    <v>월</v>
                  </pt>
                  <pt idx="121">
                    <v>화</v>
                  </pt>
                  <pt idx="122">
                    <v>수</v>
                  </pt>
                  <pt idx="123">
                    <v>목</v>
                  </pt>
                  <pt idx="124">
                    <v>금</v>
                  </pt>
                  <pt idx="125">
                    <v>토</v>
                  </pt>
                  <pt idx="126">
                    <v>일</v>
                  </pt>
                  <pt idx="127">
                    <v>월</v>
                  </pt>
                  <pt idx="128">
                    <v>화</v>
                  </pt>
                  <pt idx="129">
                    <v>수</v>
                  </pt>
                  <pt idx="130">
                    <v>목</v>
                  </pt>
                  <pt idx="131">
                    <v>금</v>
                  </pt>
                  <pt idx="132">
                    <v>토</v>
                  </pt>
                  <pt idx="133">
                    <v>일</v>
                  </pt>
                  <pt idx="134">
                    <v>월</v>
                  </pt>
                  <pt idx="135">
                    <v>화</v>
                  </pt>
                  <pt idx="136">
                    <v>수</v>
                  </pt>
                  <pt idx="137">
                    <v>목</v>
                  </pt>
                  <pt idx="138">
                    <v>금</v>
                  </pt>
                  <pt idx="139">
                    <v>토</v>
                  </pt>
                  <pt idx="140">
                    <v>일</v>
                  </pt>
                  <pt idx="141">
                    <v>월</v>
                  </pt>
                  <pt idx="142">
                    <v>화</v>
                  </pt>
                  <pt idx="143">
                    <v>수</v>
                  </pt>
                  <pt idx="144">
                    <v>목</v>
                  </pt>
                  <pt idx="145">
                    <v>금</v>
                  </pt>
                  <pt idx="146">
                    <v>토</v>
                  </pt>
                  <pt idx="147">
                    <v>일</v>
                  </pt>
                  <pt idx="148">
                    <v>월</v>
                  </pt>
                  <pt idx="149">
                    <v>화</v>
                  </pt>
                  <pt idx="150">
                    <v>수</v>
                  </pt>
                  <pt idx="151">
                    <v>목</v>
                  </pt>
                  <pt idx="152">
                    <v>금</v>
                  </pt>
                  <pt idx="153">
                    <v>토</v>
                  </pt>
                  <pt idx="154">
                    <v>일</v>
                  </pt>
                  <pt idx="155">
                    <v>월</v>
                  </pt>
                  <pt idx="156">
                    <v>화</v>
                  </pt>
                  <pt idx="157">
                    <v>수</v>
                  </pt>
                  <pt idx="158">
                    <v>목</v>
                  </pt>
                  <pt idx="159">
                    <v>금</v>
                  </pt>
                  <pt idx="160">
                    <v>토</v>
                  </pt>
                  <pt idx="161">
                    <v>일</v>
                  </pt>
                  <pt idx="162">
                    <v>월</v>
                  </pt>
                  <pt idx="163">
                    <v>화</v>
                  </pt>
                  <pt idx="164">
                    <v>수</v>
                  </pt>
                  <pt idx="165">
                    <v>목</v>
                  </pt>
                  <pt idx="166">
                    <v>금</v>
                  </pt>
                  <pt idx="167">
                    <v>토</v>
                  </pt>
                  <pt idx="168">
                    <v>일</v>
                  </pt>
                  <pt idx="169">
                    <v>월</v>
                  </pt>
                  <pt idx="170">
                    <v>화</v>
                  </pt>
                  <pt idx="171">
                    <v>수</v>
                  </pt>
                  <pt idx="172">
                    <v>목</v>
                  </pt>
                  <pt idx="173">
                    <v>금</v>
                  </pt>
                  <pt idx="174">
                    <v>토</v>
                  </pt>
                  <pt idx="175">
                    <v>일</v>
                  </pt>
                  <pt idx="176">
                    <v>월</v>
                  </pt>
                  <pt idx="177">
                    <v>화</v>
                  </pt>
                  <pt idx="178">
                    <v>수</v>
                  </pt>
                  <pt idx="179">
                    <v>목</v>
                  </pt>
                  <pt idx="180">
                    <v>금</v>
                  </pt>
                  <pt idx="181">
                    <v>토</v>
                  </pt>
                  <pt idx="182">
                    <v>일</v>
                  </pt>
                  <pt idx="183">
                    <v>월</v>
                  </pt>
                  <pt idx="184">
                    <v>화</v>
                  </pt>
                  <pt idx="185">
                    <v>수</v>
                  </pt>
                  <pt idx="186">
                    <v>목</v>
                  </pt>
                  <pt idx="187">
                    <v>금</v>
                  </pt>
                  <pt idx="188">
                    <v>토</v>
                  </pt>
                  <pt idx="189">
                    <v>일</v>
                  </pt>
                  <pt idx="190">
                    <v>월</v>
                  </pt>
                  <pt idx="191">
                    <v>화</v>
                  </pt>
                  <pt idx="192">
                    <v>수</v>
                  </pt>
                  <pt idx="193">
                    <v>목</v>
                  </pt>
                  <pt idx="194">
                    <v>금</v>
                  </pt>
                  <pt idx="195">
                    <v>토</v>
                  </pt>
                  <pt idx="196">
                    <v>일</v>
                  </pt>
                  <pt idx="197">
                    <v>월</v>
                  </pt>
                  <pt idx="198">
                    <v>화</v>
                  </pt>
                  <pt idx="199">
                    <v>수</v>
                  </pt>
                  <pt idx="200">
                    <v>목</v>
                  </pt>
                  <pt idx="201">
                    <v>금</v>
                  </pt>
                  <pt idx="202">
                    <v>토</v>
                  </pt>
                  <pt idx="203">
                    <v>일</v>
                  </pt>
                  <pt idx="204">
                    <v>월</v>
                  </pt>
                  <pt idx="205">
                    <v>화</v>
                  </pt>
                  <pt idx="206">
                    <v>수</v>
                  </pt>
                  <pt idx="207">
                    <v>목</v>
                  </pt>
                  <pt idx="208">
                    <v>금</v>
                  </pt>
                  <pt idx="209">
                    <v>토</v>
                  </pt>
                  <pt idx="210">
                    <v>일</v>
                  </pt>
                  <pt idx="211">
                    <v>월</v>
                  </pt>
                  <pt idx="212">
                    <v>화</v>
                  </pt>
                  <pt idx="213">
                    <v>수</v>
                  </pt>
                  <pt idx="214">
                    <v>목</v>
                  </pt>
                  <pt idx="215">
                    <v>금</v>
                  </pt>
                  <pt idx="216">
                    <v>토</v>
                  </pt>
                  <pt idx="217">
                    <v>일</v>
                  </pt>
                  <pt idx="218">
                    <v>월</v>
                  </pt>
                  <pt idx="219">
                    <v>화</v>
                  </pt>
                  <pt idx="220">
                    <v>수</v>
                  </pt>
                  <pt idx="221">
                    <v>목</v>
                  </pt>
                  <pt idx="222">
                    <v>금</v>
                  </pt>
                  <pt idx="223">
                    <v>토</v>
                  </pt>
                  <pt idx="224">
                    <v>일</v>
                  </pt>
                  <pt idx="225">
                    <v>월</v>
                  </pt>
                  <pt idx="226">
                    <v>화</v>
                  </pt>
                  <pt idx="227">
                    <v>수</v>
                  </pt>
                  <pt idx="228">
                    <v>목</v>
                  </pt>
                  <pt idx="229">
                    <v>금</v>
                  </pt>
                  <pt idx="230">
                    <v>토</v>
                  </pt>
                  <pt idx="231">
                    <v>일</v>
                  </pt>
                  <pt idx="232">
                    <v>월</v>
                  </pt>
                  <pt idx="233">
                    <v>화</v>
                  </pt>
                  <pt idx="234">
                    <v>수</v>
                  </pt>
                  <pt idx="235">
                    <v>목</v>
                  </pt>
                  <pt idx="236">
                    <v>금</v>
                  </pt>
                  <pt idx="237">
                    <v>토</v>
                  </pt>
                  <pt idx="238">
                    <v>일</v>
                  </pt>
                  <pt idx="239">
                    <v>월</v>
                  </pt>
                  <pt idx="240">
                    <v>화</v>
                  </pt>
                  <pt idx="241">
                    <v>수</v>
                  </pt>
                  <pt idx="242">
                    <v>목</v>
                  </pt>
                  <pt idx="243">
                    <v>금</v>
                  </pt>
                  <pt idx="244">
                    <v>토</v>
                  </pt>
                  <pt idx="245">
                    <v>일</v>
                  </pt>
                  <pt idx="246">
                    <v>월</v>
                  </pt>
                  <pt idx="247">
                    <v>화</v>
                  </pt>
                  <pt idx="248">
                    <v>수</v>
                  </pt>
                  <pt idx="249">
                    <v>목</v>
                  </pt>
                  <pt idx="250">
                    <v>금</v>
                  </pt>
                  <pt idx="251">
                    <v>토</v>
                  </pt>
                  <pt idx="252">
                    <v>일</v>
                  </pt>
                  <pt idx="253">
                    <v>월</v>
                  </pt>
                  <pt idx="254">
                    <v>화</v>
                  </pt>
                  <pt idx="255">
                    <v>수</v>
                  </pt>
                  <pt idx="256">
                    <v>목</v>
                  </pt>
                  <pt idx="257">
                    <v>금</v>
                  </pt>
                  <pt idx="258">
                    <v>토</v>
                  </pt>
                  <pt idx="259">
                    <v>일</v>
                  </pt>
                  <pt idx="260">
                    <v>월</v>
                  </pt>
                  <pt idx="261">
                    <v>화</v>
                  </pt>
                </lvl>
                <lvl>
                  <pt idx="0">
                    <v>2020-05-22</v>
                  </pt>
                  <pt idx="1">
                    <v>2020-05-23</v>
                  </pt>
                  <pt idx="2">
                    <v>2020-05-26</v>
                  </pt>
                  <pt idx="3">
                    <v>2020-05-27</v>
                  </pt>
                  <pt idx="4">
                    <v>2020-05-28</v>
                  </pt>
                  <pt idx="5">
                    <v>2020-05-29</v>
                  </pt>
                  <pt idx="6">
                    <v>2020-05-30</v>
                  </pt>
                  <pt idx="7">
                    <v>2020-05-31</v>
                  </pt>
                  <pt idx="8">
                    <v>2020-06-01</v>
                  </pt>
                  <pt idx="9">
                    <v>2020-06-02</v>
                  </pt>
                  <pt idx="10">
                    <v>2020-06-03</v>
                  </pt>
                  <pt idx="11">
                    <v>2020-06-04</v>
                  </pt>
                  <pt idx="12">
                    <v>2020-06-05</v>
                  </pt>
                  <pt idx="13">
                    <v>2020-06-06</v>
                  </pt>
                  <pt idx="14">
                    <v>2020-06-07</v>
                  </pt>
                  <pt idx="15">
                    <v>2020-06-08</v>
                  </pt>
                  <pt idx="16">
                    <v>2020-06-09</v>
                  </pt>
                  <pt idx="17">
                    <v>2020-06-10</v>
                  </pt>
                  <pt idx="18">
                    <v>2020-06-11</v>
                  </pt>
                  <pt idx="19">
                    <v>2020-06-12</v>
                  </pt>
                  <pt idx="20">
                    <v>2020-06-13</v>
                  </pt>
                  <pt idx="21">
                    <v>2020-06-14</v>
                  </pt>
                  <pt idx="22">
                    <v>2020-06-15</v>
                  </pt>
                  <pt idx="23">
                    <v>2020-06-16</v>
                  </pt>
                  <pt idx="24">
                    <v>2020-06-17</v>
                  </pt>
                  <pt idx="25">
                    <v>2020-06-18</v>
                  </pt>
                  <pt idx="26">
                    <v>2020-06-19</v>
                  </pt>
                  <pt idx="27">
                    <v>2020-06-20</v>
                  </pt>
                  <pt idx="28">
                    <v>2020-06-21</v>
                  </pt>
                  <pt idx="29">
                    <v>2020-06-22</v>
                  </pt>
                  <pt idx="30">
                    <v>2020-06-23</v>
                  </pt>
                  <pt idx="31">
                    <v>2020-06-24</v>
                  </pt>
                  <pt idx="32">
                    <v>2020-06-25</v>
                  </pt>
                  <pt idx="33">
                    <v>2020-06-26</v>
                  </pt>
                  <pt idx="34">
                    <v>2020-06-27</v>
                  </pt>
                  <pt idx="35">
                    <v>2020-06-28</v>
                  </pt>
                  <pt idx="36">
                    <v>2020-06-29</v>
                  </pt>
                  <pt idx="37">
                    <v>2020-06-30</v>
                  </pt>
                  <pt idx="38">
                    <v>2020-07-01</v>
                  </pt>
                  <pt idx="39">
                    <v>2020-07-02</v>
                  </pt>
                  <pt idx="40">
                    <v>2020-07-03</v>
                  </pt>
                  <pt idx="41">
                    <v>2020-07-04</v>
                  </pt>
                  <pt idx="42">
                    <v>2020-07-05</v>
                  </pt>
                  <pt idx="43">
                    <v>2020-07-06</v>
                  </pt>
                  <pt idx="44">
                    <v>2020-07-07</v>
                  </pt>
                  <pt idx="45">
                    <v>2020-07-08</v>
                  </pt>
                  <pt idx="46">
                    <v>2020-07-09</v>
                  </pt>
                  <pt idx="47">
                    <v>2020-07-10</v>
                  </pt>
                  <pt idx="48">
                    <v>2020-07-11</v>
                  </pt>
                  <pt idx="49">
                    <v>2020-07-12</v>
                  </pt>
                  <pt idx="50">
                    <v>2020-07-13</v>
                  </pt>
                  <pt idx="51">
                    <v>2020-07-14</v>
                  </pt>
                  <pt idx="52">
                    <v>2020-07-15</v>
                  </pt>
                  <pt idx="53">
                    <v>2020-07-16</v>
                  </pt>
                  <pt idx="54">
                    <v>2020-07-17</v>
                  </pt>
                  <pt idx="55">
                    <v>2020-07-18</v>
                  </pt>
                  <pt idx="56">
                    <v>2020-07-19</v>
                  </pt>
                  <pt idx="57">
                    <v>2020-07-20</v>
                  </pt>
                  <pt idx="58">
                    <v>2020-07-21</v>
                  </pt>
                  <pt idx="59">
                    <v>2020-07-22</v>
                  </pt>
                  <pt idx="60">
                    <v>2020-07-23</v>
                  </pt>
                  <pt idx="61">
                    <v>2020-07-24</v>
                  </pt>
                  <pt idx="62">
                    <v>2020-07-25</v>
                  </pt>
                  <pt idx="63">
                    <v>2020-07-26</v>
                  </pt>
                  <pt idx="64">
                    <v>2020-07-27</v>
                  </pt>
                  <pt idx="65">
                    <v>2020-07-28</v>
                  </pt>
                  <pt idx="66">
                    <v>2020-07-29</v>
                  </pt>
                  <pt idx="67">
                    <v>2020-07-30</v>
                  </pt>
                  <pt idx="68">
                    <v>2020-07-31</v>
                  </pt>
                  <pt idx="69">
                    <v>2020-08-01</v>
                  </pt>
                  <pt idx="70">
                    <v>2020-08-02</v>
                  </pt>
                  <pt idx="71">
                    <v>2020-08-03</v>
                  </pt>
                  <pt idx="72">
                    <v>2020-08-04</v>
                  </pt>
                  <pt idx="73">
                    <v>2020-08-05</v>
                  </pt>
                  <pt idx="74">
                    <v>2020-08-06</v>
                  </pt>
                  <pt idx="75">
                    <v>2020-08-07</v>
                  </pt>
                  <pt idx="76">
                    <v>2020-08-08</v>
                  </pt>
                  <pt idx="77">
                    <v>2020-08-09</v>
                  </pt>
                  <pt idx="78">
                    <v>2020-08-10</v>
                  </pt>
                  <pt idx="79">
                    <v>2020-08-11</v>
                  </pt>
                  <pt idx="80">
                    <v>2020-08-12</v>
                  </pt>
                  <pt idx="81">
                    <v>2020-08-13</v>
                  </pt>
                  <pt idx="82">
                    <v>2020-08-14</v>
                  </pt>
                  <pt idx="83">
                    <v>2020-08-15</v>
                  </pt>
                  <pt idx="84">
                    <v>2020-08-16</v>
                  </pt>
                  <pt idx="85">
                    <v>2020-08-17</v>
                  </pt>
                  <pt idx="86">
                    <v>2020-08-18</v>
                  </pt>
                  <pt idx="87">
                    <v>2020-08-19</v>
                  </pt>
                  <pt idx="88">
                    <v>2020-08-20</v>
                  </pt>
                  <pt idx="89">
                    <v>2020-08-21</v>
                  </pt>
                  <pt idx="90">
                    <v>2020-08-22</v>
                  </pt>
                  <pt idx="91">
                    <v>2020-08-23</v>
                  </pt>
                  <pt idx="92">
                    <v>2020-08-24</v>
                  </pt>
                  <pt idx="93">
                    <v>2020-08-25</v>
                  </pt>
                  <pt idx="94">
                    <v>2020-08-26</v>
                  </pt>
                  <pt idx="95">
                    <v>2020-08-27</v>
                  </pt>
                  <pt idx="96">
                    <v>2020-08-28</v>
                  </pt>
                  <pt idx="97">
                    <v>2020-08-29</v>
                  </pt>
                  <pt idx="98">
                    <v>2020-08-30</v>
                  </pt>
                  <pt idx="99">
                    <v>2020-08-31</v>
                  </pt>
                  <pt idx="100">
                    <v>2020-09-01</v>
                  </pt>
                  <pt idx="101">
                    <v>2020-09-02</v>
                  </pt>
                  <pt idx="102">
                    <v>2020-09-03</v>
                  </pt>
                  <pt idx="103">
                    <v>2020-09-04</v>
                  </pt>
                  <pt idx="104">
                    <v>2020-09-05</v>
                  </pt>
                  <pt idx="105">
                    <v>2020-09-06</v>
                  </pt>
                  <pt idx="106">
                    <v>2020-09-07</v>
                  </pt>
                  <pt idx="107">
                    <v>2020-09-08</v>
                  </pt>
                  <pt idx="108">
                    <v>2020-09-09</v>
                  </pt>
                  <pt idx="109">
                    <v>2020-09-10</v>
                  </pt>
                  <pt idx="110">
                    <v>2020-09-11</v>
                  </pt>
                  <pt idx="111">
                    <v>2020-09-12</v>
                  </pt>
                  <pt idx="112">
                    <v>2020-09-13</v>
                  </pt>
                  <pt idx="113">
                    <v>2020-09-14</v>
                  </pt>
                  <pt idx="114">
                    <v>2020-09-15</v>
                  </pt>
                  <pt idx="115">
                    <v>2020-09-16</v>
                  </pt>
                  <pt idx="116">
                    <v>2020-09-17</v>
                  </pt>
                  <pt idx="117">
                    <v>2020-09-18</v>
                  </pt>
                  <pt idx="118">
                    <v>2020-09-19</v>
                  </pt>
                  <pt idx="119">
                    <v>2020-09-20</v>
                  </pt>
                  <pt idx="120">
                    <v>2020-09-21</v>
                  </pt>
                  <pt idx="121">
                    <v>2020-09-22</v>
                  </pt>
                  <pt idx="122">
                    <v>2020-09-23</v>
                  </pt>
                  <pt idx="123">
                    <v>2020-09-24</v>
                  </pt>
                  <pt idx="124">
                    <v>2020-09-25</v>
                  </pt>
                  <pt idx="125">
                    <v>2020-09-26</v>
                  </pt>
                  <pt idx="126">
                    <v>2020-09-27</v>
                  </pt>
                  <pt idx="127">
                    <v>2020-09-28</v>
                  </pt>
                  <pt idx="128">
                    <v>2020-09-29</v>
                  </pt>
                  <pt idx="129">
                    <v>2020-09-30</v>
                  </pt>
                  <pt idx="130">
                    <v>2020-10-01</v>
                  </pt>
                  <pt idx="131">
                    <v>2020-10-02</v>
                  </pt>
                  <pt idx="132">
                    <v>2020-10-03</v>
                  </pt>
                  <pt idx="133">
                    <v>2020-10-04</v>
                  </pt>
                  <pt idx="134">
                    <v>2020-10-05</v>
                  </pt>
                  <pt idx="135">
                    <v>2020-10-06</v>
                  </pt>
                  <pt idx="136">
                    <v>2020-10-07</v>
                  </pt>
                  <pt idx="137">
                    <v>2020-10-08</v>
                  </pt>
                  <pt idx="138">
                    <v>2020-10-09</v>
                  </pt>
                  <pt idx="139">
                    <v>2020-10-10</v>
                  </pt>
                  <pt idx="140">
                    <v>2020-10-11</v>
                  </pt>
                  <pt idx="141">
                    <v>2020-10-12</v>
                  </pt>
                  <pt idx="142">
                    <v>2020-10-13</v>
                  </pt>
                  <pt idx="143">
                    <v>2020-10-14</v>
                  </pt>
                  <pt idx="144">
                    <v>2020-10-15</v>
                  </pt>
                  <pt idx="145">
                    <v>2020-10-16</v>
                  </pt>
                  <pt idx="146">
                    <v>2020-10-17</v>
                  </pt>
                  <pt idx="147">
                    <v>2020-10-18</v>
                  </pt>
                  <pt idx="148">
                    <v>2020-10-19</v>
                  </pt>
                  <pt idx="149">
                    <v>2020-10-20</v>
                  </pt>
                  <pt idx="150">
                    <v>2020-10-21</v>
                  </pt>
                  <pt idx="151">
                    <v>2020-10-22</v>
                  </pt>
                  <pt idx="152">
                    <v>2020-10-23</v>
                  </pt>
                  <pt idx="153">
                    <v>2020-10-24</v>
                  </pt>
                  <pt idx="154">
                    <v>2020-10-25</v>
                  </pt>
                  <pt idx="155">
                    <v>2020-10-26</v>
                  </pt>
                  <pt idx="156">
                    <v>2020-10-27</v>
                  </pt>
                  <pt idx="157">
                    <v>2020-10-28</v>
                  </pt>
                  <pt idx="158">
                    <v>2020-10-29</v>
                  </pt>
                  <pt idx="159">
                    <v>2020-10-30</v>
                  </pt>
                  <pt idx="160">
                    <v>2020-10-31</v>
                  </pt>
                  <pt idx="161">
                    <v>2020-11-01</v>
                  </pt>
                  <pt idx="162">
                    <v>2020-11-02</v>
                  </pt>
                  <pt idx="163">
                    <v>2020-11-03</v>
                  </pt>
                  <pt idx="164">
                    <v>2020-11-04</v>
                  </pt>
                  <pt idx="165">
                    <v>2020-11-05</v>
                  </pt>
                  <pt idx="166">
                    <v>2020-11-06</v>
                  </pt>
                  <pt idx="167">
                    <v>2020-11-07</v>
                  </pt>
                  <pt idx="168">
                    <v>2020-11-08</v>
                  </pt>
                  <pt idx="169">
                    <v>2020-11-09</v>
                  </pt>
                  <pt idx="170">
                    <v>2020-11-10</v>
                  </pt>
                  <pt idx="171">
                    <v>2020-11-11</v>
                  </pt>
                  <pt idx="172">
                    <v>2020-11-12</v>
                  </pt>
                  <pt idx="173">
                    <v>2020-11-13</v>
                  </pt>
                  <pt idx="174">
                    <v>2020-11-14</v>
                  </pt>
                  <pt idx="175">
                    <v>2020-11-15</v>
                  </pt>
                  <pt idx="176">
                    <v>2020-11-16</v>
                  </pt>
                  <pt idx="177">
                    <v>2020-11-17</v>
                  </pt>
                  <pt idx="178">
                    <v>2020-11-18</v>
                  </pt>
                  <pt idx="179">
                    <v>2020-11-19</v>
                  </pt>
                  <pt idx="180">
                    <v>2020-11-20</v>
                  </pt>
                  <pt idx="181">
                    <v>2020-11-21</v>
                  </pt>
                  <pt idx="182">
                    <v>2020-11-22</v>
                  </pt>
                  <pt idx="183">
                    <v>2020-11-23</v>
                  </pt>
                  <pt idx="184">
                    <v>2020-11-24</v>
                  </pt>
                  <pt idx="185">
                    <v>2020-11-25</v>
                  </pt>
                  <pt idx="186">
                    <v>2020-11-26</v>
                  </pt>
                  <pt idx="187">
                    <v>2020-11-27</v>
                  </pt>
                  <pt idx="188">
                    <v>2020-11-28</v>
                  </pt>
                  <pt idx="189">
                    <v>2020-11-29</v>
                  </pt>
                  <pt idx="190">
                    <v>2020-11-30</v>
                  </pt>
                  <pt idx="191">
                    <v>2020-12-01</v>
                  </pt>
                  <pt idx="192">
                    <v>2020-12-02</v>
                  </pt>
                  <pt idx="193">
                    <v>2020-12-03</v>
                  </pt>
                  <pt idx="194">
                    <v>2020-12-04</v>
                  </pt>
                  <pt idx="195">
                    <v>2020-12-05</v>
                  </pt>
                  <pt idx="196">
                    <v>2020-12-06</v>
                  </pt>
                  <pt idx="197">
                    <v>2020-12-07</v>
                  </pt>
                  <pt idx="198">
                    <v>2020-12-08</v>
                  </pt>
                  <pt idx="199">
                    <v>2020-12-09</v>
                  </pt>
                  <pt idx="200">
                    <v>2020-12-10</v>
                  </pt>
                  <pt idx="201">
                    <v>2020-12-11</v>
                  </pt>
                  <pt idx="202">
                    <v>2020-12-12</v>
                  </pt>
                  <pt idx="203">
                    <v>2020-12-13</v>
                  </pt>
                  <pt idx="204">
                    <v>2020-12-14</v>
                  </pt>
                  <pt idx="205">
                    <v>2020-12-15</v>
                  </pt>
                  <pt idx="206">
                    <v>2020-12-16</v>
                  </pt>
                  <pt idx="207">
                    <v>2020-12-17</v>
                  </pt>
                  <pt idx="208">
                    <v>2020-12-18</v>
                  </pt>
                  <pt idx="209">
                    <v>2020-12-19</v>
                  </pt>
                  <pt idx="210">
                    <v>2020-12-20</v>
                  </pt>
                  <pt idx="211">
                    <v>2020-12-21</v>
                  </pt>
                  <pt idx="212">
                    <v>2020-12-22</v>
                  </pt>
                  <pt idx="213">
                    <v>2020-12-23</v>
                  </pt>
                  <pt idx="214">
                    <v>2020-12-24</v>
                  </pt>
                  <pt idx="215">
                    <v>2020-12-25</v>
                  </pt>
                  <pt idx="216">
                    <v>2020-12-26</v>
                  </pt>
                  <pt idx="217">
                    <v>2020-12-27</v>
                  </pt>
                  <pt idx="218">
                    <v>2020-12-28</v>
                  </pt>
                  <pt idx="219">
                    <v>2020-12-29</v>
                  </pt>
                  <pt idx="220">
                    <v>2020-12-30</v>
                  </pt>
                  <pt idx="221">
                    <v>2020-12-31</v>
                  </pt>
                  <pt idx="222">
                    <v>2021-01-01</v>
                  </pt>
                  <pt idx="223">
                    <v>2021-01-02</v>
                  </pt>
                  <pt idx="224">
                    <v>2021-01-03</v>
                  </pt>
                  <pt idx="225">
                    <v>2021-01-04</v>
                  </pt>
                  <pt idx="226">
                    <v>2021-01-05</v>
                  </pt>
                  <pt idx="227">
                    <v>2021-01-06</v>
                  </pt>
                  <pt idx="228">
                    <v>2021-01-07</v>
                  </pt>
                  <pt idx="229">
                    <v>2021-01-08</v>
                  </pt>
                  <pt idx="230">
                    <v>2021-01-09</v>
                  </pt>
                  <pt idx="231">
                    <v>2021-01-10</v>
                  </pt>
                  <pt idx="232">
                    <v>2021-01-11</v>
                  </pt>
                  <pt idx="233">
                    <v>2021-01-12</v>
                  </pt>
                  <pt idx="234">
                    <v>2021-01-13</v>
                  </pt>
                  <pt idx="235">
                    <v>2021-01-14</v>
                  </pt>
                  <pt idx="236">
                    <v>2021-01-15</v>
                  </pt>
                  <pt idx="237">
                    <v>2021-01-16</v>
                  </pt>
                  <pt idx="238">
                    <v>2021-01-17</v>
                  </pt>
                  <pt idx="239">
                    <v>2021-01-18</v>
                  </pt>
                  <pt idx="240">
                    <v>2021-01-19</v>
                  </pt>
                  <pt idx="241">
                    <v>2021-01-20</v>
                  </pt>
                  <pt idx="242">
                    <v>2021-01-21</v>
                  </pt>
                  <pt idx="243">
                    <v>2021-01-22</v>
                  </pt>
                  <pt idx="244">
                    <v>2021-01-23</v>
                  </pt>
                  <pt idx="245">
                    <v>2021-01-24</v>
                  </pt>
                  <pt idx="246">
                    <v>2021-01-25</v>
                  </pt>
                  <pt idx="247">
                    <v>2021-01-26</v>
                  </pt>
                  <pt idx="248">
                    <v>2021-01-27</v>
                  </pt>
                  <pt idx="249">
                    <v>2021-01-28</v>
                  </pt>
                  <pt idx="250">
                    <v>2021-01-29</v>
                  </pt>
                  <pt idx="251">
                    <v>2021-01-30</v>
                  </pt>
                  <pt idx="252">
                    <v>2021-01-31</v>
                  </pt>
                  <pt idx="253">
                    <v>2021-02-01</v>
                  </pt>
                  <pt idx="254">
                    <v>2021-02-02</v>
                  </pt>
                  <pt idx="255">
                    <v>2021-02-03</v>
                  </pt>
                  <pt idx="256">
                    <v>2021-02-04</v>
                  </pt>
                  <pt idx="257">
                    <v>2021-02-05</v>
                  </pt>
                  <pt idx="258">
                    <v>2021-02-06</v>
                  </pt>
                  <pt idx="259">
                    <v>2021-02-07</v>
                  </pt>
                  <pt idx="260">
                    <v>2021-02-08</v>
                  </pt>
                  <pt idx="261">
                    <v>2021-02-09</v>
                  </pt>
                </lvl>
              </multiLvlStrCache>
              <f>'상품별-피벗'!$J$5:$K$267</f>
            </multiLvlStrRef>
          </cat>
          <val>
            <numRef>
              <f>'상품별-피벗'!$M$5:$M$267</f>
              <numCache>
                <formatCode xml:space="preserve">#,##0_ </formatCode>
                <ptCount val="262"/>
                <pt idx="9">
                  <v>2000</v>
                </pt>
                <pt idx="28">
                  <v>4000</v>
                </pt>
                <pt idx="30">
                  <v>4000</v>
                </pt>
                <pt idx="32">
                  <v>2000</v>
                </pt>
                <pt idx="33">
                  <v>4000</v>
                </pt>
                <pt idx="34">
                  <v>2000</v>
                </pt>
                <pt idx="35">
                  <v>4000</v>
                </pt>
                <pt idx="36">
                  <v>2000</v>
                </pt>
                <pt idx="37">
                  <v>2000</v>
                </pt>
                <pt idx="39">
                  <v>2000</v>
                </pt>
                <pt idx="40">
                  <v>2000</v>
                </pt>
                <pt idx="42">
                  <v>2000</v>
                </pt>
                <pt idx="45">
                  <v>2000</v>
                </pt>
                <pt idx="47">
                  <v>2000</v>
                </pt>
                <pt idx="48">
                  <v>2000</v>
                </pt>
                <pt idx="51">
                  <v>6000</v>
                </pt>
                <pt idx="52">
                  <v>2000</v>
                </pt>
                <pt idx="54">
                  <v>4000</v>
                </pt>
                <pt idx="56">
                  <v>2000</v>
                </pt>
                <pt idx="58">
                  <v>2000</v>
                </pt>
                <pt idx="59">
                  <v>2000</v>
                </pt>
                <pt idx="60">
                  <v>6000</v>
                </pt>
                <pt idx="61">
                  <v>4000</v>
                </pt>
                <pt idx="62">
                  <v>4000</v>
                </pt>
                <pt idx="63">
                  <v>2000</v>
                </pt>
                <pt idx="64">
                  <v>2000</v>
                </pt>
                <pt idx="65">
                  <v>4000</v>
                </pt>
                <pt idx="66">
                  <v>2000</v>
                </pt>
                <pt idx="70">
                  <v>2000</v>
                </pt>
                <pt idx="72">
                  <v>2000</v>
                </pt>
                <pt idx="73">
                  <v>6000</v>
                </pt>
                <pt idx="74">
                  <v>4000</v>
                </pt>
                <pt idx="75">
                  <v>2000</v>
                </pt>
                <pt idx="78">
                  <v>2000</v>
                </pt>
                <pt idx="79">
                  <v>4000</v>
                </pt>
                <pt idx="80">
                  <v>4000</v>
                </pt>
                <pt idx="82">
                  <v>6000</v>
                </pt>
                <pt idx="83">
                  <v>4000</v>
                </pt>
                <pt idx="84">
                  <v>4000</v>
                </pt>
                <pt idx="85">
                  <v>10000</v>
                </pt>
                <pt idx="86">
                  <v>2000</v>
                </pt>
                <pt idx="87">
                  <v>2000</v>
                </pt>
                <pt idx="88">
                  <v>2000</v>
                </pt>
                <pt idx="89">
                  <v>6000</v>
                </pt>
                <pt idx="90">
                  <v>4000</v>
                </pt>
                <pt idx="91">
                  <v>2000</v>
                </pt>
                <pt idx="92">
                  <v>4000</v>
                </pt>
                <pt idx="93">
                  <v>6000</v>
                </pt>
                <pt idx="94">
                  <v>2000</v>
                </pt>
                <pt idx="95">
                  <v>2000</v>
                </pt>
                <pt idx="97">
                  <v>2000</v>
                </pt>
                <pt idx="98">
                  <v>4000</v>
                </pt>
                <pt idx="99">
                  <v>2000</v>
                </pt>
                <pt idx="100">
                  <v>4000</v>
                </pt>
                <pt idx="101">
                  <v>6000</v>
                </pt>
                <pt idx="102">
                  <v>4000</v>
                </pt>
                <pt idx="104">
                  <v>4000</v>
                </pt>
                <pt idx="105">
                  <v>2000</v>
                </pt>
                <pt idx="106">
                  <v>8000</v>
                </pt>
                <pt idx="107">
                  <v>14000</v>
                </pt>
                <pt idx="108">
                  <v>4000</v>
                </pt>
                <pt idx="109">
                  <v>2000</v>
                </pt>
                <pt idx="110">
                  <v>6000</v>
                </pt>
                <pt idx="111">
                  <v>4000</v>
                </pt>
                <pt idx="112">
                  <v>6000</v>
                </pt>
                <pt idx="113">
                  <v>6000</v>
                </pt>
                <pt idx="114">
                  <v>2000</v>
                </pt>
                <pt idx="115">
                  <v>2000</v>
                </pt>
                <pt idx="116">
                  <v>2000</v>
                </pt>
                <pt idx="118">
                  <v>8000</v>
                </pt>
                <pt idx="119">
                  <v>4000</v>
                </pt>
                <pt idx="120">
                  <v>4000</v>
                </pt>
                <pt idx="121">
                  <v>2000</v>
                </pt>
                <pt idx="122">
                  <v>4000</v>
                </pt>
                <pt idx="123">
                  <v>8000</v>
                </pt>
                <pt idx="124">
                  <v>2000</v>
                </pt>
                <pt idx="125">
                  <v>4000</v>
                </pt>
                <pt idx="126">
                  <v>10000</v>
                </pt>
                <pt idx="127">
                  <v>2000</v>
                </pt>
                <pt idx="128">
                  <v>4000</v>
                </pt>
                <pt idx="129">
                  <v>6000</v>
                </pt>
                <pt idx="130">
                  <v>8000</v>
                </pt>
                <pt idx="131">
                  <v>14000</v>
                </pt>
                <pt idx="132">
                  <v>18000</v>
                </pt>
                <pt idx="133">
                  <v>8000</v>
                </pt>
                <pt idx="134">
                  <v>12000</v>
                </pt>
                <pt idx="135">
                  <v>12000</v>
                </pt>
                <pt idx="136">
                  <v>8000</v>
                </pt>
                <pt idx="137">
                  <v>8000</v>
                </pt>
                <pt idx="138">
                  <v>10000</v>
                </pt>
                <pt idx="139">
                  <v>8000</v>
                </pt>
                <pt idx="140">
                  <v>20000</v>
                </pt>
                <pt idx="141">
                  <v>10000</v>
                </pt>
                <pt idx="142">
                  <v>16000</v>
                </pt>
                <pt idx="143">
                  <v>8000</v>
                </pt>
                <pt idx="144">
                  <v>12000</v>
                </pt>
                <pt idx="145">
                  <v>12000</v>
                </pt>
                <pt idx="146">
                  <v>8000</v>
                </pt>
                <pt idx="147">
                  <v>14000</v>
                </pt>
                <pt idx="148">
                  <v>10000</v>
                </pt>
                <pt idx="149">
                  <v>14000</v>
                </pt>
                <pt idx="150">
                  <v>10000</v>
                </pt>
                <pt idx="151">
                  <v>6000</v>
                </pt>
                <pt idx="152">
                  <v>18000</v>
                </pt>
                <pt idx="153">
                  <v>20000</v>
                </pt>
                <pt idx="154">
                  <v>18000</v>
                </pt>
                <pt idx="155">
                  <v>14000</v>
                </pt>
                <pt idx="156">
                  <v>6000</v>
                </pt>
                <pt idx="157">
                  <v>12000</v>
                </pt>
                <pt idx="158">
                  <v>14000</v>
                </pt>
                <pt idx="159">
                  <v>2000</v>
                </pt>
                <pt idx="160">
                  <v>16000</v>
                </pt>
                <pt idx="161">
                  <v>14000</v>
                </pt>
                <pt idx="162">
                  <v>20000</v>
                </pt>
                <pt idx="163">
                  <v>12000</v>
                </pt>
                <pt idx="164">
                  <v>18000</v>
                </pt>
                <pt idx="165">
                  <v>4000</v>
                </pt>
                <pt idx="166">
                  <v>14000</v>
                </pt>
                <pt idx="167">
                  <v>16000</v>
                </pt>
                <pt idx="168">
                  <v>18000</v>
                </pt>
                <pt idx="169">
                  <v>6000</v>
                </pt>
                <pt idx="170">
                  <v>24000</v>
                </pt>
                <pt idx="171">
                  <v>14000</v>
                </pt>
                <pt idx="172">
                  <v>16000</v>
                </pt>
                <pt idx="173">
                  <v>2000</v>
                </pt>
                <pt idx="174">
                  <v>20000</v>
                </pt>
                <pt idx="175">
                  <v>12000</v>
                </pt>
                <pt idx="176">
                  <v>14000</v>
                </pt>
                <pt idx="177">
                  <v>12000</v>
                </pt>
                <pt idx="178">
                  <v>12000</v>
                </pt>
                <pt idx="179">
                  <v>12000</v>
                </pt>
                <pt idx="180">
                  <v>18000</v>
                </pt>
                <pt idx="181">
                  <v>10000</v>
                </pt>
                <pt idx="182">
                  <v>14000</v>
                </pt>
                <pt idx="183">
                  <v>8000</v>
                </pt>
                <pt idx="184">
                  <v>6000</v>
                </pt>
                <pt idx="185">
                  <v>2000</v>
                </pt>
                <pt idx="186">
                  <v>12000</v>
                </pt>
                <pt idx="187">
                  <v>14000</v>
                </pt>
                <pt idx="188">
                  <v>18000</v>
                </pt>
                <pt idx="189">
                  <v>14000</v>
                </pt>
                <pt idx="190">
                  <v>14000</v>
                </pt>
                <pt idx="191">
                  <v>14000</v>
                </pt>
                <pt idx="192">
                  <v>24000</v>
                </pt>
                <pt idx="193">
                  <v>64000</v>
                </pt>
                <pt idx="194">
                  <v>10000</v>
                </pt>
                <pt idx="195">
                  <v>12000</v>
                </pt>
                <pt idx="196">
                  <v>16000</v>
                </pt>
                <pt idx="197">
                  <v>20000</v>
                </pt>
                <pt idx="198">
                  <v>6000</v>
                </pt>
                <pt idx="199">
                  <v>8000</v>
                </pt>
                <pt idx="200">
                  <v>10000</v>
                </pt>
                <pt idx="201">
                  <v>12000</v>
                </pt>
                <pt idx="202">
                  <v>16000</v>
                </pt>
                <pt idx="203">
                  <v>6000</v>
                </pt>
                <pt idx="204">
                  <v>18000</v>
                </pt>
                <pt idx="205">
                  <v>28000</v>
                </pt>
                <pt idx="206">
                  <v>14000</v>
                </pt>
                <pt idx="207">
                  <v>22000</v>
                </pt>
                <pt idx="208">
                  <v>12000</v>
                </pt>
                <pt idx="209">
                  <v>4000</v>
                </pt>
                <pt idx="210">
                  <v>2000</v>
                </pt>
                <pt idx="211">
                  <v>2000</v>
                </pt>
                <pt idx="212">
                  <v>2000</v>
                </pt>
                <pt idx="217">
                  <v>6000</v>
                </pt>
                <pt idx="220">
                  <v>2000</v>
                </pt>
                <pt idx="221">
                  <v>2000</v>
                </pt>
                <pt idx="222">
                  <v>2000</v>
                </pt>
                <pt idx="224">
                  <v>2000</v>
                </pt>
                <pt idx="226">
                  <v>2000</v>
                </pt>
                <pt idx="227">
                  <v>2000</v>
                </pt>
                <pt idx="229">
                  <v>2000</v>
                </pt>
                <pt idx="231">
                  <v>4000</v>
                </pt>
                <pt idx="234">
                  <v>2000</v>
                </pt>
                <pt idx="235">
                  <v>2000</v>
                </pt>
                <pt idx="236">
                  <v>6000</v>
                </pt>
                <pt idx="237">
                  <v>26000</v>
                </pt>
                <pt idx="238">
                  <v>24000</v>
                </pt>
                <pt idx="239">
                  <v>38000</v>
                </pt>
                <pt idx="240">
                  <v>26000</v>
                </pt>
                <pt idx="241">
                  <v>26000</v>
                </pt>
                <pt idx="242">
                  <v>32000</v>
                </pt>
                <pt idx="243">
                  <v>12000</v>
                </pt>
                <pt idx="244">
                  <v>36000</v>
                </pt>
                <pt idx="245">
                  <v>36000</v>
                </pt>
                <pt idx="246">
                  <v>16000</v>
                </pt>
                <pt idx="247">
                  <v>26000</v>
                </pt>
                <pt idx="248">
                  <v>20000</v>
                </pt>
                <pt idx="249">
                  <v>16000</v>
                </pt>
                <pt idx="250">
                  <v>16000</v>
                </pt>
                <pt idx="251">
                  <v>32000</v>
                </pt>
                <pt idx="252">
                  <v>34000</v>
                </pt>
                <pt idx="253">
                  <v>14000</v>
                </pt>
                <pt idx="254">
                  <v>14000</v>
                </pt>
                <pt idx="255">
                  <v>38000</v>
                </pt>
                <pt idx="256">
                  <v>26000</v>
                </pt>
                <pt idx="257">
                  <v>18000</v>
                </pt>
                <pt idx="258">
                  <v>10000</v>
                </pt>
                <pt idx="259">
                  <v>26000</v>
                </pt>
                <pt idx="260">
                  <v>16000</v>
                </pt>
                <pt idx="261">
                  <v>16000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70"/>
        <overlap val="100"/>
        <axId val="1134113808"/>
        <axId val="1134112848"/>
      </barChart>
      <catAx>
        <axId val="113411380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1134112848"/>
        <crosses val="autoZero"/>
        <auto val="1"/>
        <lblAlgn val="ctr"/>
        <lblOffset val="100"/>
        <noMultiLvlLbl val="0"/>
      </catAx>
      <valAx>
        <axId val="113411284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_ 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1134113808"/>
        <crosses val="autoZero"/>
        <crossBetween val="between"/>
      </valAx>
    </plotArea>
    <legend>
      <legendPos val="t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pivotSource>
    <name>[02.유즈_이지어드민_데이터 정리_헤더변경 ★.xlsx]상세 상품별 실적!피벗 테이블2</name>
    <fmtId val="1"/>
  </pivotSource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 i="1"/>
              <a:t>상품별 상세 실적</a:t>
            </a:r>
            <a:r>
              <a:rPr lang="en-US" altLang="ko-KR" b="1" i="1"/>
              <a:t xml:space="preserve">(CS, </a:t>
            </a:r>
            <a:r>
              <a:rPr lang="ko-KR" altLang="en-US" b="1" i="1"/>
              <a:t>밀리밀건 제외</a:t>
            </a:r>
            <a:r>
              <a:rPr lang="en-US" altLang="ko-KR" b="1" i="1"/>
              <a:t>)</a:t>
            </a:r>
            <a:endParaRPr lang="ko-KR" altLang="en-US" b="1" i="1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32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title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1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2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2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2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2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2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2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2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2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2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2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3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3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3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3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3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3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3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3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3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3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4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4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4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4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4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4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47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48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howLegendKey val="0"/>
          <showVal val="0"/>
          <showCatName val="0"/>
          <showSerName val="0"/>
          <showPercent val="0"/>
          <showBubbleSize val="0"/>
        </dLbl>
      </pivotFmt>
      <pivotFmt>
        <idx val="49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howLegendKey val="0"/>
          <showVal val="0"/>
          <showCatName val="0"/>
          <showSerName val="0"/>
          <showPercent val="0"/>
          <showBubbleSize val="0"/>
        </dLbl>
      </pivotFmt>
      <pivotFmt>
        <idx val="5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howLegendKey val="0"/>
          <showVal val="0"/>
          <showCatName val="0"/>
          <showSerName val="0"/>
          <showPercent val="0"/>
          <showBubbleSize val="0"/>
        </dLbl>
      </pivotFmt>
      <pivotFmt>
        <idx val="5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howLegendKey val="0"/>
          <showVal val="0"/>
          <showCatName val="0"/>
          <showSerName val="0"/>
          <showPercent val="0"/>
          <showBubbleSize val="0"/>
        </dLbl>
      </pivotFmt>
      <pivotFmt>
        <idx val="5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howLegendKey val="0"/>
          <showVal val="0"/>
          <showCatName val="0"/>
          <showSerName val="0"/>
          <showPercent val="0"/>
          <showBubbleSize val="0"/>
        </dLbl>
      </pivotFmt>
      <pivotFmt>
        <idx val="5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5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5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  <pivotFmt>
        <idx val="56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11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ko-KR"/>
            </a:p>
          </txPr>
          <showLegendKey val="0"/>
          <showVal val="0"/>
          <showCatName val="0"/>
          <showSerName val="0"/>
          <showPercent val="0"/>
          <showBubbleSize val="0"/>
        </dLbl>
      </pivotFmt>
    </pivotFmts>
    <plotArea>
      <layout/>
      <barChart>
        <barDir val="col"/>
        <grouping val="stacked"/>
        <varyColors val="0"/>
        <ser>
          <idx val="0"/>
          <order val="0"/>
          <tx>
            <strRef>
              <f>'상세 상품별 실적'!$D$36:$D$37</f>
              <strCache>
                <ptCount val="1"/>
                <pt idx="0">
                  <v>총합계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'상세 상품별 실적'!$B$38:$C$38</f>
              <strCache>
                <ptCount val="1"/>
                <pt idx="0">
                  <v>총합계</v>
                </pt>
              </strCache>
            </strRef>
          </cat>
          <val>
            <numRef>
              <f>'상세 상품별 실적'!$D$38</f>
              <numCache>
                <formatCode xml:space="preserve">#,##0_ </formatCode>
                <ptCount val="1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70"/>
        <overlap val="100"/>
        <axId val="1231341752"/>
        <axId val="1231339832"/>
      </barChart>
      <catAx>
        <axId val="123134175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1231339832"/>
        <crosses val="autoZero"/>
        <auto val="1"/>
        <lblAlgn val="ctr"/>
        <lblOffset val="100"/>
        <noMultiLvlLbl val="0"/>
      </catAx>
      <valAx>
        <axId val="123133983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_ 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1231341752"/>
        <crosses val="autoZero"/>
        <crossBetween val="between"/>
      </valAx>
    </plotArea>
    <legend>
      <legendPos val="t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1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legend>
    <plotVisOnly val="1"/>
    <dispBlanksAs val="gap"/>
  </chart>
</chartSpace>
</file>

<file path=xl/comments/comment1.xml><?xml version="1.0" encoding="utf-8"?>
<comments xmlns="http://schemas.openxmlformats.org/spreadsheetml/2006/main">
  <authors>
    <author>tc={F1560D72-BCA5-4919-9555-C6101AAA2C24}</author>
  </authors>
  <commentList>
    <comment ref="M1" authorId="0" shapeId="0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채널마다, 결제방식마다 수수료 상이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drawing1.xml><?xml version="1.0" encoding="utf-8"?>
<wsDr xmlns="http://schemas.openxmlformats.org/drawingml/2006/spreadsheetDrawing">
  <twoCellAnchor>
    <from>
      <col>1</col>
      <colOff>56029</colOff>
      <row>1</row>
      <rowOff>168089</rowOff>
    </from>
    <to>
      <col>18</col>
      <colOff>61510</colOff>
      <row>28</row>
      <rowOff>176892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123264</colOff>
      <row>1</row>
      <rowOff>179295</rowOff>
    </from>
    <to>
      <col>35</col>
      <colOff>100853</colOff>
      <row>28</row>
      <rowOff>167608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1</col>
      <colOff>33616</colOff>
      <row>2</row>
      <rowOff>62751</rowOff>
    </from>
    <to>
      <col>8</col>
      <colOff>537882</colOff>
      <row>30</row>
      <rowOff>145676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2.xml" Id="rId1"/></Relationships>
</file>

<file path=xl/pivotCache/_rels/pivotCacheDefinition3.xml.rels><Relationships xmlns="http://schemas.openxmlformats.org/package/2006/relationships"><Relationship Type="http://schemas.openxmlformats.org/officeDocument/2006/relationships/pivotCacheRecords" Target="/xl/pivotCache/pivotCacheRecords3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seyun lee" refreshedDate="44237.49776238426" createdVersion="6" refreshedVersion="6" minRefreshableVersion="3" recordCount="3223" r:id="rId1">
  <cacheSource type="worksheet">
    <worksheetSource ref="B1:L1048576" sheet="RD"/>
  </cacheSource>
  <cacheFields count="11">
    <cacheField name="일자" uniqueList="1" numFmtId="0" sqlType="0" hierarchy="0" level="0" databaseField="1">
      <sharedItems count="556" containsBlank="1" containsDate="1" containsNonDate="0" containsString="0" minDate="2019-08-01T00:00:00" maxDate="2021-02-10T00:00:00">
        <d v="2020-05-22T00:00:00"/>
        <d v="2020-05-23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m/>
        <d v="2019-09-29T00:00:00" u="1"/>
        <d v="2019-10-25T00:00:00" u="1"/>
        <d v="2019-11-21T00:00:00" u="1"/>
        <d v="2019-12-17T00:00:00" u="1"/>
        <d v="2019-10-27T00:00:00" u="1"/>
        <d v="2019-11-23T00:00:00" u="1"/>
        <d v="2019-12-19T00:00:00" u="1"/>
        <d v="2019-10-29T00:00:00" u="1"/>
        <d v="2019-11-25T00:00:00" u="1"/>
        <d v="2019-12-21T00:00:00" u="1"/>
        <d v="2020-01-02T00:00:00" u="1"/>
        <d v="2019-10-31T00:00:00" u="1"/>
        <d v="2019-11-27T00:00:00" u="1"/>
        <d v="2019-12-23T00:00:00" u="1"/>
        <d v="2020-01-04T00:00:00" u="1"/>
        <d v="2019-11-29T00:00:00" u="1"/>
        <d v="2019-12-25T00:00:00" u="1"/>
        <d v="2020-01-06T00:00:00" u="1"/>
        <d v="2020-02-02T00:00:00" u="1"/>
        <d v="2019-12-27T00:00:00" u="1"/>
        <d v="2020-01-08T00:00:00" u="1"/>
        <d v="2020-02-04T00:00:00" u="1"/>
        <d v="2019-12-29T00:00:00" u="1"/>
        <d v="2020-01-10T00:00:00" u="1"/>
        <d v="2020-02-06T00:00:00" u="1"/>
        <d v="2020-03-02T00:00:00" u="1"/>
        <d v="2019-12-31T00:00:00" u="1"/>
        <d v="2020-01-12T00:00:00" u="1"/>
        <d v="2020-02-08T00:00:00" u="1"/>
        <d v="2020-03-04T00:00:00" u="1"/>
        <d v="2020-01-14T00:00:00" u="1"/>
        <d v="2020-02-10T00:00:00" u="1"/>
        <d v="2020-03-06T00:00:00" u="1"/>
        <d v="2020-04-02T00:00:00" u="1"/>
        <d v="2020-01-16T00:00:00" u="1"/>
        <d v="2020-02-12T00:00:00" u="1"/>
        <d v="2020-03-08T00:00:00" u="1"/>
        <d v="2020-04-04T00:00:00" u="1"/>
        <d v="2020-01-18T00:00:00" u="1"/>
        <d v="2020-02-14T00:00:00" u="1"/>
        <d v="2020-03-10T00:00:00" u="1"/>
        <d v="2020-04-06T00:00:00" u="1"/>
        <d v="2020-05-02T00:00:00" u="1"/>
        <d v="2020-01-20T00:00:00" u="1"/>
        <d v="2020-02-16T00:00:00" u="1"/>
        <d v="2020-03-12T00:00:00" u="1"/>
        <d v="2020-04-08T00:00:00" u="1"/>
        <d v="2020-05-04T00:00:00" u="1"/>
        <d v="2020-01-22T00:00:00" u="1"/>
        <d v="2020-02-18T00:00:00" u="1"/>
        <d v="2020-03-14T00:00:00" u="1"/>
        <d v="2020-04-10T00:00:00" u="1"/>
        <d v="2020-05-06T00:00:00" u="1"/>
        <d v="2020-01-24T00:00:00" u="1"/>
        <d v="2020-02-20T00:00:00" u="1"/>
        <d v="2020-03-16T00:00:00" u="1"/>
        <d v="2020-04-12T00:00:00" u="1"/>
        <d v="2020-05-08T00:00:00" u="1"/>
        <d v="2020-01-26T00:00:00" u="1"/>
        <d v="2020-02-22T00:00:00" u="1"/>
        <d v="2020-03-18T00:00:00" u="1"/>
        <d v="2020-04-14T00:00:00" u="1"/>
        <d v="2020-05-10T00:00:00" u="1"/>
        <d v="2020-01-28T00:00:00" u="1"/>
        <d v="2020-02-24T00:00:00" u="1"/>
        <d v="2020-03-20T00:00:00" u="1"/>
        <d v="2020-04-16T00:00:00" u="1"/>
        <d v="2020-05-12T00:00:00" u="1"/>
        <d v="2020-01-30T00:00:00" u="1"/>
        <d v="2020-02-26T00:00:00" u="1"/>
        <d v="2020-03-22T00:00:00" u="1"/>
        <d v="2020-04-18T00:00:00" u="1"/>
        <d v="2020-05-14T00:00:00" u="1"/>
        <d v="2019-08-02T00:00:00" u="1"/>
        <d v="2020-02-28T00:00:00" u="1"/>
        <d v="2020-03-24T00:00:00" u="1"/>
        <d v="2020-04-20T00:00:00" u="1"/>
        <d v="2020-05-16T00:00:00" u="1"/>
        <d v="2019-08-04T00:00:00" u="1"/>
        <d v="2020-03-26T00:00:00" u="1"/>
        <d v="2020-04-22T00:00:00" u="1"/>
        <d v="2020-05-18T00:00:00" u="1"/>
        <d v="2019-08-06T00:00:00" u="1"/>
        <d v="2019-09-02T00:00:00" u="1"/>
        <d v="2020-03-28T00:00:00" u="1"/>
        <d v="2020-04-24T00:00:00" u="1"/>
        <d v="2020-05-20T00:00:00" u="1"/>
        <d v="2019-08-08T00:00:00" u="1"/>
        <d v="2019-09-04T00:00:00" u="1"/>
        <d v="2020-03-30T00:00:00" u="1"/>
        <d v="2020-04-26T00:00:00" u="1"/>
        <d v="2019-08-10T00:00:00" u="1"/>
        <d v="2019-09-06T00:00:00" u="1"/>
        <d v="2019-10-02T00:00:00" u="1"/>
        <d v="2020-04-28T00:00:00" u="1"/>
        <d v="2019-08-12T00:00:00" u="1"/>
        <d v="2019-09-08T00:00:00" u="1"/>
        <d v="2019-10-04T00:00:00" u="1"/>
        <d v="2020-04-30T00:00:00" u="1"/>
        <d v="2019-08-14T00:00:00" u="1"/>
        <d v="2019-09-10T00:00:00" u="1"/>
        <d v="2019-10-06T00:00:00" u="1"/>
        <d v="2019-11-02T00:00:00" u="1"/>
        <d v="2019-08-16T00:00:00" u="1"/>
        <d v="2019-09-12T00:00:00" u="1"/>
        <d v="2019-10-08T00:00:00" u="1"/>
        <d v="2019-11-04T00:00:00" u="1"/>
        <d v="2019-08-18T00:00:00" u="1"/>
        <d v="2019-09-14T00:00:00" u="1"/>
        <d v="2019-10-10T00:00:00" u="1"/>
        <d v="2019-11-06T00:00:00" u="1"/>
        <d v="2019-12-02T00:00:00" u="1"/>
        <d v="2019-08-20T00:00:00" u="1"/>
        <d v="2019-09-16T00:00:00" u="1"/>
        <d v="2019-10-12T00:00:00" u="1"/>
        <d v="2019-11-08T00:00:00" u="1"/>
        <d v="2019-12-04T00:00:00" u="1"/>
        <d v="2019-08-22T00:00:00" u="1"/>
        <d v="2019-09-18T00:00:00" u="1"/>
        <d v="2019-10-14T00:00:00" u="1"/>
        <d v="2019-11-10T00:00:00" u="1"/>
        <d v="2019-12-06T00:00:00" u="1"/>
        <d v="2019-08-24T00:00:00" u="1"/>
        <d v="2019-09-20T00:00:00" u="1"/>
        <d v="2019-10-16T00:00:00" u="1"/>
        <d v="2019-11-12T00:00:00" u="1"/>
        <d v="2019-12-08T00:00:00" u="1"/>
        <d v="2019-08-26T00:00:00" u="1"/>
        <d v="2019-09-22T00:00:00" u="1"/>
        <d v="2019-10-18T00:00:00" u="1"/>
        <d v="2019-11-14T00:00:00" u="1"/>
        <d v="2019-12-10T00:00:00" u="1"/>
        <d v="2019-08-28T00:00:00" u="1"/>
        <d v="2019-10-20T00:00:00" u="1"/>
        <d v="2019-11-16T00:00:00" u="1"/>
        <d v="2019-12-12T00:00:00" u="1"/>
        <d v="2019-08-30T00:00:00" u="1"/>
        <d v="2019-09-26T00:00:00" u="1"/>
        <d v="2019-10-22T00:00:00" u="1"/>
        <d v="2019-11-18T00:00:00" u="1"/>
        <d v="2019-12-14T00:00:00" u="1"/>
        <d v="2019-09-28T00:00:00" u="1"/>
        <d v="2019-10-24T00:00:00" u="1"/>
        <d v="2019-11-20T00:00:00" u="1"/>
        <d v="2019-12-16T00:00:00" u="1"/>
        <d v="2019-09-30T00:00:00" u="1"/>
        <d v="2019-10-26T00:00:00" u="1"/>
        <d v="2019-11-22T00:00:00" u="1"/>
        <d v="2019-12-18T00:00:00" u="1"/>
        <d v="2019-10-28T00:00:00" u="1"/>
        <d v="2019-11-24T00:00:00" u="1"/>
        <d v="2019-12-20T00:00:00" u="1"/>
        <d v="2020-01-01T00:00:00" u="1"/>
        <d v="2019-10-30T00:00:00" u="1"/>
        <d v="2019-11-26T00:00:00" u="1"/>
        <d v="2019-12-22T00:00:00" u="1"/>
        <d v="2020-01-03T00:00:00" u="1"/>
        <d v="2019-11-28T00:00:00" u="1"/>
        <d v="2019-12-24T00:00:00" u="1"/>
        <d v="2020-01-05T00:00:00" u="1"/>
        <d v="2020-02-01T00:00:00" u="1"/>
        <d v="2019-11-30T00:00:00" u="1"/>
        <d v="2019-12-26T00:00:00" u="1"/>
        <d v="2020-01-07T00:00:00" u="1"/>
        <d v="2020-02-03T00:00:00" u="1"/>
        <d v="2019-12-28T00:00:00" u="1"/>
        <d v="2020-01-09T00:00:00" u="1"/>
        <d v="2020-02-05T00:00:00" u="1"/>
        <d v="2020-03-01T00:00:00" u="1"/>
        <d v="2019-12-30T00:00:00" u="1"/>
        <d v="2020-01-11T00:00:00" u="1"/>
        <d v="2020-02-07T00:00:00" u="1"/>
        <d v="2020-03-03T00:00:00" u="1"/>
        <d v="2020-01-13T00:00:00" u="1"/>
        <d v="2020-02-09T00:00:00" u="1"/>
        <d v="2020-03-05T00:00:00" u="1"/>
        <d v="2020-04-01T00:00:00" u="1"/>
        <d v="2020-01-15T00:00:00" u="1"/>
        <d v="2020-02-11T00:00:00" u="1"/>
        <d v="2020-03-07T00:00:00" u="1"/>
        <d v="2020-04-03T00:00:00" u="1"/>
        <d v="2020-01-17T00:00:00" u="1"/>
        <d v="2020-02-13T00:00:00" u="1"/>
        <d v="2020-03-09T00:00:00" u="1"/>
        <d v="2020-04-05T00:00:00" u="1"/>
        <d v="2020-05-01T00:00:00" u="1"/>
        <d v="2020-01-19T00:00:00" u="1"/>
        <d v="2020-02-15T00:00:00" u="1"/>
        <d v="2020-03-11T00:00:00" u="1"/>
        <d v="2020-04-07T00:00:00" u="1"/>
        <d v="2020-05-03T00:00:00" u="1"/>
        <d v="2020-01-21T00:00:00" u="1"/>
        <d v="2020-02-17T00:00:00" u="1"/>
        <d v="2020-03-13T00:00:00" u="1"/>
        <d v="2020-04-09T00:00:00" u="1"/>
        <d v="2020-05-05T00:00:00" u="1"/>
        <d v="2020-01-23T00:00:00" u="1"/>
        <d v="2020-02-19T00:00:00" u="1"/>
        <d v="2020-03-15T00:00:00" u="1"/>
        <d v="2020-04-11T00:00:00" u="1"/>
        <d v="2020-05-07T00:00:00" u="1"/>
        <d v="2020-01-25T00:00:00" u="1"/>
        <d v="2020-02-21T00:00:00" u="1"/>
        <d v="2020-03-17T00:00:00" u="1"/>
        <d v="2020-04-13T00:00:00" u="1"/>
        <d v="2020-05-09T00:00:00" u="1"/>
        <d v="2020-01-27T00:00:00" u="1"/>
        <d v="2020-02-23T00:00:00" u="1"/>
        <d v="2020-03-19T00:00:00" u="1"/>
        <d v="2020-04-15T00:00:00" u="1"/>
        <d v="2020-05-11T00:00:00" u="1"/>
        <d v="2020-01-29T00:00:00" u="1"/>
        <d v="2020-02-25T00:00:00" u="1"/>
        <d v="2020-03-21T00:00:00" u="1"/>
        <d v="2020-04-17T00:00:00" u="1"/>
        <d v="2020-05-13T00:00:00" u="1"/>
        <d v="2019-08-01T00:00:00" u="1"/>
        <d v="2020-01-31T00:00:00" u="1"/>
        <d v="2020-02-27T00:00:00" u="1"/>
        <d v="2020-03-23T00:00:00" u="1"/>
        <d v="2020-04-19T00:00:00" u="1"/>
        <d v="2020-05-15T00:00:00" u="1"/>
        <d v="2019-08-03T00:00:00" u="1"/>
        <d v="2020-02-29T00:00:00" u="1"/>
        <d v="2020-03-25T00:00:00" u="1"/>
        <d v="2020-04-21T00:00:00" u="1"/>
        <d v="2020-05-17T00:00:00" u="1"/>
        <d v="2019-08-05T00:00:00" u="1"/>
        <d v="2019-09-01T00:00:00" u="1"/>
        <d v="2020-03-27T00:00:00" u="1"/>
        <d v="2020-04-23T00:00:00" u="1"/>
        <d v="2020-05-19T00:00:00" u="1"/>
        <d v="2019-08-07T00:00:00" u="1"/>
        <d v="2019-09-03T00:00:00" u="1"/>
        <d v="2020-03-29T00:00:00" u="1"/>
        <d v="2020-04-25T00:00:00" u="1"/>
        <d v="2020-05-21T00:00:00" u="1"/>
        <d v="2019-08-09T00:00:00" u="1"/>
        <d v="2019-09-05T00:00:00" u="1"/>
        <d v="2019-10-01T00:00:00" u="1"/>
        <d v="2020-03-31T00:00:00" u="1"/>
        <d v="2020-04-27T00:00:00" u="1"/>
        <d v="2019-08-11T00:00:00" u="1"/>
        <d v="2019-09-07T00:00:00" u="1"/>
        <d v="2019-10-03T00:00:00" u="1"/>
        <d v="2020-04-29T00:00:00" u="1"/>
        <d v="2019-08-13T00:00:00" u="1"/>
        <d v="2019-09-09T00:00:00" u="1"/>
        <d v="2019-10-05T00:00:00" u="1"/>
        <d v="2019-11-01T00:00:00" u="1"/>
        <d v="2019-08-15T00:00:00" u="1"/>
        <d v="2019-09-11T00:00:00" u="1"/>
        <d v="2019-10-07T00:00:00" u="1"/>
        <d v="2019-11-03T00:00:00" u="1"/>
        <d v="2019-08-17T00:00:00" u="1"/>
        <d v="2019-09-13T00:00:00" u="1"/>
        <d v="2019-10-09T00:00:00" u="1"/>
        <d v="2019-11-05T00:00:00" u="1"/>
        <d v="2019-12-01T00:00:00" u="1"/>
        <d v="2019-08-19T00:00:00" u="1"/>
        <d v="2019-09-15T00:00:00" u="1"/>
        <d v="2019-10-11T00:00:00" u="1"/>
        <d v="2019-11-07T00:00:00" u="1"/>
        <d v="2019-12-03T00:00:00" u="1"/>
        <d v="2019-08-21T00:00:00" u="1"/>
        <d v="2019-09-17T00:00:00" u="1"/>
        <d v="2019-10-13T00:00:00" u="1"/>
        <d v="2019-11-09T00:00:00" u="1"/>
        <d v="2019-12-05T00:00:00" u="1"/>
        <d v="2019-08-23T00:00:00" u="1"/>
        <d v="2019-09-19T00:00:00" u="1"/>
        <d v="2019-10-15T00:00:00" u="1"/>
        <d v="2019-11-11T00:00:00" u="1"/>
        <d v="2019-12-07T00:00:00" u="1"/>
        <d v="2019-08-25T00:00:00" u="1"/>
        <d v="2019-09-21T00:00:00" u="1"/>
        <d v="2019-10-17T00:00:00" u="1"/>
        <d v="2019-11-13T00:00:00" u="1"/>
        <d v="2019-12-09T00:00:00" u="1"/>
        <d v="2019-08-27T00:00:00" u="1"/>
        <d v="2019-09-23T00:00:00" u="1"/>
        <d v="2019-10-19T00:00:00" u="1"/>
        <d v="2019-11-15T00:00:00" u="1"/>
        <d v="2019-12-11T00:00:00" u="1"/>
        <d v="2019-08-29T00:00:00" u="1"/>
        <d v="2019-10-21T00:00:00" u="1"/>
        <d v="2019-11-17T00:00:00" u="1"/>
        <d v="2019-12-13T00:00:00" u="1"/>
        <d v="2019-08-31T00:00:00" u="1"/>
        <d v="2019-09-27T00:00:00" u="1"/>
        <d v="2019-10-23T00:00:00" u="1"/>
        <d v="2019-11-19T00:00:00" u="1"/>
        <d v="2019-12-15T00:00:00" u="1"/>
      </sharedItems>
    </cacheField>
    <cacheField name="요일" uniqueList="1" numFmtId="0" sqlType="0" hierarchy="0" level="0" databaseField="1">
      <sharedItems count="8" containsBlank="1">
        <s v="금"/>
        <s v="토"/>
        <s v="화"/>
        <s v="수"/>
        <s v="목"/>
        <s v="일"/>
        <s v="월"/>
        <m/>
      </sharedItems>
    </cacheField>
    <cacheField name="미디어" uniqueList="1" numFmtId="0" sqlType="0" hierarchy="0" level="0" databaseField="1">
      <sharedItems count="0" containsBlank="1"/>
    </cacheField>
    <cacheField name="채널" uniqueList="1" numFmtId="0" sqlType="0" hierarchy="0" level="0" databaseField="1">
      <sharedItems count="24" containsBlank="1">
        <m/>
        <s v="카페24"/>
        <s v="유즈 CS"/>
        <s v="AD_페이스북" u="1"/>
        <s v="쿠팡" u="1"/>
        <s v="강아지대통령" u="1"/>
        <s v="CJ몰" u="1"/>
        <s v="위메프(2.0)" u="1"/>
        <s v="롯데홈쇼핑" u="1"/>
        <s v="마켓컬리" u="1"/>
        <s v="위메프" u="1"/>
        <s v="홈페이지" u="1"/>
        <s v="아누아 CS" u="1"/>
        <s v="N스토어" u="1"/>
        <s v="어몽어스 CS" u="1"/>
        <s v="프로젝트21 스토어팜" u="1"/>
        <s v="W컨셉" u="1"/>
        <s v="밀리밀" u="1"/>
        <s v="펫프렌즈" u="1"/>
        <s v="프로젝트21 CS" u="1"/>
        <s v="텐바이텐" u="1"/>
        <s v="롯데아이몰(신)" u="1"/>
        <s v="프로젝트21 홈페이지" u="1"/>
        <s v="CJ" u="1"/>
      </sharedItems>
    </cacheField>
    <cacheField name="매칭용" uniqueList="1" numFmtId="0" sqlType="0" hierarchy="0" level="0" databaseField="1">
      <sharedItems count="0" containsBlank="1"/>
    </cacheField>
    <cacheField name="판매수량" uniqueList="1" numFmtId="0" sqlType="0" hierarchy="0" level="0" databaseField="1">
      <sharedItems count="0" containsBlank="1" containsInteger="1" containsNumber="1" containsString="0" minValue="1" maxValue="712"/>
    </cacheField>
    <cacheField name="상품1" uniqueList="1" numFmtId="0" sqlType="0" hierarchy="0" level="0" databaseField="1">
      <sharedItems count="15" containsBlank="1">
        <s v="고체향수"/>
        <m/>
        <s v="쇼핑백"/>
        <s v="리얼스틱" u="1"/>
        <s v="데일리 펫타올" u="1"/>
        <s v="데일리 펫타올(L)" u="1"/>
        <s v="토너" u="1"/>
        <s v="선인장정수기 부속" u="1"/>
        <s v="데일리 수딩 샴푸" u="1"/>
        <s v="선인장정수기" u="1"/>
        <s v="눕눕백" u="1"/>
        <s v="펫타올세트" u="1"/>
        <s v="테스트용 상품" u="1"/>
        <s v="데일리 수딩 미스트" u="1"/>
        <s v="데일리 펫타올(M)" u="1"/>
      </sharedItems>
    </cacheField>
    <cacheField name="상품2" uniqueList="1" numFmtId="0" sqlType="0" hierarchy="0" level="0" databaseField="1">
      <sharedItems count="68" containsBlank="1">
        <m/>
        <s v="이그나이트"/>
        <s v="스테이포에버"/>
        <s v="이그나이트 + 스테이포에버"/>
        <s v="유즈쇼핑백"/>
        <s v="이그나이트 + 스테이포에버 + 쇼핑백2개"/>
        <s v="이그나이트 + 쇼핑백"/>
        <s v="스테이포에버 + 쇼핑백"/>
        <s v="스테이포에버 2set"/>
        <s v="이그나이트 2set"/>
        <s v="이그나이트 + 스테이포에버 2set"/>
        <s v="쇼핑백"/>
        <s v="선인장정수기 젠민트" u="1"/>
        <s v="눕눕백_패드(대형)_극세사" u="1"/>
        <s v="250ml" u="1"/>
        <s v="정수 필터 (3p)" u="1"/>
        <s v="눕눕백(대형)_그레이(LG)" u="1"/>
        <s v="가이드스틱" u="1"/>
        <s v="리얼스틱_서호주청정양" u="1"/>
        <s v="펫타올(M)" u="1"/>
        <s v="리얼스틱_맛보기샘플(6종)" u="1"/>
        <s v="눕눕백_패드(중형)_인견" u="1"/>
        <s v="눕눕백_패드(중형)_스크래쳐" u="1"/>
        <s v="수중펌프 (white)" u="1"/>
        <s v="[무료배송] 샴푸 1+1(30%off)" u="1"/>
        <s v="[무료배송] 샴푸 1+1(30%off) " u="1"/>
        <s v="리얼스틱_뉴질랜드참돔" u="1"/>
        <s v="리얼스틱_지리산우리땅오리_6팩" u="1"/>
        <s v="리얼스틱_4종세트" u="1"/>
        <s v="리얼스틱_북태평양눈다랑어_6팩" u="1"/>
        <s v="펫타올(M) 2ea" u="1"/>
        <s v="[무료배송] 샴푸 2+1(33%off)" u="1"/>
        <s v="[무료배송] 샴푸 2+1(33%off) " u="1"/>
        <s v="선인장정수기 젠핑크" u="1"/>
        <s v="리얼스틱_오로라연어" u="1"/>
        <s v="눕눕백(대형)_네이비(DN)" u="1"/>
        <s v="샴푸 1개(25%off) " u="1"/>
        <s v="눕눕백_패드(중형)_방수" u="1"/>
        <s v="리얼스틱_서호주청정양_6팩" u="1"/>
        <s v="특수요청건(배송주의사항에 상품기입)" u="1"/>
        <s v="드라이매트" u="1"/>
        <s v="리얼스틱_북태평양 눈다랑어" u="1"/>
        <s v="눕눕백_패드(중형)_극세사" u="1"/>
        <s v="미스트" u="1"/>
        <s v="펫타올L+샴푸1개" u="1"/>
        <s v="리얼스틱_오로라연어_6팩" u="1"/>
        <s v="리얼스틱_뉴질랜드참돔_6팩" u="1"/>
        <s v="리얼스틱_지리산우리땅오리" u="1"/>
        <s v="눕눕백(중형)_그레이(LG)" u="1"/>
        <s v="펫타올 L" u="1"/>
        <s v="눕눕백_패드(대형)_인견" u="1"/>
        <s v="눕눕백_패드(대형)_스크래쳐" u="1"/>
        <s v="펫타올(L)" u="1"/>
        <s v="250ml 2set" u="1"/>
        <s v="리얼스틱_6종세트" u="1"/>
        <s v="펫타올M+샴푸1개" u="1"/>
        <s v="리얼스틱_조선토종닭" u="1"/>
        <s v="폼 필터 (1p)" u="1"/>
        <s v="폼 필터 (3p)" u="1"/>
        <s v="실리콘 호스 (3p)" u="1"/>
        <s v="실리콘 호스 (1p)" u="1"/>
        <s v="펫타올(L) 2ea" u="1"/>
        <s v="샴푸 1개(25%off)" u="1"/>
        <s v="정수필터 &amp; 폼필터 세트 (30% 할인)" u="1"/>
        <s v="리얼스틱_조선토종닭_6팩" u="1"/>
        <s v="눕눕백(중형)_네이비(DN)" u="1"/>
        <s v="눕눕백_패드(대형)_방수" u="1"/>
        <s v="리얼스틱_6종세트x2" u="1"/>
      </sharedItems>
    </cacheField>
    <cacheField name="구분" uniqueList="1" numFmtId="0" sqlType="0" hierarchy="0" level="0" databaseField="1">
      <sharedItems count="0" containsBlank="1" containsInteger="1" containsNumber="1" containsString="0" minValue="200520" maxValue="210101"/>
    </cacheField>
    <cacheField name="광고비(VAT미포함)" uniqueList="1" numFmtId="0" sqlType="0" hierarchy="0" level="0" databaseField="1">
      <sharedItems count="0" containsBlank="1" containsNumber="1" containsString="0" minValue="0" maxValue="8205887.272727272"/>
    </cacheField>
    <cacheField name="판매액" uniqueList="1" numFmtId="0" sqlType="0" hierarchy="0" level="0" databaseField="1">
      <sharedItems count="0" containsBlank="1" containsInteger="1" containsNumber="1" containsString="0" minValue="0" maxValue="27056000"/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seyun lee" refreshedDate="44237.49776180556" createdVersion="6" refreshedVersion="6" minRefreshableVersion="3" recordCount="3223" r:id="rId1">
  <cacheSource type="worksheet">
    <worksheetSource ref="B1:P100717" sheet="RD"/>
  </cacheSource>
  <cacheFields count="16">
    <cacheField name="일자" uniqueList="1" numFmtId="0" sqlType="0" hierarchy="0" level="0" databaseField="1">
      <sharedItems count="263" containsBlank="1" containsDate="1" containsNonDate="0" containsString="0" minDate="2020-05-22T00:00:00" maxDate="2021-02-10T00:00:00">
        <d v="2020-05-22T00:00:00"/>
        <d v="2020-05-23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m/>
      </sharedItems>
      <fieldGroup par="15" base="0">
        <rangePr autoStart="1" autoEnd="1" groupBy="days" startDate="2020-05-22T00:00:00" endDate="2021-02-10T00:00:00" groupInterval="1"/>
        <groupItems count="368">
          <s v="(비어 있음)"/>
          <s v="1월1일"/>
          <s v="1월2일"/>
          <s v="1월3일"/>
          <s v="1월4일"/>
          <s v="1월5일"/>
          <s v="1월6일"/>
          <s v="1월7일"/>
          <s v="1월8일"/>
          <s v="1월9일"/>
          <s v="1월10일"/>
          <s v="1월11일"/>
          <s v="1월12일"/>
          <s v="1월13일"/>
          <s v="1월14일"/>
          <s v="1월15일"/>
          <s v="1월16일"/>
          <s v="1월17일"/>
          <s v="1월18일"/>
          <s v="1월19일"/>
          <s v="1월20일"/>
          <s v="1월21일"/>
          <s v="1월22일"/>
          <s v="1월23일"/>
          <s v="1월24일"/>
          <s v="1월25일"/>
          <s v="1월26일"/>
          <s v="1월27일"/>
          <s v="1월28일"/>
          <s v="1월29일"/>
          <s v="1월30일"/>
          <s v="1월31일"/>
          <s v="2월1일"/>
          <s v="2월2일"/>
          <s v="2월3일"/>
          <s v="2월4일"/>
          <s v="2월5일"/>
          <s v="2월6일"/>
          <s v="2월7일"/>
          <s v="2월8일"/>
          <s v="2월9일"/>
          <s v="2월10일"/>
          <s v="2월11일"/>
          <s v="2월12일"/>
          <s v="2월13일"/>
          <s v="2월14일"/>
          <s v="2월15일"/>
          <s v="2월16일"/>
          <s v="2월17일"/>
          <s v="2월18일"/>
          <s v="2월19일"/>
          <s v="2월20일"/>
          <s v="2월21일"/>
          <s v="2월22일"/>
          <s v="2월23일"/>
          <s v="2월24일"/>
          <s v="2월25일"/>
          <s v="2월26일"/>
          <s v="2월27일"/>
          <s v="2월28일"/>
          <s v="2월29일"/>
          <s v="3월1일"/>
          <s v="3월2일"/>
          <s v="3월3일"/>
          <s v="3월4일"/>
          <s v="3월5일"/>
          <s v="3월6일"/>
          <s v="3월7일"/>
          <s v="3월8일"/>
          <s v="3월9일"/>
          <s v="3월10일"/>
          <s v="3월11일"/>
          <s v="3월12일"/>
          <s v="3월13일"/>
          <s v="3월14일"/>
          <s v="3월15일"/>
          <s v="3월16일"/>
          <s v="3월17일"/>
          <s v="3월18일"/>
          <s v="3월19일"/>
          <s v="3월20일"/>
          <s v="3월21일"/>
          <s v="3월22일"/>
          <s v="3월23일"/>
          <s v="3월24일"/>
          <s v="3월25일"/>
          <s v="3월26일"/>
          <s v="3월27일"/>
          <s v="3월28일"/>
          <s v="3월29일"/>
          <s v="3월30일"/>
          <s v="3월31일"/>
          <s v="4월1일"/>
          <s v="4월2일"/>
          <s v="4월3일"/>
          <s v="4월4일"/>
          <s v="4월5일"/>
          <s v="4월6일"/>
          <s v="4월7일"/>
          <s v="4월8일"/>
          <s v="4월9일"/>
          <s v="4월10일"/>
          <s v="4월11일"/>
          <s v="4월12일"/>
          <s v="4월13일"/>
          <s v="4월14일"/>
          <s v="4월15일"/>
          <s v="4월16일"/>
          <s v="4월17일"/>
          <s v="4월18일"/>
          <s v="4월19일"/>
          <s v="4월20일"/>
          <s v="4월21일"/>
          <s v="4월22일"/>
          <s v="4월23일"/>
          <s v="4월24일"/>
          <s v="4월25일"/>
          <s v="4월26일"/>
          <s v="4월27일"/>
          <s v="4월28일"/>
          <s v="4월29일"/>
          <s v="4월30일"/>
          <s v="5월1일"/>
          <s v="5월2일"/>
          <s v="5월3일"/>
          <s v="5월4일"/>
          <s v="5월5일"/>
          <s v="5월6일"/>
          <s v="5월7일"/>
          <s v="5월8일"/>
          <s v="5월9일"/>
          <s v="5월10일"/>
          <s v="5월11일"/>
          <s v="5월12일"/>
          <s v="5월13일"/>
          <s v="5월14일"/>
          <s v="5월15일"/>
          <s v="5월16일"/>
          <s v="5월17일"/>
          <s v="5월18일"/>
          <s v="5월19일"/>
          <s v="5월20일"/>
          <s v="5월21일"/>
          <s v="5월22일"/>
          <s v="5월23일"/>
          <s v="5월24일"/>
          <s v="5월25일"/>
          <s v="5월26일"/>
          <s v="5월27일"/>
          <s v="5월28일"/>
          <s v="5월29일"/>
          <s v="5월30일"/>
          <s v="5월31일"/>
          <s v="6월1일"/>
          <s v="6월2일"/>
          <s v="6월3일"/>
          <s v="6월4일"/>
          <s v="6월5일"/>
          <s v="6월6일"/>
          <s v="6월7일"/>
          <s v="6월8일"/>
          <s v="6월9일"/>
          <s v="6월10일"/>
          <s v="6월11일"/>
          <s v="6월12일"/>
          <s v="6월13일"/>
          <s v="6월14일"/>
          <s v="6월15일"/>
          <s v="6월16일"/>
          <s v="6월17일"/>
          <s v="6월18일"/>
          <s v="6월19일"/>
          <s v="6월20일"/>
          <s v="6월21일"/>
          <s v="6월22일"/>
          <s v="6월23일"/>
          <s v="6월24일"/>
          <s v="6월25일"/>
          <s v="6월26일"/>
          <s v="6월27일"/>
          <s v="6월28일"/>
          <s v="6월29일"/>
          <s v="6월30일"/>
          <s v="7월1일"/>
          <s v="7월2일"/>
          <s v="7월3일"/>
          <s v="7월4일"/>
          <s v="7월5일"/>
          <s v="7월6일"/>
          <s v="7월7일"/>
          <s v="7월8일"/>
          <s v="7월9일"/>
          <s v="7월10일"/>
          <s v="7월11일"/>
          <s v="7월12일"/>
          <s v="7월13일"/>
          <s v="7월14일"/>
          <s v="7월15일"/>
          <s v="7월16일"/>
          <s v="7월17일"/>
          <s v="7월18일"/>
          <s v="7월19일"/>
          <s v="7월20일"/>
          <s v="7월21일"/>
          <s v="7월22일"/>
          <s v="7월23일"/>
          <s v="7월24일"/>
          <s v="7월25일"/>
          <s v="7월26일"/>
          <s v="7월27일"/>
          <s v="7월28일"/>
          <s v="7월29일"/>
          <s v="7월30일"/>
          <s v="7월31일"/>
          <s v="8월1일"/>
          <s v="8월2일"/>
          <s v="8월3일"/>
          <s v="8월4일"/>
          <s v="8월5일"/>
          <s v="8월6일"/>
          <s v="8월7일"/>
          <s v="8월8일"/>
          <s v="8월9일"/>
          <s v="8월10일"/>
          <s v="8월11일"/>
          <s v="8월12일"/>
          <s v="8월13일"/>
          <s v="8월14일"/>
          <s v="8월15일"/>
          <s v="8월16일"/>
          <s v="8월17일"/>
          <s v="8월18일"/>
          <s v="8월19일"/>
          <s v="8월20일"/>
          <s v="8월21일"/>
          <s v="8월22일"/>
          <s v="8월23일"/>
          <s v="8월24일"/>
          <s v="8월25일"/>
          <s v="8월26일"/>
          <s v="8월27일"/>
          <s v="8월28일"/>
          <s v="8월29일"/>
          <s v="8월30일"/>
          <s v="8월31일"/>
          <s v="9월1일"/>
          <s v="9월2일"/>
          <s v="9월3일"/>
          <s v="9월4일"/>
          <s v="9월5일"/>
          <s v="9월6일"/>
          <s v="9월7일"/>
          <s v="9월8일"/>
          <s v="9월9일"/>
          <s v="9월10일"/>
          <s v="9월11일"/>
          <s v="9월12일"/>
          <s v="9월13일"/>
          <s v="9월14일"/>
          <s v="9월15일"/>
          <s v="9월16일"/>
          <s v="9월17일"/>
          <s v="9월18일"/>
          <s v="9월19일"/>
          <s v="9월20일"/>
          <s v="9월21일"/>
          <s v="9월22일"/>
          <s v="9월23일"/>
          <s v="9월24일"/>
          <s v="9월25일"/>
          <s v="9월26일"/>
          <s v="9월27일"/>
          <s v="9월28일"/>
          <s v="9월29일"/>
          <s v="9월30일"/>
          <s v="10월1일"/>
          <s v="10월2일"/>
          <s v="10월3일"/>
          <s v="10월4일"/>
          <s v="10월5일"/>
          <s v="10월6일"/>
          <s v="10월7일"/>
          <s v="10월8일"/>
          <s v="10월9일"/>
          <s v="10월10일"/>
          <s v="10월11일"/>
          <s v="10월12일"/>
          <s v="10월13일"/>
          <s v="10월14일"/>
          <s v="10월15일"/>
          <s v="10월16일"/>
          <s v="10월17일"/>
          <s v="10월18일"/>
          <s v="10월19일"/>
          <s v="10월20일"/>
          <s v="10월21일"/>
          <s v="10월22일"/>
          <s v="10월23일"/>
          <s v="10월24일"/>
          <s v="10월25일"/>
          <s v="10월26일"/>
          <s v="10월27일"/>
          <s v="10월28일"/>
          <s v="10월29일"/>
          <s v="10월30일"/>
          <s v="10월31일"/>
          <s v="11월1일"/>
          <s v="11월2일"/>
          <s v="11월3일"/>
          <s v="11월4일"/>
          <s v="11월5일"/>
          <s v="11월6일"/>
          <s v="11월7일"/>
          <s v="11월8일"/>
          <s v="11월9일"/>
          <s v="11월10일"/>
          <s v="11월11일"/>
          <s v="11월12일"/>
          <s v="11월13일"/>
          <s v="11월14일"/>
          <s v="11월15일"/>
          <s v="11월16일"/>
          <s v="11월17일"/>
          <s v="11월18일"/>
          <s v="11월19일"/>
          <s v="11월20일"/>
          <s v="11월21일"/>
          <s v="11월22일"/>
          <s v="11월23일"/>
          <s v="11월24일"/>
          <s v="11월25일"/>
          <s v="11월26일"/>
          <s v="11월27일"/>
          <s v="11월28일"/>
          <s v="11월29일"/>
          <s v="11월30일"/>
          <s v="12월1일"/>
          <s v="12월2일"/>
          <s v="12월3일"/>
          <s v="12월4일"/>
          <s v="12월5일"/>
          <s v="12월6일"/>
          <s v="12월7일"/>
          <s v="12월8일"/>
          <s v="12월9일"/>
          <s v="12월10일"/>
          <s v="12월11일"/>
          <s v="12월12일"/>
          <s v="12월13일"/>
          <s v="12월14일"/>
          <s v="12월15일"/>
          <s v="12월16일"/>
          <s v="12월17일"/>
          <s v="12월18일"/>
          <s v="12월19일"/>
          <s v="12월20일"/>
          <s v="12월21일"/>
          <s v="12월22일"/>
          <s v="12월23일"/>
          <s v="12월24일"/>
          <s v="12월25일"/>
          <s v="12월26일"/>
          <s v="12월27일"/>
          <s v="12월28일"/>
          <s v="12월29일"/>
          <s v="12월30일"/>
          <s v="12월31일"/>
          <s v="&gt;2021-02-10"/>
        </groupItems>
      </fieldGroup>
    </cacheField>
    <cacheField name="요일" uniqueList="1" numFmtId="0" sqlType="0" hierarchy="0" level="0" databaseField="1">
      <sharedItems count="0" containsBlank="1"/>
    </cacheField>
    <cacheField name="미디어" uniqueList="1" numFmtId="0" sqlType="0" hierarchy="0" level="0" databaseField="1">
      <sharedItems count="0" containsBlank="1"/>
    </cacheField>
    <cacheField name="채널" uniqueList="1" numFmtId="0" sqlType="0" hierarchy="0" level="0" databaseField="1">
      <sharedItems count="0" containsBlank="1"/>
    </cacheField>
    <cacheField name="매칭용" uniqueList="1" numFmtId="0" sqlType="0" hierarchy="0" level="0" databaseField="1">
      <sharedItems count="0" containsBlank="1"/>
    </cacheField>
    <cacheField name="판매수량" uniqueList="1" numFmtId="0" sqlType="0" hierarchy="0" level="0" databaseField="1">
      <sharedItems count="0" containsBlank="1" containsInteger="1" containsNumber="1" containsString="0" minValue="1" maxValue="712"/>
    </cacheField>
    <cacheField name="상품1" uniqueList="1" numFmtId="0" sqlType="0" hierarchy="0" level="0" databaseField="1">
      <sharedItems count="0" containsBlank="1"/>
    </cacheField>
    <cacheField name="상품2" uniqueList="1" numFmtId="0" sqlType="0" hierarchy="0" level="0" databaseField="1">
      <sharedItems count="0" containsBlank="1"/>
    </cacheField>
    <cacheField name="구분" uniqueList="1" numFmtId="0" sqlType="0" hierarchy="0" level="0" databaseField="1">
      <sharedItems count="0" containsBlank="1" containsInteger="1" containsNumber="1" containsString="0" minValue="200520" maxValue="210101"/>
    </cacheField>
    <cacheField name="광고비(VAT미포함)" uniqueList="1" numFmtId="0" sqlType="0" hierarchy="0" level="0" databaseField="1">
      <sharedItems count="0" containsBlank="1" containsNumber="1" containsString="0" minValue="0" maxValue="8205887.272727272"/>
    </cacheField>
    <cacheField name="판매액" uniqueList="1" numFmtId="0" sqlType="0" hierarchy="0" level="0" databaseField="1">
      <sharedItems count="0" containsBlank="1" containsInteger="1" containsNumber="1" containsString="0" minValue="0" maxValue="27056000"/>
    </cacheField>
    <cacheField name="판매액(수수료제외)" uniqueList="1" numFmtId="0" sqlType="0" hierarchy="0" level="0" databaseField="1">
      <sharedItems count="0" containsBlank="1" containsNumber="1" containsString="0" minValue="0" maxValue="25473224"/>
    </cacheField>
    <cacheField name="원가" uniqueList="1" numFmtId="0" sqlType="0" hierarchy="0" level="0" databaseField="1">
      <sharedItems count="0" containsBlank="1" containsInteger="1" containsNumber="1" containsString="0" minValue="830" maxValue="1981496"/>
    </cacheField>
    <cacheField name="판매액(VAT미포함)" uniqueList="1" numFmtId="0" sqlType="0" hierarchy="0" level="0" databaseField="1">
      <sharedItems count="0" containsBlank="1" containsNumber="1" containsString="0" minValue="0" maxValue="24596363.63636363"/>
    </cacheField>
    <cacheField name="구분값" uniqueList="1" numFmtId="0" sqlType="0" hierarchy="0" level="0" databaseField="1">
      <sharedItems count="0" containsBlank="1"/>
    </cacheField>
    <cacheField name="월" uniqueList="1" numFmtId="0" sqlType="0" hierarchy="0" level="0" databaseField="0">
      <fieldGroup base="0">
        <rangePr autoStart="1" autoEnd="1" groupBy="months" startDate="2020-05-22T00:00:00" endDate="2021-02-10T00:00:00" groupInterval="1"/>
        <groupItems count="14">
          <s v="&lt;2020-05-22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1-02-10"/>
        </groupItems>
      </fieldGroup>
    </cacheField>
  </cacheFields>
</pivotCacheDefinition>
</file>

<file path=xl/pivotCache/pivotCacheDefinition3.xml><?xml version="1.0" encoding="utf-8"?>
<pivotCacheDefinition xmlns:r="http://schemas.openxmlformats.org/officeDocument/2006/relationships" xmlns="http://schemas.openxmlformats.org/spreadsheetml/2006/main" refreshedBy="seyun lee" refreshedDate="44237.49776041666" createdVersion="6" refreshedVersion="6" minRefreshableVersion="3" recordCount="3223" r:id="rId1">
  <cacheSource type="worksheet">
    <worksheetSource ref="B1:P1048576" sheet="RD"/>
  </cacheSource>
  <cacheFields count="18">
    <cacheField name="일자" uniqueList="1" numFmtId="0" sqlType="0" hierarchy="0" level="0" databaseField="1">
      <sharedItems count="263" containsBlank="1" containsDate="1" containsNonDate="0" containsString="0" minDate="2020-05-22T00:00:00" maxDate="2021-02-10T00:00:00">
        <d v="2020-05-22T00:00:00"/>
        <d v="2020-05-23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m/>
      </sharedItems>
      <fieldGroup par="17" base="0">
        <rangePr autoStart="1" autoEnd="1" groupBy="days" startDate="2020-05-22T00:00:00" endDate="2021-02-10T00:00:00" groupInterval="1"/>
        <groupItems count="368">
          <s v="(비어 있음)"/>
          <s v="1월1일"/>
          <s v="1월2일"/>
          <s v="1월3일"/>
          <s v="1월4일"/>
          <s v="1월5일"/>
          <s v="1월6일"/>
          <s v="1월7일"/>
          <s v="1월8일"/>
          <s v="1월9일"/>
          <s v="1월10일"/>
          <s v="1월11일"/>
          <s v="1월12일"/>
          <s v="1월13일"/>
          <s v="1월14일"/>
          <s v="1월15일"/>
          <s v="1월16일"/>
          <s v="1월17일"/>
          <s v="1월18일"/>
          <s v="1월19일"/>
          <s v="1월20일"/>
          <s v="1월21일"/>
          <s v="1월22일"/>
          <s v="1월23일"/>
          <s v="1월24일"/>
          <s v="1월25일"/>
          <s v="1월26일"/>
          <s v="1월27일"/>
          <s v="1월28일"/>
          <s v="1월29일"/>
          <s v="1월30일"/>
          <s v="1월31일"/>
          <s v="2월1일"/>
          <s v="2월2일"/>
          <s v="2월3일"/>
          <s v="2월4일"/>
          <s v="2월5일"/>
          <s v="2월6일"/>
          <s v="2월7일"/>
          <s v="2월8일"/>
          <s v="2월9일"/>
          <s v="2월10일"/>
          <s v="2월11일"/>
          <s v="2월12일"/>
          <s v="2월13일"/>
          <s v="2월14일"/>
          <s v="2월15일"/>
          <s v="2월16일"/>
          <s v="2월17일"/>
          <s v="2월18일"/>
          <s v="2월19일"/>
          <s v="2월20일"/>
          <s v="2월21일"/>
          <s v="2월22일"/>
          <s v="2월23일"/>
          <s v="2월24일"/>
          <s v="2월25일"/>
          <s v="2월26일"/>
          <s v="2월27일"/>
          <s v="2월28일"/>
          <s v="2월29일"/>
          <s v="3월1일"/>
          <s v="3월2일"/>
          <s v="3월3일"/>
          <s v="3월4일"/>
          <s v="3월5일"/>
          <s v="3월6일"/>
          <s v="3월7일"/>
          <s v="3월8일"/>
          <s v="3월9일"/>
          <s v="3월10일"/>
          <s v="3월11일"/>
          <s v="3월12일"/>
          <s v="3월13일"/>
          <s v="3월14일"/>
          <s v="3월15일"/>
          <s v="3월16일"/>
          <s v="3월17일"/>
          <s v="3월18일"/>
          <s v="3월19일"/>
          <s v="3월20일"/>
          <s v="3월21일"/>
          <s v="3월22일"/>
          <s v="3월23일"/>
          <s v="3월24일"/>
          <s v="3월25일"/>
          <s v="3월26일"/>
          <s v="3월27일"/>
          <s v="3월28일"/>
          <s v="3월29일"/>
          <s v="3월30일"/>
          <s v="3월31일"/>
          <s v="4월1일"/>
          <s v="4월2일"/>
          <s v="4월3일"/>
          <s v="4월4일"/>
          <s v="4월5일"/>
          <s v="4월6일"/>
          <s v="4월7일"/>
          <s v="4월8일"/>
          <s v="4월9일"/>
          <s v="4월10일"/>
          <s v="4월11일"/>
          <s v="4월12일"/>
          <s v="4월13일"/>
          <s v="4월14일"/>
          <s v="4월15일"/>
          <s v="4월16일"/>
          <s v="4월17일"/>
          <s v="4월18일"/>
          <s v="4월19일"/>
          <s v="4월20일"/>
          <s v="4월21일"/>
          <s v="4월22일"/>
          <s v="4월23일"/>
          <s v="4월24일"/>
          <s v="4월25일"/>
          <s v="4월26일"/>
          <s v="4월27일"/>
          <s v="4월28일"/>
          <s v="4월29일"/>
          <s v="4월30일"/>
          <s v="5월1일"/>
          <s v="5월2일"/>
          <s v="5월3일"/>
          <s v="5월4일"/>
          <s v="5월5일"/>
          <s v="5월6일"/>
          <s v="5월7일"/>
          <s v="5월8일"/>
          <s v="5월9일"/>
          <s v="5월10일"/>
          <s v="5월11일"/>
          <s v="5월12일"/>
          <s v="5월13일"/>
          <s v="5월14일"/>
          <s v="5월15일"/>
          <s v="5월16일"/>
          <s v="5월17일"/>
          <s v="5월18일"/>
          <s v="5월19일"/>
          <s v="5월20일"/>
          <s v="5월21일"/>
          <s v="5월22일"/>
          <s v="5월23일"/>
          <s v="5월24일"/>
          <s v="5월25일"/>
          <s v="5월26일"/>
          <s v="5월27일"/>
          <s v="5월28일"/>
          <s v="5월29일"/>
          <s v="5월30일"/>
          <s v="5월31일"/>
          <s v="6월1일"/>
          <s v="6월2일"/>
          <s v="6월3일"/>
          <s v="6월4일"/>
          <s v="6월5일"/>
          <s v="6월6일"/>
          <s v="6월7일"/>
          <s v="6월8일"/>
          <s v="6월9일"/>
          <s v="6월10일"/>
          <s v="6월11일"/>
          <s v="6월12일"/>
          <s v="6월13일"/>
          <s v="6월14일"/>
          <s v="6월15일"/>
          <s v="6월16일"/>
          <s v="6월17일"/>
          <s v="6월18일"/>
          <s v="6월19일"/>
          <s v="6월20일"/>
          <s v="6월21일"/>
          <s v="6월22일"/>
          <s v="6월23일"/>
          <s v="6월24일"/>
          <s v="6월25일"/>
          <s v="6월26일"/>
          <s v="6월27일"/>
          <s v="6월28일"/>
          <s v="6월29일"/>
          <s v="6월30일"/>
          <s v="7월1일"/>
          <s v="7월2일"/>
          <s v="7월3일"/>
          <s v="7월4일"/>
          <s v="7월5일"/>
          <s v="7월6일"/>
          <s v="7월7일"/>
          <s v="7월8일"/>
          <s v="7월9일"/>
          <s v="7월10일"/>
          <s v="7월11일"/>
          <s v="7월12일"/>
          <s v="7월13일"/>
          <s v="7월14일"/>
          <s v="7월15일"/>
          <s v="7월16일"/>
          <s v="7월17일"/>
          <s v="7월18일"/>
          <s v="7월19일"/>
          <s v="7월20일"/>
          <s v="7월21일"/>
          <s v="7월22일"/>
          <s v="7월23일"/>
          <s v="7월24일"/>
          <s v="7월25일"/>
          <s v="7월26일"/>
          <s v="7월27일"/>
          <s v="7월28일"/>
          <s v="7월29일"/>
          <s v="7월30일"/>
          <s v="7월31일"/>
          <s v="8월1일"/>
          <s v="8월2일"/>
          <s v="8월3일"/>
          <s v="8월4일"/>
          <s v="8월5일"/>
          <s v="8월6일"/>
          <s v="8월7일"/>
          <s v="8월8일"/>
          <s v="8월9일"/>
          <s v="8월10일"/>
          <s v="8월11일"/>
          <s v="8월12일"/>
          <s v="8월13일"/>
          <s v="8월14일"/>
          <s v="8월15일"/>
          <s v="8월16일"/>
          <s v="8월17일"/>
          <s v="8월18일"/>
          <s v="8월19일"/>
          <s v="8월20일"/>
          <s v="8월21일"/>
          <s v="8월22일"/>
          <s v="8월23일"/>
          <s v="8월24일"/>
          <s v="8월25일"/>
          <s v="8월26일"/>
          <s v="8월27일"/>
          <s v="8월28일"/>
          <s v="8월29일"/>
          <s v="8월30일"/>
          <s v="8월31일"/>
          <s v="9월1일"/>
          <s v="9월2일"/>
          <s v="9월3일"/>
          <s v="9월4일"/>
          <s v="9월5일"/>
          <s v="9월6일"/>
          <s v="9월7일"/>
          <s v="9월8일"/>
          <s v="9월9일"/>
          <s v="9월10일"/>
          <s v="9월11일"/>
          <s v="9월12일"/>
          <s v="9월13일"/>
          <s v="9월14일"/>
          <s v="9월15일"/>
          <s v="9월16일"/>
          <s v="9월17일"/>
          <s v="9월18일"/>
          <s v="9월19일"/>
          <s v="9월20일"/>
          <s v="9월21일"/>
          <s v="9월22일"/>
          <s v="9월23일"/>
          <s v="9월24일"/>
          <s v="9월25일"/>
          <s v="9월26일"/>
          <s v="9월27일"/>
          <s v="9월28일"/>
          <s v="9월29일"/>
          <s v="9월30일"/>
          <s v="10월1일"/>
          <s v="10월2일"/>
          <s v="10월3일"/>
          <s v="10월4일"/>
          <s v="10월5일"/>
          <s v="10월6일"/>
          <s v="10월7일"/>
          <s v="10월8일"/>
          <s v="10월9일"/>
          <s v="10월10일"/>
          <s v="10월11일"/>
          <s v="10월12일"/>
          <s v="10월13일"/>
          <s v="10월14일"/>
          <s v="10월15일"/>
          <s v="10월16일"/>
          <s v="10월17일"/>
          <s v="10월18일"/>
          <s v="10월19일"/>
          <s v="10월20일"/>
          <s v="10월21일"/>
          <s v="10월22일"/>
          <s v="10월23일"/>
          <s v="10월24일"/>
          <s v="10월25일"/>
          <s v="10월26일"/>
          <s v="10월27일"/>
          <s v="10월28일"/>
          <s v="10월29일"/>
          <s v="10월30일"/>
          <s v="10월31일"/>
          <s v="11월1일"/>
          <s v="11월2일"/>
          <s v="11월3일"/>
          <s v="11월4일"/>
          <s v="11월5일"/>
          <s v="11월6일"/>
          <s v="11월7일"/>
          <s v="11월8일"/>
          <s v="11월9일"/>
          <s v="11월10일"/>
          <s v="11월11일"/>
          <s v="11월12일"/>
          <s v="11월13일"/>
          <s v="11월14일"/>
          <s v="11월15일"/>
          <s v="11월16일"/>
          <s v="11월17일"/>
          <s v="11월18일"/>
          <s v="11월19일"/>
          <s v="11월20일"/>
          <s v="11월21일"/>
          <s v="11월22일"/>
          <s v="11월23일"/>
          <s v="11월24일"/>
          <s v="11월25일"/>
          <s v="11월26일"/>
          <s v="11월27일"/>
          <s v="11월28일"/>
          <s v="11월29일"/>
          <s v="11월30일"/>
          <s v="12월1일"/>
          <s v="12월2일"/>
          <s v="12월3일"/>
          <s v="12월4일"/>
          <s v="12월5일"/>
          <s v="12월6일"/>
          <s v="12월7일"/>
          <s v="12월8일"/>
          <s v="12월9일"/>
          <s v="12월10일"/>
          <s v="12월11일"/>
          <s v="12월12일"/>
          <s v="12월13일"/>
          <s v="12월14일"/>
          <s v="12월15일"/>
          <s v="12월16일"/>
          <s v="12월17일"/>
          <s v="12월18일"/>
          <s v="12월19일"/>
          <s v="12월20일"/>
          <s v="12월21일"/>
          <s v="12월22일"/>
          <s v="12월23일"/>
          <s v="12월24일"/>
          <s v="12월25일"/>
          <s v="12월26일"/>
          <s v="12월27일"/>
          <s v="12월28일"/>
          <s v="12월29일"/>
          <s v="12월30일"/>
          <s v="12월31일"/>
          <s v="&gt;2021-02-10"/>
        </groupItems>
      </fieldGroup>
    </cacheField>
    <cacheField name="요일" uniqueList="1" numFmtId="0" sqlType="0" hierarchy="0" level="0" databaseField="1">
      <sharedItems count="0" containsBlank="1"/>
    </cacheField>
    <cacheField name="미디어" uniqueList="1" numFmtId="0" sqlType="0" hierarchy="0" level="0" databaseField="1">
      <sharedItems count="12" containsBlank="1">
        <s v="페이스북/인스타그램"/>
        <s v="네이버 브랜드검색"/>
        <s v="뷰스컴퍼니 리뷰"/>
        <s v="네이버 쇼핑검색"/>
        <s v="네이버 파워링크"/>
        <s v="유튜브"/>
        <s v="기획사이다"/>
        <s v="네이버 배너"/>
        <s v="카카오 배너"/>
        <s v="카카오 메시지"/>
        <s v="유튜브 광고"/>
        <m/>
      </sharedItems>
    </cacheField>
    <cacheField name="채널" uniqueList="1" numFmtId="0" sqlType="0" hierarchy="0" level="0" databaseField="1">
      <sharedItems count="0" containsBlank="1"/>
    </cacheField>
    <cacheField name="매칭용" uniqueList="1" numFmtId="0" sqlType="0" hierarchy="0" level="0" databaseField="1">
      <sharedItems count="0" containsBlank="1"/>
    </cacheField>
    <cacheField name="판매수량" uniqueList="1" numFmtId="0" sqlType="0" hierarchy="0" level="0" databaseField="1">
      <sharedItems count="0" containsBlank="1" containsInteger="1" containsNumber="1" containsString="0" minValue="1" maxValue="712"/>
    </cacheField>
    <cacheField name="상품1" uniqueList="1" numFmtId="0" sqlType="0" hierarchy="0" level="0" databaseField="1">
      <sharedItems count="3" containsBlank="1">
        <s v="고체향수"/>
        <m/>
        <s v="쇼핑백"/>
      </sharedItems>
    </cacheField>
    <cacheField name="상품2" uniqueList="1" numFmtId="0" sqlType="0" hierarchy="0" level="0" databaseField="1">
      <sharedItems count="0" containsBlank="1"/>
    </cacheField>
    <cacheField name="구분" uniqueList="1" numFmtId="0" sqlType="0" hierarchy="0" level="0" databaseField="1">
      <sharedItems count="0" containsBlank="1" containsInteger="1" containsNumber="1" containsString="0" minValue="200520" maxValue="210101"/>
    </cacheField>
    <cacheField name="광고비(VAT미포함)" uniqueList="1" numFmtId="0" sqlType="0" hierarchy="0" level="0" databaseField="1">
      <sharedItems count="0" containsBlank="1" containsNumber="1" containsString="0" minValue="0" maxValue="8205887.272727272"/>
    </cacheField>
    <cacheField name="판매액" uniqueList="1" numFmtId="0" sqlType="0" hierarchy="0" level="0" databaseField="1">
      <sharedItems count="0" containsBlank="1" containsInteger="1" containsNumber="1" containsString="0" minValue="0" maxValue="27056000"/>
    </cacheField>
    <cacheField name="판매액(수수료제외)" uniqueList="1" numFmtId="0" sqlType="0" hierarchy="0" level="0" databaseField="1">
      <sharedItems count="0" containsBlank="1" containsNumber="1" containsString="0" minValue="0" maxValue="25473224"/>
    </cacheField>
    <cacheField name="원가" uniqueList="1" numFmtId="0" sqlType="0" hierarchy="0" level="0" databaseField="1">
      <sharedItems count="0" containsBlank="1" containsInteger="1" containsNumber="1" containsString="0" minValue="830" maxValue="1981496"/>
    </cacheField>
    <cacheField name="판매액(VAT미포함)" uniqueList="1" numFmtId="0" sqlType="0" hierarchy="0" level="0" databaseField="1">
      <sharedItems count="0" containsBlank="1" containsNumber="1" containsString="0" minValue="0" maxValue="24596363.63636363"/>
    </cacheField>
    <cacheField name="구분값" uniqueList="1" numFmtId="0" sqlType="0" hierarchy="0" level="0" databaseField="1">
      <sharedItems count="0" containsBlank="1"/>
    </cacheField>
    <cacheField name="월" uniqueList="1" numFmtId="0" sqlType="0" hierarchy="0" level="0" databaseField="0">
      <fieldGroup base="0">
        <rangePr autoStart="1" autoEnd="1" groupBy="months" startDate="2020-05-22T00:00:00" endDate="2021-02-10T00:00:00" groupInterval="1"/>
        <groupItems count="14">
          <s v="&lt;2020-05-22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1-02-10"/>
        </groupItems>
      </fieldGroup>
    </cacheField>
    <cacheField name="분기" uniqueList="1" numFmtId="0" sqlType="0" hierarchy="0" level="0" databaseField="0">
      <fieldGroup base="0">
        <rangePr autoStart="1" autoEnd="1" groupBy="quarters" startDate="2020-05-22T00:00:00" endDate="2021-02-10T00:00:00" groupInterval="1"/>
        <groupItems count="6">
          <s v="&lt;2020-05-22"/>
          <s v="1사분기"/>
          <s v="2사분기"/>
          <s v="3사분기"/>
          <s v="4사분기"/>
          <s v="&gt;2021-02-10"/>
        </groupItems>
      </fieldGroup>
    </cacheField>
    <cacheField name="연" uniqueList="1" numFmtId="0" sqlType="0" hierarchy="0" level="0" databaseField="0">
      <fieldGroup base="0">
        <rangePr autoStart="1" autoEnd="1" groupBy="years" startDate="2020-05-22T00:00:00" endDate="2021-02-10T00:00:00" groupInterval="1"/>
        <groupItems count="4">
          <s v="&lt;2020-05-22"/>
          <s v="2020년"/>
          <s v="2021년"/>
          <s v="&gt;2021-02-10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3223">
  <r>
    <x v="0"/>
    <x v="0"/>
    <s v="페이스북/인스타그램"/>
    <x v="0"/>
    <m/>
    <m/>
    <x v="0"/>
    <x v="0"/>
    <m/>
    <n v="134178"/>
    <m/>
  </r>
  <r>
    <x v="1"/>
    <x v="1"/>
    <s v="페이스북/인스타그램"/>
    <x v="0"/>
    <m/>
    <m/>
    <x v="0"/>
    <x v="0"/>
    <m/>
    <n v="118671"/>
    <m/>
  </r>
  <r>
    <x v="2"/>
    <x v="2"/>
    <s v="페이스북/인스타그램"/>
    <x v="0"/>
    <m/>
    <m/>
    <x v="0"/>
    <x v="0"/>
    <m/>
    <n v="230036"/>
    <m/>
  </r>
  <r>
    <x v="3"/>
    <x v="3"/>
    <s v="페이스북/인스타그램"/>
    <x v="0"/>
    <m/>
    <m/>
    <x v="0"/>
    <x v="0"/>
    <m/>
    <n v="647321"/>
    <m/>
  </r>
  <r>
    <x v="4"/>
    <x v="4"/>
    <s v="페이스북/인스타그램"/>
    <x v="0"/>
    <m/>
    <m/>
    <x v="0"/>
    <x v="0"/>
    <m/>
    <n v="501095"/>
    <m/>
  </r>
  <r>
    <x v="5"/>
    <x v="0"/>
    <s v="페이스북/인스타그램"/>
    <x v="0"/>
    <m/>
    <m/>
    <x v="0"/>
    <x v="0"/>
    <m/>
    <n v="69797"/>
    <m/>
  </r>
  <r>
    <x v="6"/>
    <x v="1"/>
    <s v="페이스북/인스타그램"/>
    <x v="0"/>
    <m/>
    <m/>
    <x v="0"/>
    <x v="0"/>
    <m/>
    <n v="128834"/>
    <m/>
  </r>
  <r>
    <x v="7"/>
    <x v="5"/>
    <s v="페이스북/인스타그램"/>
    <x v="0"/>
    <m/>
    <m/>
    <x v="0"/>
    <x v="0"/>
    <m/>
    <n v="200529"/>
    <m/>
  </r>
  <r>
    <x v="3"/>
    <x v="3"/>
    <s v="네이버 브랜드검색"/>
    <x v="0"/>
    <m/>
    <m/>
    <x v="0"/>
    <x v="0"/>
    <m/>
    <n v="20000"/>
    <m/>
  </r>
  <r>
    <x v="4"/>
    <x v="4"/>
    <s v="네이버 브랜드검색"/>
    <x v="0"/>
    <m/>
    <m/>
    <x v="0"/>
    <x v="0"/>
    <m/>
    <n v="20000"/>
    <m/>
  </r>
  <r>
    <x v="5"/>
    <x v="0"/>
    <s v="네이버 브랜드검색"/>
    <x v="0"/>
    <m/>
    <m/>
    <x v="0"/>
    <x v="0"/>
    <m/>
    <n v="20000"/>
    <m/>
  </r>
  <r>
    <x v="6"/>
    <x v="1"/>
    <s v="네이버 브랜드검색"/>
    <x v="0"/>
    <m/>
    <m/>
    <x v="0"/>
    <x v="0"/>
    <m/>
    <n v="20000"/>
    <m/>
  </r>
  <r>
    <x v="7"/>
    <x v="5"/>
    <s v="네이버 브랜드검색"/>
    <x v="0"/>
    <m/>
    <m/>
    <x v="0"/>
    <x v="0"/>
    <m/>
    <n v="20000"/>
    <m/>
  </r>
  <r>
    <x v="2"/>
    <x v="2"/>
    <s v="뷰스컴퍼니 리뷰"/>
    <x v="0"/>
    <m/>
    <m/>
    <x v="0"/>
    <x v="0"/>
    <m/>
    <n v="200000"/>
    <m/>
  </r>
  <r>
    <x v="8"/>
    <x v="6"/>
    <s v="페이스북/인스타그램"/>
    <x v="0"/>
    <m/>
    <m/>
    <x v="0"/>
    <x v="0"/>
    <m/>
    <n v="192706"/>
    <m/>
  </r>
  <r>
    <x v="9"/>
    <x v="2"/>
    <s v="페이스북/인스타그램"/>
    <x v="0"/>
    <m/>
    <m/>
    <x v="0"/>
    <x v="0"/>
    <m/>
    <n v="113677"/>
    <m/>
  </r>
  <r>
    <x v="10"/>
    <x v="3"/>
    <s v="페이스북/인스타그램"/>
    <x v="0"/>
    <m/>
    <m/>
    <x v="0"/>
    <x v="0"/>
    <m/>
    <n v="377714"/>
    <m/>
  </r>
  <r>
    <x v="11"/>
    <x v="4"/>
    <s v="페이스북/인스타그램"/>
    <x v="0"/>
    <m/>
    <m/>
    <x v="0"/>
    <x v="0"/>
    <m/>
    <n v="580159"/>
    <m/>
  </r>
  <r>
    <x v="12"/>
    <x v="0"/>
    <s v="페이스북/인스타그램"/>
    <x v="0"/>
    <m/>
    <m/>
    <x v="0"/>
    <x v="0"/>
    <m/>
    <n v="269053"/>
    <m/>
  </r>
  <r>
    <x v="13"/>
    <x v="1"/>
    <s v="페이스북/인스타그램"/>
    <x v="0"/>
    <m/>
    <m/>
    <x v="0"/>
    <x v="0"/>
    <m/>
    <n v="237187"/>
    <m/>
  </r>
  <r>
    <x v="14"/>
    <x v="5"/>
    <s v="페이스북/인스타그램"/>
    <x v="0"/>
    <m/>
    <m/>
    <x v="0"/>
    <x v="0"/>
    <m/>
    <n v="193524"/>
    <m/>
  </r>
  <r>
    <x v="15"/>
    <x v="6"/>
    <s v="페이스북/인스타그램"/>
    <x v="0"/>
    <m/>
    <m/>
    <x v="0"/>
    <x v="0"/>
    <m/>
    <n v="161106"/>
    <m/>
  </r>
  <r>
    <x v="16"/>
    <x v="2"/>
    <s v="페이스북/인스타그램"/>
    <x v="0"/>
    <m/>
    <m/>
    <x v="0"/>
    <x v="0"/>
    <m/>
    <n v="282434"/>
    <m/>
  </r>
  <r>
    <x v="17"/>
    <x v="3"/>
    <s v="페이스북/인스타그램"/>
    <x v="0"/>
    <m/>
    <m/>
    <x v="0"/>
    <x v="0"/>
    <m/>
    <n v="396809"/>
    <m/>
  </r>
  <r>
    <x v="18"/>
    <x v="4"/>
    <s v="페이스북/인스타그램"/>
    <x v="0"/>
    <m/>
    <m/>
    <x v="0"/>
    <x v="0"/>
    <m/>
    <n v="390556"/>
    <m/>
  </r>
  <r>
    <x v="19"/>
    <x v="0"/>
    <s v="페이스북/인스타그램"/>
    <x v="0"/>
    <m/>
    <m/>
    <x v="0"/>
    <x v="0"/>
    <m/>
    <n v="328542"/>
    <m/>
  </r>
  <r>
    <x v="20"/>
    <x v="1"/>
    <s v="페이스북/인스타그램"/>
    <x v="0"/>
    <m/>
    <m/>
    <x v="0"/>
    <x v="0"/>
    <m/>
    <n v="350961"/>
    <m/>
  </r>
  <r>
    <x v="21"/>
    <x v="5"/>
    <s v="페이스북/인스타그램"/>
    <x v="0"/>
    <m/>
    <m/>
    <x v="0"/>
    <x v="0"/>
    <m/>
    <n v="353357"/>
    <m/>
  </r>
  <r>
    <x v="22"/>
    <x v="6"/>
    <s v="페이스북/인스타그램"/>
    <x v="0"/>
    <m/>
    <m/>
    <x v="0"/>
    <x v="0"/>
    <m/>
    <n v="338206"/>
    <m/>
  </r>
  <r>
    <x v="23"/>
    <x v="2"/>
    <s v="페이스북/인스타그램"/>
    <x v="0"/>
    <m/>
    <m/>
    <x v="0"/>
    <x v="0"/>
    <m/>
    <n v="355041"/>
    <m/>
  </r>
  <r>
    <x v="24"/>
    <x v="3"/>
    <s v="페이스북/인스타그램"/>
    <x v="0"/>
    <m/>
    <m/>
    <x v="0"/>
    <x v="0"/>
    <m/>
    <n v="468860"/>
    <m/>
  </r>
  <r>
    <x v="25"/>
    <x v="4"/>
    <s v="페이스북/인스타그램"/>
    <x v="0"/>
    <m/>
    <m/>
    <x v="0"/>
    <x v="0"/>
    <m/>
    <n v="961927"/>
    <m/>
  </r>
  <r>
    <x v="26"/>
    <x v="0"/>
    <s v="페이스북/인스타그램"/>
    <x v="0"/>
    <m/>
    <m/>
    <x v="0"/>
    <x v="0"/>
    <m/>
    <n v="878473"/>
    <m/>
  </r>
  <r>
    <x v="27"/>
    <x v="1"/>
    <s v="페이스북/인스타그램"/>
    <x v="0"/>
    <m/>
    <m/>
    <x v="0"/>
    <x v="0"/>
    <m/>
    <n v="1087409"/>
    <m/>
  </r>
  <r>
    <x v="28"/>
    <x v="5"/>
    <s v="페이스북/인스타그램"/>
    <x v="0"/>
    <m/>
    <m/>
    <x v="0"/>
    <x v="0"/>
    <m/>
    <n v="1248838"/>
    <m/>
  </r>
  <r>
    <x v="29"/>
    <x v="6"/>
    <s v="페이스북/인스타그램"/>
    <x v="0"/>
    <m/>
    <m/>
    <x v="0"/>
    <x v="0"/>
    <m/>
    <n v="1602474"/>
    <m/>
  </r>
  <r>
    <x v="30"/>
    <x v="2"/>
    <s v="페이스북/인스타그램"/>
    <x v="0"/>
    <m/>
    <m/>
    <x v="0"/>
    <x v="0"/>
    <m/>
    <n v="1567376"/>
    <m/>
  </r>
  <r>
    <x v="31"/>
    <x v="3"/>
    <s v="페이스북/인스타그램"/>
    <x v="0"/>
    <m/>
    <m/>
    <x v="0"/>
    <x v="0"/>
    <m/>
    <n v="1607092"/>
    <m/>
  </r>
  <r>
    <x v="32"/>
    <x v="4"/>
    <s v="페이스북/인스타그램"/>
    <x v="0"/>
    <m/>
    <m/>
    <x v="0"/>
    <x v="0"/>
    <m/>
    <n v="1780764"/>
    <m/>
  </r>
  <r>
    <x v="33"/>
    <x v="0"/>
    <s v="페이스북/인스타그램"/>
    <x v="0"/>
    <m/>
    <m/>
    <x v="0"/>
    <x v="0"/>
    <m/>
    <n v="1809511"/>
    <m/>
  </r>
  <r>
    <x v="34"/>
    <x v="1"/>
    <s v="페이스북/인스타그램"/>
    <x v="0"/>
    <m/>
    <m/>
    <x v="0"/>
    <x v="0"/>
    <m/>
    <n v="1920335"/>
    <m/>
  </r>
  <r>
    <x v="35"/>
    <x v="5"/>
    <s v="페이스북/인스타그램"/>
    <x v="0"/>
    <m/>
    <m/>
    <x v="0"/>
    <x v="0"/>
    <m/>
    <n v="1598927"/>
    <m/>
  </r>
  <r>
    <x v="36"/>
    <x v="6"/>
    <s v="페이스북/인스타그램"/>
    <x v="0"/>
    <m/>
    <m/>
    <x v="0"/>
    <x v="0"/>
    <m/>
    <n v="1355641"/>
    <m/>
  </r>
  <r>
    <x v="37"/>
    <x v="2"/>
    <s v="페이스북/인스타그램"/>
    <x v="0"/>
    <m/>
    <m/>
    <x v="0"/>
    <x v="0"/>
    <m/>
    <n v="1301523"/>
    <m/>
  </r>
  <r>
    <x v="38"/>
    <x v="3"/>
    <s v="페이스북/인스타그램"/>
    <x v="0"/>
    <m/>
    <m/>
    <x v="0"/>
    <x v="0"/>
    <m/>
    <n v="866004"/>
    <m/>
  </r>
  <r>
    <x v="39"/>
    <x v="4"/>
    <s v="페이스북/인스타그램"/>
    <x v="0"/>
    <m/>
    <m/>
    <x v="0"/>
    <x v="0"/>
    <m/>
    <n v="988933"/>
    <m/>
  </r>
  <r>
    <x v="40"/>
    <x v="0"/>
    <s v="페이스북/인스타그램"/>
    <x v="0"/>
    <m/>
    <m/>
    <x v="0"/>
    <x v="0"/>
    <m/>
    <n v="532347"/>
    <m/>
  </r>
  <r>
    <x v="41"/>
    <x v="1"/>
    <s v="페이스북/인스타그램"/>
    <x v="0"/>
    <m/>
    <m/>
    <x v="0"/>
    <x v="0"/>
    <m/>
    <n v="126894"/>
    <m/>
  </r>
  <r>
    <x v="42"/>
    <x v="5"/>
    <s v="페이스북/인스타그램"/>
    <x v="0"/>
    <m/>
    <m/>
    <x v="0"/>
    <x v="0"/>
    <m/>
    <n v="261799"/>
    <m/>
  </r>
  <r>
    <x v="43"/>
    <x v="6"/>
    <s v="페이스북/인스타그램"/>
    <x v="0"/>
    <m/>
    <m/>
    <x v="0"/>
    <x v="0"/>
    <m/>
    <n v="447045"/>
    <m/>
  </r>
  <r>
    <x v="44"/>
    <x v="2"/>
    <s v="페이스북/인스타그램"/>
    <x v="0"/>
    <m/>
    <m/>
    <x v="0"/>
    <x v="0"/>
    <m/>
    <n v="621711"/>
    <m/>
  </r>
  <r>
    <x v="45"/>
    <x v="3"/>
    <s v="페이스북/인스타그램"/>
    <x v="0"/>
    <m/>
    <m/>
    <x v="0"/>
    <x v="0"/>
    <m/>
    <n v="617293"/>
    <m/>
  </r>
  <r>
    <x v="46"/>
    <x v="4"/>
    <s v="페이스북/인스타그램"/>
    <x v="0"/>
    <m/>
    <m/>
    <x v="0"/>
    <x v="0"/>
    <m/>
    <n v="721867"/>
    <m/>
  </r>
  <r>
    <x v="47"/>
    <x v="0"/>
    <s v="페이스북/인스타그램"/>
    <x v="0"/>
    <m/>
    <m/>
    <x v="0"/>
    <x v="0"/>
    <m/>
    <n v="450794"/>
    <m/>
  </r>
  <r>
    <x v="48"/>
    <x v="1"/>
    <s v="페이스북/인스타그램"/>
    <x v="0"/>
    <m/>
    <m/>
    <x v="0"/>
    <x v="0"/>
    <m/>
    <n v="726705"/>
    <m/>
  </r>
  <r>
    <x v="49"/>
    <x v="5"/>
    <s v="페이스북/인스타그램"/>
    <x v="0"/>
    <m/>
    <m/>
    <x v="0"/>
    <x v="0"/>
    <m/>
    <n v="1105544"/>
    <m/>
  </r>
  <r>
    <x v="50"/>
    <x v="6"/>
    <s v="페이스북/인스타그램"/>
    <x v="0"/>
    <m/>
    <m/>
    <x v="0"/>
    <x v="0"/>
    <m/>
    <n v="729014"/>
    <m/>
  </r>
  <r>
    <x v="51"/>
    <x v="2"/>
    <s v="페이스북/인스타그램"/>
    <x v="0"/>
    <m/>
    <m/>
    <x v="0"/>
    <x v="0"/>
    <m/>
    <n v="1494667"/>
    <m/>
  </r>
  <r>
    <x v="52"/>
    <x v="3"/>
    <s v="페이스북/인스타그램"/>
    <x v="0"/>
    <m/>
    <m/>
    <x v="0"/>
    <x v="0"/>
    <m/>
    <n v="1996151"/>
    <m/>
  </r>
  <r>
    <x v="53"/>
    <x v="4"/>
    <s v="페이스북/인스타그램"/>
    <x v="0"/>
    <m/>
    <m/>
    <x v="0"/>
    <x v="0"/>
    <m/>
    <n v="1297037"/>
    <m/>
  </r>
  <r>
    <x v="54"/>
    <x v="0"/>
    <s v="페이스북/인스타그램"/>
    <x v="0"/>
    <m/>
    <m/>
    <x v="0"/>
    <x v="0"/>
    <m/>
    <n v="2002362"/>
    <m/>
  </r>
  <r>
    <x v="55"/>
    <x v="1"/>
    <s v="페이스북/인스타그램"/>
    <x v="0"/>
    <m/>
    <m/>
    <x v="0"/>
    <x v="0"/>
    <m/>
    <n v="867269"/>
    <m/>
  </r>
  <r>
    <x v="56"/>
    <x v="5"/>
    <s v="페이스북/인스타그램"/>
    <x v="0"/>
    <m/>
    <m/>
    <x v="0"/>
    <x v="0"/>
    <m/>
    <n v="1072667"/>
    <m/>
  </r>
  <r>
    <x v="57"/>
    <x v="6"/>
    <s v="페이스북/인스타그램"/>
    <x v="0"/>
    <m/>
    <m/>
    <x v="0"/>
    <x v="0"/>
    <m/>
    <n v="1269040"/>
    <m/>
  </r>
  <r>
    <x v="48"/>
    <x v="1"/>
    <s v="네이버 쇼핑검색"/>
    <x v="0"/>
    <m/>
    <m/>
    <x v="0"/>
    <x v="0"/>
    <m/>
    <n v="499.9999999999999"/>
    <m/>
  </r>
  <r>
    <x v="49"/>
    <x v="5"/>
    <s v="네이버 쇼핑검색"/>
    <x v="0"/>
    <m/>
    <m/>
    <x v="0"/>
    <x v="0"/>
    <m/>
    <n v="1120"/>
    <m/>
  </r>
  <r>
    <x v="50"/>
    <x v="6"/>
    <s v="네이버 쇼핑검색"/>
    <x v="0"/>
    <m/>
    <m/>
    <x v="0"/>
    <x v="0"/>
    <m/>
    <n v="3070"/>
    <m/>
  </r>
  <r>
    <x v="51"/>
    <x v="2"/>
    <s v="네이버 쇼핑검색"/>
    <x v="0"/>
    <m/>
    <m/>
    <x v="0"/>
    <x v="0"/>
    <m/>
    <n v="1540"/>
    <m/>
  </r>
  <r>
    <x v="52"/>
    <x v="3"/>
    <s v="네이버 쇼핑검색"/>
    <x v="0"/>
    <m/>
    <m/>
    <x v="0"/>
    <x v="0"/>
    <m/>
    <n v="2380"/>
    <m/>
  </r>
  <r>
    <x v="53"/>
    <x v="4"/>
    <s v="네이버 쇼핑검색"/>
    <x v="0"/>
    <m/>
    <m/>
    <x v="0"/>
    <x v="0"/>
    <m/>
    <n v="2080"/>
    <m/>
  </r>
  <r>
    <x v="54"/>
    <x v="0"/>
    <s v="네이버 쇼핑검색"/>
    <x v="0"/>
    <m/>
    <m/>
    <x v="0"/>
    <x v="0"/>
    <m/>
    <n v="3170"/>
    <m/>
  </r>
  <r>
    <x v="55"/>
    <x v="1"/>
    <s v="네이버 쇼핑검색"/>
    <x v="0"/>
    <m/>
    <m/>
    <x v="0"/>
    <x v="0"/>
    <m/>
    <n v="4110"/>
    <m/>
  </r>
  <r>
    <x v="56"/>
    <x v="5"/>
    <s v="네이버 쇼핑검색"/>
    <x v="0"/>
    <m/>
    <m/>
    <x v="0"/>
    <x v="0"/>
    <m/>
    <n v="799.9999999999999"/>
    <m/>
  </r>
  <r>
    <x v="57"/>
    <x v="6"/>
    <s v="네이버 쇼핑검색"/>
    <x v="0"/>
    <m/>
    <m/>
    <x v="0"/>
    <x v="0"/>
    <m/>
    <n v="4130"/>
    <m/>
  </r>
  <r>
    <x v="40"/>
    <x v="0"/>
    <s v="네이버 파워링크"/>
    <x v="0"/>
    <m/>
    <m/>
    <x v="0"/>
    <x v="0"/>
    <m/>
    <n v="70"/>
    <m/>
  </r>
  <r>
    <x v="42"/>
    <x v="5"/>
    <s v="네이버 파워링크"/>
    <x v="0"/>
    <m/>
    <m/>
    <x v="0"/>
    <x v="0"/>
    <m/>
    <n v="70"/>
    <m/>
  </r>
  <r>
    <x v="45"/>
    <x v="3"/>
    <s v="네이버 파워링크"/>
    <x v="0"/>
    <m/>
    <m/>
    <x v="0"/>
    <x v="0"/>
    <m/>
    <n v="70"/>
    <m/>
  </r>
  <r>
    <x v="47"/>
    <x v="0"/>
    <s v="네이버 파워링크"/>
    <x v="0"/>
    <m/>
    <m/>
    <x v="0"/>
    <x v="0"/>
    <m/>
    <n v="140"/>
    <m/>
  </r>
  <r>
    <x v="57"/>
    <x v="6"/>
    <s v="네이버 파워링크"/>
    <x v="0"/>
    <m/>
    <m/>
    <x v="0"/>
    <x v="0"/>
    <m/>
    <n v="70"/>
    <m/>
  </r>
  <r>
    <x v="8"/>
    <x v="6"/>
    <s v="네이버 브랜드검색"/>
    <x v="0"/>
    <m/>
    <m/>
    <x v="0"/>
    <x v="0"/>
    <m/>
    <n v="20000"/>
    <m/>
  </r>
  <r>
    <x v="9"/>
    <x v="2"/>
    <s v="네이버 브랜드검색"/>
    <x v="0"/>
    <m/>
    <m/>
    <x v="0"/>
    <x v="0"/>
    <m/>
    <n v="20000"/>
    <m/>
  </r>
  <r>
    <x v="10"/>
    <x v="3"/>
    <s v="네이버 브랜드검색"/>
    <x v="0"/>
    <m/>
    <m/>
    <x v="0"/>
    <x v="0"/>
    <m/>
    <n v="20000"/>
    <m/>
  </r>
  <r>
    <x v="11"/>
    <x v="4"/>
    <s v="네이버 브랜드검색"/>
    <x v="0"/>
    <m/>
    <m/>
    <x v="0"/>
    <x v="0"/>
    <m/>
    <n v="20000"/>
    <m/>
  </r>
  <r>
    <x v="12"/>
    <x v="0"/>
    <s v="네이버 브랜드검색"/>
    <x v="0"/>
    <m/>
    <m/>
    <x v="0"/>
    <x v="0"/>
    <m/>
    <n v="20000"/>
    <m/>
  </r>
  <r>
    <x v="13"/>
    <x v="1"/>
    <s v="네이버 브랜드검색"/>
    <x v="0"/>
    <m/>
    <m/>
    <x v="0"/>
    <x v="0"/>
    <m/>
    <n v="20000"/>
    <m/>
  </r>
  <r>
    <x v="14"/>
    <x v="5"/>
    <s v="네이버 브랜드검색"/>
    <x v="0"/>
    <m/>
    <m/>
    <x v="0"/>
    <x v="0"/>
    <m/>
    <n v="20000"/>
    <m/>
  </r>
  <r>
    <x v="15"/>
    <x v="6"/>
    <s v="네이버 브랜드검색"/>
    <x v="0"/>
    <m/>
    <m/>
    <x v="0"/>
    <x v="0"/>
    <m/>
    <n v="20000"/>
    <m/>
  </r>
  <r>
    <x v="16"/>
    <x v="2"/>
    <s v="네이버 브랜드검색"/>
    <x v="0"/>
    <m/>
    <m/>
    <x v="0"/>
    <x v="0"/>
    <m/>
    <n v="20000"/>
    <m/>
  </r>
  <r>
    <x v="17"/>
    <x v="3"/>
    <s v="네이버 브랜드검색"/>
    <x v="0"/>
    <m/>
    <m/>
    <x v="0"/>
    <x v="0"/>
    <m/>
    <n v="20000"/>
    <m/>
  </r>
  <r>
    <x v="18"/>
    <x v="4"/>
    <s v="네이버 브랜드검색"/>
    <x v="0"/>
    <m/>
    <m/>
    <x v="0"/>
    <x v="0"/>
    <m/>
    <n v="20000"/>
    <m/>
  </r>
  <r>
    <x v="19"/>
    <x v="0"/>
    <s v="네이버 브랜드검색"/>
    <x v="0"/>
    <m/>
    <m/>
    <x v="0"/>
    <x v="0"/>
    <m/>
    <n v="20000"/>
    <m/>
  </r>
  <r>
    <x v="20"/>
    <x v="1"/>
    <s v="네이버 브랜드검색"/>
    <x v="0"/>
    <m/>
    <m/>
    <x v="0"/>
    <x v="0"/>
    <m/>
    <n v="20000"/>
    <m/>
  </r>
  <r>
    <x v="21"/>
    <x v="5"/>
    <s v="네이버 브랜드검색"/>
    <x v="0"/>
    <m/>
    <m/>
    <x v="0"/>
    <x v="0"/>
    <m/>
    <n v="20000"/>
    <m/>
  </r>
  <r>
    <x v="22"/>
    <x v="6"/>
    <s v="네이버 브랜드검색"/>
    <x v="0"/>
    <m/>
    <m/>
    <x v="0"/>
    <x v="0"/>
    <m/>
    <n v="20000"/>
    <m/>
  </r>
  <r>
    <x v="23"/>
    <x v="2"/>
    <s v="네이버 브랜드검색"/>
    <x v="0"/>
    <m/>
    <m/>
    <x v="0"/>
    <x v="0"/>
    <m/>
    <n v="20000"/>
    <m/>
  </r>
  <r>
    <x v="24"/>
    <x v="3"/>
    <s v="네이버 브랜드검색"/>
    <x v="0"/>
    <m/>
    <m/>
    <x v="0"/>
    <x v="0"/>
    <m/>
    <n v="20000"/>
    <m/>
  </r>
  <r>
    <x v="25"/>
    <x v="4"/>
    <s v="네이버 브랜드검색"/>
    <x v="0"/>
    <m/>
    <m/>
    <x v="0"/>
    <x v="0"/>
    <m/>
    <n v="20000"/>
    <m/>
  </r>
  <r>
    <x v="26"/>
    <x v="0"/>
    <s v="네이버 브랜드검색"/>
    <x v="0"/>
    <m/>
    <m/>
    <x v="0"/>
    <x v="0"/>
    <m/>
    <n v="20000"/>
    <m/>
  </r>
  <r>
    <x v="27"/>
    <x v="1"/>
    <s v="네이버 브랜드검색"/>
    <x v="0"/>
    <m/>
    <m/>
    <x v="0"/>
    <x v="0"/>
    <m/>
    <n v="20000"/>
    <m/>
  </r>
  <r>
    <x v="28"/>
    <x v="5"/>
    <s v="네이버 브랜드검색"/>
    <x v="0"/>
    <m/>
    <m/>
    <x v="0"/>
    <x v="0"/>
    <m/>
    <n v="20000"/>
    <m/>
  </r>
  <r>
    <x v="29"/>
    <x v="6"/>
    <s v="네이버 브랜드검색"/>
    <x v="0"/>
    <m/>
    <m/>
    <x v="0"/>
    <x v="0"/>
    <m/>
    <n v="20000"/>
    <m/>
  </r>
  <r>
    <x v="30"/>
    <x v="2"/>
    <s v="네이버 브랜드검색"/>
    <x v="0"/>
    <m/>
    <m/>
    <x v="0"/>
    <x v="0"/>
    <m/>
    <n v="20000"/>
    <m/>
  </r>
  <r>
    <x v="31"/>
    <x v="3"/>
    <s v="네이버 브랜드검색"/>
    <x v="0"/>
    <m/>
    <m/>
    <x v="0"/>
    <x v="0"/>
    <m/>
    <n v="20000"/>
    <m/>
  </r>
  <r>
    <x v="32"/>
    <x v="4"/>
    <s v="네이버 브랜드검색"/>
    <x v="0"/>
    <m/>
    <m/>
    <x v="0"/>
    <x v="0"/>
    <m/>
    <n v="20000"/>
    <m/>
  </r>
  <r>
    <x v="33"/>
    <x v="0"/>
    <s v="네이버 브랜드검색"/>
    <x v="0"/>
    <m/>
    <m/>
    <x v="0"/>
    <x v="0"/>
    <m/>
    <n v="20000"/>
    <m/>
  </r>
  <r>
    <x v="34"/>
    <x v="1"/>
    <s v="네이버 브랜드검색"/>
    <x v="0"/>
    <m/>
    <m/>
    <x v="0"/>
    <x v="0"/>
    <m/>
    <n v="20000"/>
    <m/>
  </r>
  <r>
    <x v="35"/>
    <x v="5"/>
    <s v="네이버 브랜드검색"/>
    <x v="0"/>
    <m/>
    <m/>
    <x v="0"/>
    <x v="0"/>
    <m/>
    <n v="20000"/>
    <m/>
  </r>
  <r>
    <x v="36"/>
    <x v="6"/>
    <s v="네이버 브랜드검색"/>
    <x v="0"/>
    <m/>
    <m/>
    <x v="0"/>
    <x v="0"/>
    <m/>
    <n v="20000"/>
    <m/>
  </r>
  <r>
    <x v="37"/>
    <x v="2"/>
    <s v="네이버 브랜드검색"/>
    <x v="0"/>
    <m/>
    <m/>
    <x v="0"/>
    <x v="0"/>
    <m/>
    <n v="20000"/>
    <m/>
  </r>
  <r>
    <x v="38"/>
    <x v="3"/>
    <s v="네이버 브랜드검색"/>
    <x v="0"/>
    <m/>
    <m/>
    <x v="0"/>
    <x v="0"/>
    <m/>
    <n v="20000"/>
    <m/>
  </r>
  <r>
    <x v="39"/>
    <x v="4"/>
    <s v="네이버 브랜드검색"/>
    <x v="0"/>
    <m/>
    <m/>
    <x v="0"/>
    <x v="0"/>
    <m/>
    <n v="20000"/>
    <m/>
  </r>
  <r>
    <x v="40"/>
    <x v="0"/>
    <s v="네이버 브랜드검색"/>
    <x v="0"/>
    <m/>
    <m/>
    <x v="0"/>
    <x v="0"/>
    <m/>
    <n v="20000"/>
    <m/>
  </r>
  <r>
    <x v="41"/>
    <x v="1"/>
    <s v="네이버 브랜드검색"/>
    <x v="0"/>
    <m/>
    <m/>
    <x v="0"/>
    <x v="0"/>
    <m/>
    <n v="20000"/>
    <m/>
  </r>
  <r>
    <x v="42"/>
    <x v="5"/>
    <s v="네이버 브랜드검색"/>
    <x v="0"/>
    <m/>
    <m/>
    <x v="0"/>
    <x v="0"/>
    <m/>
    <n v="20000"/>
    <m/>
  </r>
  <r>
    <x v="43"/>
    <x v="6"/>
    <s v="네이버 브랜드검색"/>
    <x v="0"/>
    <m/>
    <m/>
    <x v="0"/>
    <x v="0"/>
    <m/>
    <n v="20000"/>
    <m/>
  </r>
  <r>
    <x v="44"/>
    <x v="2"/>
    <s v="네이버 브랜드검색"/>
    <x v="0"/>
    <m/>
    <m/>
    <x v="0"/>
    <x v="0"/>
    <m/>
    <n v="20000"/>
    <m/>
  </r>
  <r>
    <x v="45"/>
    <x v="3"/>
    <s v="네이버 브랜드검색"/>
    <x v="0"/>
    <m/>
    <m/>
    <x v="0"/>
    <x v="0"/>
    <m/>
    <n v="20000"/>
    <m/>
  </r>
  <r>
    <x v="46"/>
    <x v="4"/>
    <s v="네이버 브랜드검색"/>
    <x v="0"/>
    <m/>
    <m/>
    <x v="0"/>
    <x v="0"/>
    <m/>
    <n v="20000"/>
    <m/>
  </r>
  <r>
    <x v="47"/>
    <x v="0"/>
    <s v="네이버 브랜드검색"/>
    <x v="0"/>
    <m/>
    <m/>
    <x v="0"/>
    <x v="0"/>
    <m/>
    <n v="20000"/>
    <m/>
  </r>
  <r>
    <x v="48"/>
    <x v="1"/>
    <s v="네이버 브랜드검색"/>
    <x v="0"/>
    <m/>
    <m/>
    <x v="0"/>
    <x v="0"/>
    <m/>
    <n v="20000"/>
    <m/>
  </r>
  <r>
    <x v="49"/>
    <x v="5"/>
    <s v="네이버 브랜드검색"/>
    <x v="0"/>
    <m/>
    <m/>
    <x v="0"/>
    <x v="0"/>
    <m/>
    <n v="20000"/>
    <m/>
  </r>
  <r>
    <x v="50"/>
    <x v="6"/>
    <s v="네이버 브랜드검색"/>
    <x v="0"/>
    <m/>
    <m/>
    <x v="0"/>
    <x v="0"/>
    <m/>
    <n v="20000"/>
    <m/>
  </r>
  <r>
    <x v="51"/>
    <x v="2"/>
    <s v="네이버 브랜드검색"/>
    <x v="0"/>
    <m/>
    <m/>
    <x v="0"/>
    <x v="0"/>
    <m/>
    <n v="20000"/>
    <m/>
  </r>
  <r>
    <x v="52"/>
    <x v="3"/>
    <s v="네이버 브랜드검색"/>
    <x v="0"/>
    <m/>
    <m/>
    <x v="0"/>
    <x v="0"/>
    <m/>
    <n v="20000"/>
    <m/>
  </r>
  <r>
    <x v="53"/>
    <x v="4"/>
    <s v="네이버 브랜드검색"/>
    <x v="0"/>
    <m/>
    <m/>
    <x v="0"/>
    <x v="0"/>
    <m/>
    <n v="20000"/>
    <m/>
  </r>
  <r>
    <x v="54"/>
    <x v="0"/>
    <s v="네이버 브랜드검색"/>
    <x v="0"/>
    <m/>
    <m/>
    <x v="0"/>
    <x v="0"/>
    <m/>
    <n v="20000"/>
    <m/>
  </r>
  <r>
    <x v="55"/>
    <x v="1"/>
    <s v="네이버 브랜드검색"/>
    <x v="0"/>
    <m/>
    <m/>
    <x v="0"/>
    <x v="0"/>
    <m/>
    <n v="20000"/>
    <m/>
  </r>
  <r>
    <x v="56"/>
    <x v="5"/>
    <s v="네이버 브랜드검색"/>
    <x v="0"/>
    <m/>
    <m/>
    <x v="0"/>
    <x v="0"/>
    <m/>
    <n v="20000"/>
    <m/>
  </r>
  <r>
    <x v="57"/>
    <x v="6"/>
    <s v="네이버 브랜드검색"/>
    <x v="0"/>
    <m/>
    <m/>
    <x v="0"/>
    <x v="0"/>
    <m/>
    <n v="20000"/>
    <m/>
  </r>
  <r>
    <x v="15"/>
    <x v="6"/>
    <s v="유튜브"/>
    <x v="0"/>
    <m/>
    <m/>
    <x v="0"/>
    <x v="0"/>
    <m/>
    <n v="138745"/>
    <m/>
  </r>
  <r>
    <x v="16"/>
    <x v="2"/>
    <s v="유튜브"/>
    <x v="0"/>
    <m/>
    <m/>
    <x v="0"/>
    <x v="0"/>
    <m/>
    <n v="91291"/>
    <m/>
  </r>
  <r>
    <x v="17"/>
    <x v="3"/>
    <s v="유튜브"/>
    <x v="0"/>
    <m/>
    <m/>
    <x v="0"/>
    <x v="0"/>
    <m/>
    <n v="47913"/>
    <m/>
  </r>
  <r>
    <x v="8"/>
    <x v="6"/>
    <s v="기획사이다"/>
    <x v="0"/>
    <m/>
    <m/>
    <x v="0"/>
    <x v="0"/>
    <m/>
    <n v="4700000"/>
    <m/>
  </r>
  <r>
    <x v="58"/>
    <x v="2"/>
    <s v="페이스북/인스타그램"/>
    <x v="0"/>
    <m/>
    <m/>
    <x v="1"/>
    <x v="0"/>
    <m/>
    <n v="1763178"/>
    <m/>
  </r>
  <r>
    <x v="59"/>
    <x v="3"/>
    <s v="페이스북/인스타그램"/>
    <x v="0"/>
    <m/>
    <m/>
    <x v="1"/>
    <x v="0"/>
    <m/>
    <n v="2026645"/>
    <m/>
  </r>
  <r>
    <x v="60"/>
    <x v="4"/>
    <s v="페이스북/인스타그램"/>
    <x v="0"/>
    <m/>
    <m/>
    <x v="1"/>
    <x v="0"/>
    <m/>
    <n v="2601081"/>
    <m/>
  </r>
  <r>
    <x v="61"/>
    <x v="0"/>
    <s v="페이스북/인스타그램"/>
    <x v="0"/>
    <m/>
    <m/>
    <x v="1"/>
    <x v="0"/>
    <m/>
    <n v="2917007"/>
    <m/>
  </r>
  <r>
    <x v="62"/>
    <x v="1"/>
    <s v="페이스북/인스타그램"/>
    <x v="0"/>
    <m/>
    <m/>
    <x v="1"/>
    <x v="0"/>
    <m/>
    <n v="2381826"/>
    <m/>
  </r>
  <r>
    <x v="63"/>
    <x v="5"/>
    <s v="페이스북/인스타그램"/>
    <x v="0"/>
    <m/>
    <m/>
    <x v="1"/>
    <x v="0"/>
    <m/>
    <n v="3509277"/>
    <m/>
  </r>
  <r>
    <x v="64"/>
    <x v="6"/>
    <s v="페이스북/인스타그램"/>
    <x v="0"/>
    <m/>
    <m/>
    <x v="1"/>
    <x v="0"/>
    <m/>
    <n v="2544193"/>
    <m/>
  </r>
  <r>
    <x v="65"/>
    <x v="2"/>
    <s v="페이스북/인스타그램"/>
    <x v="0"/>
    <m/>
    <m/>
    <x v="1"/>
    <x v="0"/>
    <m/>
    <n v="2684927"/>
    <m/>
  </r>
  <r>
    <x v="66"/>
    <x v="3"/>
    <s v="페이스북/인스타그램"/>
    <x v="0"/>
    <m/>
    <m/>
    <x v="1"/>
    <x v="0"/>
    <m/>
    <n v="1888783"/>
    <m/>
  </r>
  <r>
    <x v="67"/>
    <x v="4"/>
    <s v="페이스북/인스타그램"/>
    <x v="0"/>
    <m/>
    <m/>
    <x v="1"/>
    <x v="0"/>
    <m/>
    <n v="1325534"/>
    <m/>
  </r>
  <r>
    <x v="68"/>
    <x v="0"/>
    <s v="페이스북/인스타그램"/>
    <x v="0"/>
    <m/>
    <m/>
    <x v="1"/>
    <x v="0"/>
    <m/>
    <n v="1635202"/>
    <m/>
  </r>
  <r>
    <x v="69"/>
    <x v="1"/>
    <s v="페이스북/인스타그램"/>
    <x v="0"/>
    <m/>
    <m/>
    <x v="1"/>
    <x v="0"/>
    <m/>
    <n v="1353293"/>
    <m/>
  </r>
  <r>
    <x v="70"/>
    <x v="5"/>
    <s v="페이스북/인스타그램"/>
    <x v="0"/>
    <m/>
    <m/>
    <x v="1"/>
    <x v="0"/>
    <m/>
    <n v="1321069"/>
    <m/>
  </r>
  <r>
    <x v="71"/>
    <x v="6"/>
    <s v="페이스북/인스타그램"/>
    <x v="0"/>
    <m/>
    <m/>
    <x v="1"/>
    <x v="0"/>
    <m/>
    <n v="2196005"/>
    <m/>
  </r>
  <r>
    <x v="72"/>
    <x v="2"/>
    <s v="페이스북/인스타그램"/>
    <x v="0"/>
    <m/>
    <m/>
    <x v="1"/>
    <x v="0"/>
    <m/>
    <n v="1870810"/>
    <m/>
  </r>
  <r>
    <x v="73"/>
    <x v="3"/>
    <s v="페이스북/인스타그램"/>
    <x v="0"/>
    <m/>
    <m/>
    <x v="1"/>
    <x v="0"/>
    <m/>
    <n v="1585158"/>
    <m/>
  </r>
  <r>
    <x v="74"/>
    <x v="4"/>
    <s v="페이스북/인스타그램"/>
    <x v="0"/>
    <m/>
    <m/>
    <x v="1"/>
    <x v="0"/>
    <m/>
    <n v="1290778"/>
    <m/>
  </r>
  <r>
    <x v="75"/>
    <x v="0"/>
    <s v="페이스북/인스타그램"/>
    <x v="0"/>
    <m/>
    <m/>
    <x v="1"/>
    <x v="0"/>
    <m/>
    <n v="1460230"/>
    <m/>
  </r>
  <r>
    <x v="76"/>
    <x v="1"/>
    <s v="페이스북/인스타그램"/>
    <x v="0"/>
    <m/>
    <m/>
    <x v="1"/>
    <x v="0"/>
    <m/>
    <n v="1507885"/>
    <m/>
  </r>
  <r>
    <x v="77"/>
    <x v="5"/>
    <s v="페이스북/인스타그램"/>
    <x v="0"/>
    <m/>
    <m/>
    <x v="1"/>
    <x v="0"/>
    <m/>
    <n v="1617573"/>
    <m/>
  </r>
  <r>
    <x v="78"/>
    <x v="6"/>
    <s v="페이스북/인스타그램"/>
    <x v="0"/>
    <m/>
    <m/>
    <x v="1"/>
    <x v="0"/>
    <m/>
    <n v="1741039"/>
    <m/>
  </r>
  <r>
    <x v="79"/>
    <x v="2"/>
    <s v="페이스북/인스타그램"/>
    <x v="0"/>
    <m/>
    <m/>
    <x v="1"/>
    <x v="0"/>
    <m/>
    <n v="1747479"/>
    <m/>
  </r>
  <r>
    <x v="80"/>
    <x v="3"/>
    <s v="페이스북/인스타그램"/>
    <x v="0"/>
    <m/>
    <m/>
    <x v="1"/>
    <x v="0"/>
    <m/>
    <n v="1951239"/>
    <m/>
  </r>
  <r>
    <x v="81"/>
    <x v="4"/>
    <s v="페이스북/인스타그램"/>
    <x v="0"/>
    <m/>
    <m/>
    <x v="1"/>
    <x v="0"/>
    <m/>
    <n v="1634493"/>
    <m/>
  </r>
  <r>
    <x v="82"/>
    <x v="0"/>
    <s v="페이스북/인스타그램"/>
    <x v="0"/>
    <m/>
    <m/>
    <x v="1"/>
    <x v="0"/>
    <m/>
    <n v="1323227"/>
    <m/>
  </r>
  <r>
    <x v="83"/>
    <x v="1"/>
    <s v="페이스북/인스타그램"/>
    <x v="0"/>
    <m/>
    <m/>
    <x v="1"/>
    <x v="0"/>
    <m/>
    <n v="995395"/>
    <m/>
  </r>
  <r>
    <x v="84"/>
    <x v="5"/>
    <s v="페이스북/인스타그램"/>
    <x v="0"/>
    <m/>
    <m/>
    <x v="1"/>
    <x v="0"/>
    <m/>
    <n v="1013688"/>
    <m/>
  </r>
  <r>
    <x v="85"/>
    <x v="6"/>
    <s v="페이스북/인스타그램"/>
    <x v="0"/>
    <m/>
    <m/>
    <x v="1"/>
    <x v="0"/>
    <m/>
    <n v="1369854"/>
    <m/>
  </r>
  <r>
    <x v="86"/>
    <x v="2"/>
    <s v="페이스북/인스타그램"/>
    <x v="0"/>
    <m/>
    <m/>
    <x v="1"/>
    <x v="0"/>
    <m/>
    <n v="1442119"/>
    <m/>
  </r>
  <r>
    <x v="87"/>
    <x v="3"/>
    <s v="페이스북/인스타그램"/>
    <x v="0"/>
    <m/>
    <m/>
    <x v="1"/>
    <x v="0"/>
    <m/>
    <n v="1786142"/>
    <m/>
  </r>
  <r>
    <x v="88"/>
    <x v="4"/>
    <s v="페이스북/인스타그램"/>
    <x v="0"/>
    <m/>
    <m/>
    <x v="1"/>
    <x v="0"/>
    <m/>
    <n v="1889671"/>
    <m/>
  </r>
  <r>
    <x v="89"/>
    <x v="0"/>
    <s v="페이스북/인스타그램"/>
    <x v="0"/>
    <m/>
    <m/>
    <x v="1"/>
    <x v="0"/>
    <m/>
    <n v="1793441"/>
    <m/>
  </r>
  <r>
    <x v="90"/>
    <x v="1"/>
    <s v="페이스북/인스타그램"/>
    <x v="0"/>
    <m/>
    <m/>
    <x v="1"/>
    <x v="0"/>
    <m/>
    <n v="1439223"/>
    <m/>
  </r>
  <r>
    <x v="91"/>
    <x v="5"/>
    <s v="페이스북/인스타그램"/>
    <x v="0"/>
    <m/>
    <m/>
    <x v="1"/>
    <x v="0"/>
    <m/>
    <n v="1858292"/>
    <m/>
  </r>
  <r>
    <x v="92"/>
    <x v="6"/>
    <s v="페이스북/인스타그램"/>
    <x v="0"/>
    <m/>
    <m/>
    <x v="1"/>
    <x v="0"/>
    <m/>
    <n v="1904380"/>
    <m/>
  </r>
  <r>
    <x v="93"/>
    <x v="2"/>
    <s v="페이스북/인스타그램"/>
    <x v="0"/>
    <m/>
    <m/>
    <x v="1"/>
    <x v="0"/>
    <m/>
    <n v="1900368"/>
    <m/>
  </r>
  <r>
    <x v="94"/>
    <x v="3"/>
    <s v="페이스북/인스타그램"/>
    <x v="0"/>
    <m/>
    <m/>
    <x v="1"/>
    <x v="0"/>
    <m/>
    <n v="2016760"/>
    <m/>
  </r>
  <r>
    <x v="95"/>
    <x v="4"/>
    <s v="페이스북/인스타그램"/>
    <x v="0"/>
    <m/>
    <m/>
    <x v="1"/>
    <x v="0"/>
    <m/>
    <n v="1760782"/>
    <m/>
  </r>
  <r>
    <x v="96"/>
    <x v="0"/>
    <s v="페이스북/인스타그램"/>
    <x v="0"/>
    <m/>
    <m/>
    <x v="1"/>
    <x v="0"/>
    <m/>
    <n v="1694277"/>
    <m/>
  </r>
  <r>
    <x v="97"/>
    <x v="1"/>
    <s v="페이스북/인스타그램"/>
    <x v="0"/>
    <m/>
    <m/>
    <x v="1"/>
    <x v="0"/>
    <m/>
    <n v="1589744"/>
    <m/>
  </r>
  <r>
    <x v="98"/>
    <x v="5"/>
    <s v="페이스북/인스타그램"/>
    <x v="0"/>
    <m/>
    <m/>
    <x v="1"/>
    <x v="0"/>
    <m/>
    <n v="1804164"/>
    <m/>
  </r>
  <r>
    <x v="99"/>
    <x v="6"/>
    <s v="페이스북/인스타그램"/>
    <x v="0"/>
    <m/>
    <m/>
    <x v="1"/>
    <x v="0"/>
    <m/>
    <n v="2220566"/>
    <m/>
  </r>
  <r>
    <x v="100"/>
    <x v="2"/>
    <s v="페이스북/인스타그램"/>
    <x v="0"/>
    <m/>
    <m/>
    <x v="1"/>
    <x v="0"/>
    <m/>
    <n v="2172200"/>
    <m/>
  </r>
  <r>
    <x v="101"/>
    <x v="3"/>
    <s v="페이스북/인스타그램"/>
    <x v="0"/>
    <m/>
    <m/>
    <x v="1"/>
    <x v="0"/>
    <m/>
    <n v="2027733"/>
    <m/>
  </r>
  <r>
    <x v="102"/>
    <x v="4"/>
    <s v="페이스북/인스타그램"/>
    <x v="0"/>
    <m/>
    <m/>
    <x v="1"/>
    <x v="0"/>
    <m/>
    <n v="1887474"/>
    <m/>
  </r>
  <r>
    <x v="103"/>
    <x v="0"/>
    <s v="페이스북/인스타그램"/>
    <x v="0"/>
    <m/>
    <m/>
    <x v="1"/>
    <x v="0"/>
    <m/>
    <n v="1935877"/>
    <m/>
  </r>
  <r>
    <x v="104"/>
    <x v="1"/>
    <s v="페이스북/인스타그램"/>
    <x v="0"/>
    <m/>
    <m/>
    <x v="1"/>
    <x v="0"/>
    <m/>
    <n v="1762702"/>
    <m/>
  </r>
  <r>
    <x v="105"/>
    <x v="5"/>
    <s v="페이스북/인스타그램"/>
    <x v="0"/>
    <m/>
    <m/>
    <x v="1"/>
    <x v="0"/>
    <m/>
    <n v="1790570"/>
    <m/>
  </r>
  <r>
    <x v="106"/>
    <x v="6"/>
    <s v="페이스북/인스타그램"/>
    <x v="0"/>
    <m/>
    <m/>
    <x v="1"/>
    <x v="0"/>
    <m/>
    <n v="1783661"/>
    <m/>
  </r>
  <r>
    <x v="107"/>
    <x v="2"/>
    <s v="페이스북/인스타그램"/>
    <x v="0"/>
    <m/>
    <m/>
    <x v="1"/>
    <x v="0"/>
    <m/>
    <n v="1665216"/>
    <m/>
  </r>
  <r>
    <x v="108"/>
    <x v="3"/>
    <s v="페이스북/인스타그램"/>
    <x v="0"/>
    <m/>
    <m/>
    <x v="1"/>
    <x v="0"/>
    <m/>
    <n v="1702811"/>
    <m/>
  </r>
  <r>
    <x v="109"/>
    <x v="4"/>
    <s v="페이스북/인스타그램"/>
    <x v="0"/>
    <m/>
    <m/>
    <x v="1"/>
    <x v="0"/>
    <m/>
    <n v="1922127"/>
    <m/>
  </r>
  <r>
    <x v="110"/>
    <x v="0"/>
    <s v="페이스북/인스타그램"/>
    <x v="0"/>
    <m/>
    <m/>
    <x v="1"/>
    <x v="0"/>
    <m/>
    <n v="1798895"/>
    <m/>
  </r>
  <r>
    <x v="111"/>
    <x v="1"/>
    <s v="페이스북/인스타그램"/>
    <x v="0"/>
    <m/>
    <m/>
    <x v="1"/>
    <x v="0"/>
    <m/>
    <n v="1643292"/>
    <m/>
  </r>
  <r>
    <x v="112"/>
    <x v="5"/>
    <s v="페이스북/인스타그램"/>
    <x v="0"/>
    <m/>
    <m/>
    <x v="1"/>
    <x v="0"/>
    <m/>
    <n v="1703664"/>
    <m/>
  </r>
  <r>
    <x v="113"/>
    <x v="6"/>
    <s v="페이스북/인스타그램"/>
    <x v="0"/>
    <m/>
    <m/>
    <x v="1"/>
    <x v="0"/>
    <m/>
    <n v="1950145"/>
    <m/>
  </r>
  <r>
    <x v="114"/>
    <x v="2"/>
    <s v="페이스북/인스타그램"/>
    <x v="0"/>
    <m/>
    <m/>
    <x v="1"/>
    <x v="0"/>
    <m/>
    <n v="1865959"/>
    <m/>
  </r>
  <r>
    <x v="115"/>
    <x v="3"/>
    <s v="페이스북/인스타그램"/>
    <x v="0"/>
    <m/>
    <m/>
    <x v="1"/>
    <x v="0"/>
    <m/>
    <n v="1845485"/>
    <m/>
  </r>
  <r>
    <x v="116"/>
    <x v="4"/>
    <s v="페이스북/인스타그램"/>
    <x v="0"/>
    <m/>
    <m/>
    <x v="1"/>
    <x v="0"/>
    <m/>
    <n v="1785124"/>
    <m/>
  </r>
  <r>
    <x v="117"/>
    <x v="0"/>
    <s v="페이스북/인스타그램"/>
    <x v="0"/>
    <m/>
    <m/>
    <x v="1"/>
    <x v="0"/>
    <m/>
    <n v="2054944"/>
    <m/>
  </r>
  <r>
    <x v="118"/>
    <x v="1"/>
    <s v="페이스북/인스타그램"/>
    <x v="0"/>
    <m/>
    <m/>
    <x v="1"/>
    <x v="0"/>
    <m/>
    <n v="1848540"/>
    <m/>
  </r>
  <r>
    <x v="119"/>
    <x v="5"/>
    <s v="페이스북/인스타그램"/>
    <x v="0"/>
    <m/>
    <m/>
    <x v="1"/>
    <x v="0"/>
    <m/>
    <n v="2092786"/>
    <m/>
  </r>
  <r>
    <x v="120"/>
    <x v="6"/>
    <s v="페이스북/인스타그램"/>
    <x v="0"/>
    <m/>
    <m/>
    <x v="1"/>
    <x v="0"/>
    <m/>
    <n v="2428882"/>
    <m/>
  </r>
  <r>
    <x v="121"/>
    <x v="2"/>
    <s v="페이스북/인스타그램"/>
    <x v="0"/>
    <m/>
    <m/>
    <x v="1"/>
    <x v="0"/>
    <m/>
    <n v="2347547"/>
    <m/>
  </r>
  <r>
    <x v="122"/>
    <x v="3"/>
    <s v="페이스북/인스타그램"/>
    <x v="0"/>
    <m/>
    <m/>
    <x v="1"/>
    <x v="0"/>
    <m/>
    <n v="2632496"/>
    <m/>
  </r>
  <r>
    <x v="123"/>
    <x v="4"/>
    <s v="페이스북/인스타그램"/>
    <x v="0"/>
    <m/>
    <m/>
    <x v="1"/>
    <x v="0"/>
    <m/>
    <n v="2558867"/>
    <m/>
  </r>
  <r>
    <x v="124"/>
    <x v="0"/>
    <s v="페이스북/인스타그램"/>
    <x v="0"/>
    <m/>
    <m/>
    <x v="1"/>
    <x v="0"/>
    <m/>
    <n v="2592883"/>
    <m/>
  </r>
  <r>
    <x v="125"/>
    <x v="1"/>
    <s v="페이스북/인스타그램"/>
    <x v="0"/>
    <m/>
    <m/>
    <x v="1"/>
    <x v="0"/>
    <m/>
    <n v="2876765"/>
    <m/>
  </r>
  <r>
    <x v="126"/>
    <x v="5"/>
    <s v="페이스북/인스타그램"/>
    <x v="0"/>
    <m/>
    <m/>
    <x v="1"/>
    <x v="0"/>
    <m/>
    <n v="3087637"/>
    <m/>
  </r>
  <r>
    <x v="127"/>
    <x v="6"/>
    <s v="페이스북/인스타그램"/>
    <x v="0"/>
    <m/>
    <m/>
    <x v="1"/>
    <x v="0"/>
    <m/>
    <n v="3068541"/>
    <m/>
  </r>
  <r>
    <x v="128"/>
    <x v="2"/>
    <s v="페이스북/인스타그램"/>
    <x v="0"/>
    <m/>
    <m/>
    <x v="1"/>
    <x v="0"/>
    <m/>
    <n v="3570232"/>
    <m/>
  </r>
  <r>
    <x v="129"/>
    <x v="3"/>
    <s v="페이스북/인스타그램"/>
    <x v="0"/>
    <m/>
    <m/>
    <x v="1"/>
    <x v="0"/>
    <m/>
    <n v="3935350"/>
    <m/>
  </r>
  <r>
    <x v="130"/>
    <x v="4"/>
    <s v="페이스북/인스타그램"/>
    <x v="0"/>
    <m/>
    <m/>
    <x v="1"/>
    <x v="0"/>
    <m/>
    <n v="4194609"/>
    <m/>
  </r>
  <r>
    <x v="131"/>
    <x v="0"/>
    <s v="페이스북/인스타그램"/>
    <x v="0"/>
    <m/>
    <m/>
    <x v="1"/>
    <x v="0"/>
    <m/>
    <n v="4042480"/>
    <m/>
  </r>
  <r>
    <x v="132"/>
    <x v="1"/>
    <s v="페이스북/인스타그램"/>
    <x v="0"/>
    <m/>
    <m/>
    <x v="1"/>
    <x v="0"/>
    <m/>
    <n v="4286573"/>
    <m/>
  </r>
  <r>
    <x v="133"/>
    <x v="5"/>
    <s v="페이스북/인스타그램"/>
    <x v="0"/>
    <m/>
    <m/>
    <x v="1"/>
    <x v="0"/>
    <m/>
    <n v="4321892"/>
    <m/>
  </r>
  <r>
    <x v="134"/>
    <x v="6"/>
    <s v="페이스북/인스타그램"/>
    <x v="0"/>
    <m/>
    <m/>
    <x v="1"/>
    <x v="0"/>
    <m/>
    <n v="3497320"/>
    <m/>
  </r>
  <r>
    <x v="135"/>
    <x v="2"/>
    <s v="페이스북/인스타그램"/>
    <x v="0"/>
    <m/>
    <m/>
    <x v="1"/>
    <x v="0"/>
    <m/>
    <n v="3952055"/>
    <m/>
  </r>
  <r>
    <x v="136"/>
    <x v="3"/>
    <s v="페이스북/인스타그램"/>
    <x v="0"/>
    <m/>
    <m/>
    <x v="1"/>
    <x v="0"/>
    <m/>
    <n v="4178698"/>
    <m/>
  </r>
  <r>
    <x v="137"/>
    <x v="4"/>
    <s v="페이스북/인스타그램"/>
    <x v="0"/>
    <m/>
    <m/>
    <x v="1"/>
    <x v="0"/>
    <m/>
    <n v="3909871"/>
    <m/>
  </r>
  <r>
    <x v="138"/>
    <x v="0"/>
    <s v="페이스북/인스타그램"/>
    <x v="0"/>
    <m/>
    <m/>
    <x v="1"/>
    <x v="0"/>
    <m/>
    <n v="4965656"/>
    <m/>
  </r>
  <r>
    <x v="139"/>
    <x v="1"/>
    <s v="페이스북/인스타그램"/>
    <x v="0"/>
    <m/>
    <m/>
    <x v="1"/>
    <x v="0"/>
    <m/>
    <n v="5104416"/>
    <m/>
  </r>
  <r>
    <x v="140"/>
    <x v="5"/>
    <s v="페이스북/인스타그램"/>
    <x v="0"/>
    <m/>
    <m/>
    <x v="1"/>
    <x v="0"/>
    <m/>
    <n v="5124673"/>
    <m/>
  </r>
  <r>
    <x v="141"/>
    <x v="6"/>
    <s v="페이스북/인스타그램"/>
    <x v="0"/>
    <m/>
    <m/>
    <x v="1"/>
    <x v="0"/>
    <m/>
    <n v="5429661"/>
    <m/>
  </r>
  <r>
    <x v="142"/>
    <x v="2"/>
    <s v="페이스북/인스타그램"/>
    <x v="0"/>
    <m/>
    <m/>
    <x v="1"/>
    <x v="0"/>
    <m/>
    <n v="5749470"/>
    <m/>
  </r>
  <r>
    <x v="143"/>
    <x v="3"/>
    <s v="페이스북/인스타그램"/>
    <x v="0"/>
    <m/>
    <m/>
    <x v="1"/>
    <x v="0"/>
    <m/>
    <n v="5918409"/>
    <m/>
  </r>
  <r>
    <x v="144"/>
    <x v="4"/>
    <s v="페이스북/인스타그램"/>
    <x v="0"/>
    <m/>
    <m/>
    <x v="1"/>
    <x v="0"/>
    <m/>
    <n v="5660700"/>
    <m/>
  </r>
  <r>
    <x v="145"/>
    <x v="0"/>
    <s v="페이스북/인스타그램"/>
    <x v="0"/>
    <m/>
    <m/>
    <x v="1"/>
    <x v="0"/>
    <m/>
    <n v="5423171"/>
    <m/>
  </r>
  <r>
    <x v="146"/>
    <x v="1"/>
    <s v="페이스북/인스타그램"/>
    <x v="0"/>
    <m/>
    <m/>
    <x v="1"/>
    <x v="0"/>
    <m/>
    <n v="5538240"/>
    <m/>
  </r>
  <r>
    <x v="147"/>
    <x v="5"/>
    <s v="페이스북/인스타그램"/>
    <x v="0"/>
    <m/>
    <m/>
    <x v="1"/>
    <x v="0"/>
    <m/>
    <n v="5823280"/>
    <m/>
  </r>
  <r>
    <x v="148"/>
    <x v="6"/>
    <s v="페이스북/인스타그램"/>
    <x v="0"/>
    <m/>
    <m/>
    <x v="1"/>
    <x v="0"/>
    <m/>
    <n v="5956853"/>
    <m/>
  </r>
  <r>
    <x v="149"/>
    <x v="2"/>
    <s v="페이스북/인스타그램"/>
    <x v="0"/>
    <m/>
    <m/>
    <x v="1"/>
    <x v="0"/>
    <m/>
    <n v="6301841"/>
    <m/>
  </r>
  <r>
    <x v="150"/>
    <x v="3"/>
    <s v="페이스북/인스타그램"/>
    <x v="0"/>
    <m/>
    <m/>
    <x v="1"/>
    <x v="0"/>
    <m/>
    <n v="6577186"/>
    <m/>
  </r>
  <r>
    <x v="151"/>
    <x v="4"/>
    <s v="페이스북/인스타그램"/>
    <x v="0"/>
    <m/>
    <m/>
    <x v="1"/>
    <x v="0"/>
    <m/>
    <n v="6318505"/>
    <m/>
  </r>
  <r>
    <x v="152"/>
    <x v="0"/>
    <s v="페이스북/인스타그램"/>
    <x v="0"/>
    <m/>
    <m/>
    <x v="1"/>
    <x v="0"/>
    <m/>
    <n v="5901422"/>
    <m/>
  </r>
  <r>
    <x v="153"/>
    <x v="1"/>
    <s v="페이스북/인스타그램"/>
    <x v="0"/>
    <m/>
    <m/>
    <x v="1"/>
    <x v="0"/>
    <m/>
    <n v="5827226"/>
    <m/>
  </r>
  <r>
    <x v="154"/>
    <x v="5"/>
    <s v="페이스북/인스타그램"/>
    <x v="0"/>
    <m/>
    <m/>
    <x v="1"/>
    <x v="0"/>
    <m/>
    <n v="5722965"/>
    <m/>
  </r>
  <r>
    <x v="155"/>
    <x v="6"/>
    <s v="페이스북/인스타그램"/>
    <x v="0"/>
    <m/>
    <m/>
    <x v="1"/>
    <x v="0"/>
    <m/>
    <n v="5965586"/>
    <m/>
  </r>
  <r>
    <x v="156"/>
    <x v="2"/>
    <s v="페이스북/인스타그램"/>
    <x v="0"/>
    <m/>
    <m/>
    <x v="1"/>
    <x v="0"/>
    <m/>
    <n v="6733643"/>
    <m/>
  </r>
  <r>
    <x v="157"/>
    <x v="3"/>
    <s v="페이스북/인스타그램"/>
    <x v="0"/>
    <m/>
    <m/>
    <x v="1"/>
    <x v="0"/>
    <m/>
    <n v="6362911"/>
    <m/>
  </r>
  <r>
    <x v="158"/>
    <x v="4"/>
    <s v="페이스북/인스타그램"/>
    <x v="0"/>
    <m/>
    <m/>
    <x v="1"/>
    <x v="0"/>
    <m/>
    <n v="5411754"/>
    <m/>
  </r>
  <r>
    <x v="159"/>
    <x v="0"/>
    <s v="페이스북/인스타그램"/>
    <x v="0"/>
    <m/>
    <m/>
    <x v="1"/>
    <x v="0"/>
    <m/>
    <n v="5158645"/>
    <m/>
  </r>
  <r>
    <x v="160"/>
    <x v="1"/>
    <s v="페이스북/인스타그램"/>
    <x v="0"/>
    <m/>
    <m/>
    <x v="1"/>
    <x v="0"/>
    <m/>
    <n v="5393829"/>
    <m/>
  </r>
  <r>
    <x v="161"/>
    <x v="5"/>
    <s v="페이스북/인스타그램"/>
    <x v="0"/>
    <m/>
    <m/>
    <x v="1"/>
    <x v="0"/>
    <m/>
    <n v="5259332"/>
    <m/>
  </r>
  <r>
    <x v="162"/>
    <x v="6"/>
    <s v="페이스북/인스타그램"/>
    <x v="0"/>
    <m/>
    <m/>
    <x v="1"/>
    <x v="0"/>
    <m/>
    <n v="5061677"/>
    <m/>
  </r>
  <r>
    <x v="163"/>
    <x v="2"/>
    <s v="페이스북/인스타그램"/>
    <x v="0"/>
    <m/>
    <m/>
    <x v="1"/>
    <x v="0"/>
    <m/>
    <n v="5418913"/>
    <m/>
  </r>
  <r>
    <x v="164"/>
    <x v="3"/>
    <s v="페이스북/인스타그램"/>
    <x v="0"/>
    <m/>
    <m/>
    <x v="1"/>
    <x v="0"/>
    <m/>
    <n v="5769473"/>
    <m/>
  </r>
  <r>
    <x v="165"/>
    <x v="4"/>
    <s v="페이스북/인스타그램"/>
    <x v="0"/>
    <m/>
    <m/>
    <x v="1"/>
    <x v="0"/>
    <m/>
    <n v="5089776"/>
    <m/>
  </r>
  <r>
    <x v="166"/>
    <x v="0"/>
    <s v="페이스북/인스타그램"/>
    <x v="0"/>
    <m/>
    <m/>
    <x v="1"/>
    <x v="0"/>
    <m/>
    <n v="4755724"/>
    <m/>
  </r>
  <r>
    <x v="167"/>
    <x v="1"/>
    <s v="페이스북/인스타그램"/>
    <x v="0"/>
    <m/>
    <m/>
    <x v="1"/>
    <x v="0"/>
    <m/>
    <n v="5029674"/>
    <m/>
  </r>
  <r>
    <x v="168"/>
    <x v="5"/>
    <s v="페이스북/인스타그램"/>
    <x v="0"/>
    <m/>
    <m/>
    <x v="1"/>
    <x v="0"/>
    <m/>
    <n v="5026491"/>
    <m/>
  </r>
  <r>
    <x v="169"/>
    <x v="6"/>
    <s v="페이스북/인스타그램"/>
    <x v="0"/>
    <m/>
    <m/>
    <x v="1"/>
    <x v="0"/>
    <m/>
    <n v="4981840"/>
    <m/>
  </r>
  <r>
    <x v="170"/>
    <x v="2"/>
    <s v="페이스북/인스타그램"/>
    <x v="0"/>
    <m/>
    <m/>
    <x v="1"/>
    <x v="0"/>
    <m/>
    <n v="5098311"/>
    <m/>
  </r>
  <r>
    <x v="171"/>
    <x v="3"/>
    <s v="페이스북/인스타그램"/>
    <x v="0"/>
    <m/>
    <m/>
    <x v="1"/>
    <x v="0"/>
    <m/>
    <n v="5288679"/>
    <m/>
  </r>
  <r>
    <x v="172"/>
    <x v="4"/>
    <s v="페이스북/인스타그램"/>
    <x v="0"/>
    <m/>
    <m/>
    <x v="1"/>
    <x v="0"/>
    <m/>
    <n v="5214059"/>
    <m/>
  </r>
  <r>
    <x v="173"/>
    <x v="0"/>
    <s v="페이스북/인스타그램"/>
    <x v="0"/>
    <m/>
    <m/>
    <x v="1"/>
    <x v="0"/>
    <m/>
    <n v="4780271"/>
    <m/>
  </r>
  <r>
    <x v="174"/>
    <x v="1"/>
    <s v="페이스북/인스타그램"/>
    <x v="0"/>
    <m/>
    <m/>
    <x v="1"/>
    <x v="0"/>
    <m/>
    <n v="5040650"/>
    <m/>
  </r>
  <r>
    <x v="175"/>
    <x v="5"/>
    <s v="페이스북/인스타그램"/>
    <x v="0"/>
    <m/>
    <m/>
    <x v="1"/>
    <x v="0"/>
    <m/>
    <n v="4563528"/>
    <m/>
  </r>
  <r>
    <x v="176"/>
    <x v="6"/>
    <s v="페이스북/인스타그램"/>
    <x v="0"/>
    <m/>
    <m/>
    <x v="1"/>
    <x v="0"/>
    <m/>
    <n v="1909635"/>
    <m/>
  </r>
  <r>
    <x v="177"/>
    <x v="2"/>
    <s v="페이스북/인스타그램"/>
    <x v="0"/>
    <m/>
    <m/>
    <x v="1"/>
    <x v="0"/>
    <m/>
    <n v="1476447"/>
    <m/>
  </r>
  <r>
    <x v="178"/>
    <x v="3"/>
    <s v="페이스북/인스타그램"/>
    <x v="0"/>
    <m/>
    <m/>
    <x v="1"/>
    <x v="0"/>
    <m/>
    <n v="897400"/>
    <m/>
  </r>
  <r>
    <x v="179"/>
    <x v="4"/>
    <s v="페이스북/인스타그램"/>
    <x v="0"/>
    <m/>
    <m/>
    <x v="1"/>
    <x v="0"/>
    <m/>
    <n v="827199"/>
    <m/>
  </r>
  <r>
    <x v="180"/>
    <x v="0"/>
    <s v="페이스북/인스타그램"/>
    <x v="0"/>
    <m/>
    <m/>
    <x v="1"/>
    <x v="0"/>
    <m/>
    <n v="1086363"/>
    <m/>
  </r>
  <r>
    <x v="181"/>
    <x v="1"/>
    <s v="페이스북/인스타그램"/>
    <x v="0"/>
    <m/>
    <m/>
    <x v="1"/>
    <x v="0"/>
    <m/>
    <n v="1084369"/>
    <m/>
  </r>
  <r>
    <x v="182"/>
    <x v="5"/>
    <s v="페이스북/인스타그램"/>
    <x v="0"/>
    <m/>
    <m/>
    <x v="1"/>
    <x v="0"/>
    <m/>
    <n v="1052758"/>
    <m/>
  </r>
  <r>
    <x v="183"/>
    <x v="6"/>
    <s v="페이스북/인스타그램"/>
    <x v="0"/>
    <m/>
    <m/>
    <x v="1"/>
    <x v="0"/>
    <m/>
    <n v="1027292"/>
    <m/>
  </r>
  <r>
    <x v="184"/>
    <x v="2"/>
    <s v="페이스북/인스타그램"/>
    <x v="0"/>
    <m/>
    <m/>
    <x v="1"/>
    <x v="0"/>
    <m/>
    <n v="1242255"/>
    <m/>
  </r>
  <r>
    <x v="185"/>
    <x v="3"/>
    <s v="페이스북/인스타그램"/>
    <x v="0"/>
    <m/>
    <m/>
    <x v="1"/>
    <x v="0"/>
    <m/>
    <n v="1064481"/>
    <m/>
  </r>
  <r>
    <x v="186"/>
    <x v="4"/>
    <s v="페이스북/인스타그램"/>
    <x v="0"/>
    <m/>
    <m/>
    <x v="1"/>
    <x v="0"/>
    <m/>
    <n v="1064034"/>
    <m/>
  </r>
  <r>
    <x v="187"/>
    <x v="0"/>
    <s v="페이스북/인스타그램"/>
    <x v="0"/>
    <m/>
    <m/>
    <x v="1"/>
    <x v="0"/>
    <m/>
    <n v="1067233"/>
    <m/>
  </r>
  <r>
    <x v="188"/>
    <x v="1"/>
    <s v="페이스북/인스타그램"/>
    <x v="0"/>
    <m/>
    <m/>
    <x v="1"/>
    <x v="0"/>
    <m/>
    <n v="1063546"/>
    <m/>
  </r>
  <r>
    <x v="189"/>
    <x v="5"/>
    <s v="페이스북/인스타그램"/>
    <x v="0"/>
    <m/>
    <m/>
    <x v="1"/>
    <x v="0"/>
    <m/>
    <n v="1073545"/>
    <m/>
  </r>
  <r>
    <x v="190"/>
    <x v="6"/>
    <s v="페이스북/인스타그램"/>
    <x v="0"/>
    <m/>
    <m/>
    <x v="1"/>
    <x v="0"/>
    <m/>
    <n v="1162621"/>
    <m/>
  </r>
  <r>
    <x v="191"/>
    <x v="2"/>
    <s v="페이스북/인스타그램"/>
    <x v="0"/>
    <m/>
    <m/>
    <x v="1"/>
    <x v="0"/>
    <m/>
    <n v="1567666"/>
    <m/>
  </r>
  <r>
    <x v="192"/>
    <x v="3"/>
    <s v="페이스북/인스타그램"/>
    <x v="0"/>
    <m/>
    <m/>
    <x v="1"/>
    <x v="0"/>
    <m/>
    <n v="1658029"/>
    <m/>
  </r>
  <r>
    <x v="193"/>
    <x v="4"/>
    <s v="페이스북/인스타그램"/>
    <x v="0"/>
    <m/>
    <m/>
    <x v="1"/>
    <x v="0"/>
    <m/>
    <n v="1477903"/>
    <m/>
  </r>
  <r>
    <x v="194"/>
    <x v="0"/>
    <s v="페이스북/인스타그램"/>
    <x v="0"/>
    <m/>
    <m/>
    <x v="1"/>
    <x v="0"/>
    <m/>
    <n v="1583658"/>
    <m/>
  </r>
  <r>
    <x v="195"/>
    <x v="1"/>
    <s v="페이스북/인스타그램"/>
    <x v="0"/>
    <m/>
    <m/>
    <x v="1"/>
    <x v="0"/>
    <m/>
    <n v="1751306"/>
    <m/>
  </r>
  <r>
    <x v="196"/>
    <x v="5"/>
    <s v="페이스북/인스타그램"/>
    <x v="0"/>
    <m/>
    <m/>
    <x v="1"/>
    <x v="0"/>
    <m/>
    <n v="1802275"/>
    <m/>
  </r>
  <r>
    <x v="197"/>
    <x v="6"/>
    <s v="페이스북/인스타그램"/>
    <x v="0"/>
    <m/>
    <m/>
    <x v="1"/>
    <x v="0"/>
    <m/>
    <n v="1849046"/>
    <m/>
  </r>
  <r>
    <x v="198"/>
    <x v="2"/>
    <s v="페이스북/인스타그램"/>
    <x v="0"/>
    <m/>
    <m/>
    <x v="1"/>
    <x v="0"/>
    <m/>
    <n v="1772156"/>
    <m/>
  </r>
  <r>
    <x v="199"/>
    <x v="3"/>
    <s v="페이스북/인스타그램"/>
    <x v="0"/>
    <m/>
    <m/>
    <x v="1"/>
    <x v="0"/>
    <m/>
    <n v="1695520"/>
    <m/>
  </r>
  <r>
    <x v="200"/>
    <x v="4"/>
    <s v="페이스북/인스타그램"/>
    <x v="0"/>
    <m/>
    <m/>
    <x v="1"/>
    <x v="0"/>
    <m/>
    <n v="1832295"/>
    <m/>
  </r>
  <r>
    <x v="201"/>
    <x v="0"/>
    <s v="페이스북/인스타그램"/>
    <x v="0"/>
    <m/>
    <m/>
    <x v="1"/>
    <x v="0"/>
    <m/>
    <n v="2484717"/>
    <m/>
  </r>
  <r>
    <x v="202"/>
    <x v="1"/>
    <s v="페이스북/인스타그램"/>
    <x v="0"/>
    <m/>
    <m/>
    <x v="1"/>
    <x v="0"/>
    <m/>
    <n v="2688860"/>
    <m/>
  </r>
  <r>
    <x v="203"/>
    <x v="5"/>
    <s v="페이스북/인스타그램"/>
    <x v="0"/>
    <m/>
    <m/>
    <x v="1"/>
    <x v="0"/>
    <m/>
    <n v="3369121"/>
    <m/>
  </r>
  <r>
    <x v="204"/>
    <x v="6"/>
    <s v="페이스북/인스타그램"/>
    <x v="0"/>
    <m/>
    <m/>
    <x v="1"/>
    <x v="0"/>
    <m/>
    <n v="4213068"/>
    <m/>
  </r>
  <r>
    <x v="205"/>
    <x v="2"/>
    <s v="페이스북/인스타그램"/>
    <x v="0"/>
    <m/>
    <m/>
    <x v="1"/>
    <x v="0"/>
    <m/>
    <n v="4968615"/>
    <m/>
  </r>
  <r>
    <x v="206"/>
    <x v="3"/>
    <s v="페이스북/인스타그램"/>
    <x v="0"/>
    <m/>
    <m/>
    <x v="1"/>
    <x v="0"/>
    <m/>
    <n v="5506343"/>
    <m/>
  </r>
  <r>
    <x v="207"/>
    <x v="4"/>
    <s v="페이스북/인스타그램"/>
    <x v="0"/>
    <m/>
    <m/>
    <x v="1"/>
    <x v="0"/>
    <m/>
    <n v="5913042"/>
    <m/>
  </r>
  <r>
    <x v="208"/>
    <x v="0"/>
    <s v="페이스북/인스타그램"/>
    <x v="0"/>
    <m/>
    <m/>
    <x v="1"/>
    <x v="0"/>
    <m/>
    <n v="5703341"/>
    <m/>
  </r>
  <r>
    <x v="209"/>
    <x v="1"/>
    <s v="페이스북/인스타그램"/>
    <x v="0"/>
    <m/>
    <m/>
    <x v="1"/>
    <x v="0"/>
    <m/>
    <n v="6272608"/>
    <m/>
  </r>
  <r>
    <x v="210"/>
    <x v="5"/>
    <s v="페이스북/인스타그램"/>
    <x v="0"/>
    <m/>
    <m/>
    <x v="1"/>
    <x v="0"/>
    <m/>
    <n v="6891789"/>
    <m/>
  </r>
  <r>
    <x v="211"/>
    <x v="6"/>
    <s v="페이스북/인스타그램"/>
    <x v="0"/>
    <m/>
    <m/>
    <x v="1"/>
    <x v="0"/>
    <m/>
    <n v="5926152"/>
    <m/>
  </r>
  <r>
    <x v="212"/>
    <x v="2"/>
    <s v="페이스북/인스타그램"/>
    <x v="0"/>
    <m/>
    <m/>
    <x v="1"/>
    <x v="0"/>
    <m/>
    <n v="4865962"/>
    <m/>
  </r>
  <r>
    <x v="213"/>
    <x v="3"/>
    <s v="페이스북/인스타그램"/>
    <x v="0"/>
    <m/>
    <m/>
    <x v="1"/>
    <x v="0"/>
    <m/>
    <n v="3231197"/>
    <m/>
  </r>
  <r>
    <x v="214"/>
    <x v="4"/>
    <s v="페이스북/인스타그램"/>
    <x v="0"/>
    <m/>
    <m/>
    <x v="1"/>
    <x v="0"/>
    <m/>
    <n v="2991135"/>
    <m/>
  </r>
  <r>
    <x v="215"/>
    <x v="0"/>
    <s v="페이스북/인스타그램"/>
    <x v="0"/>
    <m/>
    <m/>
    <x v="1"/>
    <x v="0"/>
    <m/>
    <n v="3377561"/>
    <m/>
  </r>
  <r>
    <x v="216"/>
    <x v="1"/>
    <s v="페이스북/인스타그램"/>
    <x v="0"/>
    <m/>
    <m/>
    <x v="1"/>
    <x v="0"/>
    <m/>
    <n v="3747438"/>
    <m/>
  </r>
  <r>
    <x v="217"/>
    <x v="5"/>
    <s v="페이스북/인스타그램"/>
    <x v="0"/>
    <m/>
    <m/>
    <x v="1"/>
    <x v="0"/>
    <m/>
    <n v="3916705"/>
    <m/>
  </r>
  <r>
    <x v="218"/>
    <x v="6"/>
    <s v="페이스북/인스타그램"/>
    <x v="0"/>
    <m/>
    <m/>
    <x v="1"/>
    <x v="0"/>
    <m/>
    <n v="3802760"/>
    <m/>
  </r>
  <r>
    <x v="219"/>
    <x v="2"/>
    <s v="페이스북/인스타그램"/>
    <x v="0"/>
    <m/>
    <m/>
    <x v="1"/>
    <x v="0"/>
    <m/>
    <n v="3959175"/>
    <m/>
  </r>
  <r>
    <x v="220"/>
    <x v="3"/>
    <s v="페이스북/인스타그램"/>
    <x v="0"/>
    <m/>
    <m/>
    <x v="1"/>
    <x v="0"/>
    <m/>
    <n v="5137445"/>
    <m/>
  </r>
  <r>
    <x v="221"/>
    <x v="4"/>
    <s v="페이스북/인스타그램"/>
    <x v="0"/>
    <m/>
    <m/>
    <x v="1"/>
    <x v="0"/>
    <m/>
    <n v="5110183"/>
    <m/>
  </r>
  <r>
    <x v="222"/>
    <x v="0"/>
    <s v="페이스북/인스타그램"/>
    <x v="0"/>
    <m/>
    <m/>
    <x v="1"/>
    <x v="0"/>
    <m/>
    <n v="5107750"/>
    <m/>
  </r>
  <r>
    <x v="223"/>
    <x v="1"/>
    <s v="페이스북/인스타그램"/>
    <x v="0"/>
    <m/>
    <m/>
    <x v="1"/>
    <x v="0"/>
    <m/>
    <n v="5498801"/>
    <m/>
  </r>
  <r>
    <x v="224"/>
    <x v="5"/>
    <s v="페이스북/인스타그램"/>
    <x v="0"/>
    <m/>
    <m/>
    <x v="1"/>
    <x v="0"/>
    <m/>
    <n v="5132147"/>
    <m/>
  </r>
  <r>
    <x v="225"/>
    <x v="6"/>
    <s v="페이스북/인스타그램"/>
    <x v="0"/>
    <m/>
    <m/>
    <x v="1"/>
    <x v="0"/>
    <m/>
    <n v="4924534"/>
    <m/>
  </r>
  <r>
    <x v="226"/>
    <x v="2"/>
    <s v="페이스북/인스타그램"/>
    <x v="0"/>
    <m/>
    <m/>
    <x v="1"/>
    <x v="0"/>
    <m/>
    <n v="4889804"/>
    <m/>
  </r>
  <r>
    <x v="227"/>
    <x v="3"/>
    <s v="페이스북/인스타그램"/>
    <x v="0"/>
    <m/>
    <m/>
    <x v="1"/>
    <x v="0"/>
    <m/>
    <n v="5107354"/>
    <m/>
  </r>
  <r>
    <x v="228"/>
    <x v="4"/>
    <s v="페이스북/인스타그램"/>
    <x v="0"/>
    <m/>
    <m/>
    <x v="1"/>
    <x v="0"/>
    <m/>
    <n v="5068785"/>
    <m/>
  </r>
  <r>
    <x v="229"/>
    <x v="0"/>
    <s v="페이스북/인스타그램"/>
    <x v="0"/>
    <m/>
    <m/>
    <x v="1"/>
    <x v="0"/>
    <m/>
    <n v="5121174"/>
    <m/>
  </r>
  <r>
    <x v="230"/>
    <x v="1"/>
    <s v="페이스북/인스타그램"/>
    <x v="0"/>
    <m/>
    <m/>
    <x v="1"/>
    <x v="0"/>
    <m/>
    <n v="4943526"/>
    <m/>
  </r>
  <r>
    <x v="231"/>
    <x v="5"/>
    <s v="페이스북/인스타그램"/>
    <x v="0"/>
    <m/>
    <m/>
    <x v="1"/>
    <x v="0"/>
    <m/>
    <n v="5048775"/>
    <m/>
  </r>
  <r>
    <x v="232"/>
    <x v="6"/>
    <s v="페이스북/인스타그램"/>
    <x v="0"/>
    <m/>
    <m/>
    <x v="1"/>
    <x v="0"/>
    <m/>
    <n v="4429424"/>
    <m/>
  </r>
  <r>
    <x v="233"/>
    <x v="2"/>
    <s v="페이스북/인스타그램"/>
    <x v="0"/>
    <m/>
    <m/>
    <x v="1"/>
    <x v="0"/>
    <m/>
    <n v="4339586"/>
    <m/>
  </r>
  <r>
    <x v="234"/>
    <x v="3"/>
    <s v="페이스북/인스타그램"/>
    <x v="0"/>
    <m/>
    <m/>
    <x v="1"/>
    <x v="0"/>
    <m/>
    <n v="4232664"/>
    <m/>
  </r>
  <r>
    <x v="235"/>
    <x v="4"/>
    <s v="페이스북/인스타그램"/>
    <x v="0"/>
    <m/>
    <m/>
    <x v="1"/>
    <x v="0"/>
    <m/>
    <n v="4126826"/>
    <m/>
  </r>
  <r>
    <x v="236"/>
    <x v="0"/>
    <s v="페이스북/인스타그램"/>
    <x v="0"/>
    <m/>
    <m/>
    <x v="1"/>
    <x v="0"/>
    <m/>
    <n v="4327408"/>
    <m/>
  </r>
  <r>
    <x v="237"/>
    <x v="1"/>
    <s v="페이스북/인스타그램"/>
    <x v="0"/>
    <m/>
    <m/>
    <x v="1"/>
    <x v="0"/>
    <m/>
    <n v="4537018"/>
    <m/>
  </r>
  <r>
    <x v="238"/>
    <x v="5"/>
    <s v="페이스북/인스타그램"/>
    <x v="0"/>
    <m/>
    <m/>
    <x v="1"/>
    <x v="0"/>
    <m/>
    <n v="4542592"/>
    <m/>
  </r>
  <r>
    <x v="239"/>
    <x v="6"/>
    <s v="페이스북/인스타그램"/>
    <x v="0"/>
    <m/>
    <m/>
    <x v="1"/>
    <x v="0"/>
    <m/>
    <n v="4368026"/>
    <m/>
  </r>
  <r>
    <x v="240"/>
    <x v="2"/>
    <s v="페이스북/인스타그램"/>
    <x v="0"/>
    <m/>
    <m/>
    <x v="1"/>
    <x v="0"/>
    <m/>
    <n v="4533547"/>
    <m/>
  </r>
  <r>
    <x v="241"/>
    <x v="3"/>
    <s v="페이스북/인스타그램"/>
    <x v="0"/>
    <m/>
    <m/>
    <x v="1"/>
    <x v="0"/>
    <m/>
    <n v="4500123"/>
    <m/>
  </r>
  <r>
    <x v="242"/>
    <x v="4"/>
    <s v="페이스북/인스타그램"/>
    <x v="0"/>
    <m/>
    <m/>
    <x v="1"/>
    <x v="0"/>
    <m/>
    <n v="4648581"/>
    <m/>
  </r>
  <r>
    <x v="243"/>
    <x v="0"/>
    <s v="페이스북/인스타그램"/>
    <x v="0"/>
    <m/>
    <m/>
    <x v="1"/>
    <x v="0"/>
    <m/>
    <n v="4509017"/>
    <m/>
  </r>
  <r>
    <x v="244"/>
    <x v="1"/>
    <s v="페이스북/인스타그램"/>
    <x v="0"/>
    <m/>
    <m/>
    <x v="1"/>
    <x v="0"/>
    <m/>
    <n v="4509017"/>
    <m/>
  </r>
  <r>
    <x v="245"/>
    <x v="5"/>
    <s v="페이스북/인스타그램"/>
    <x v="0"/>
    <m/>
    <m/>
    <x v="1"/>
    <x v="0"/>
    <m/>
    <n v="4491645"/>
    <m/>
  </r>
  <r>
    <x v="246"/>
    <x v="6"/>
    <s v="페이스북/인스타그램"/>
    <x v="0"/>
    <m/>
    <m/>
    <x v="1"/>
    <x v="0"/>
    <m/>
    <n v="4152557"/>
    <m/>
  </r>
  <r>
    <x v="247"/>
    <x v="2"/>
    <s v="페이스북/인스타그램"/>
    <x v="0"/>
    <m/>
    <m/>
    <x v="1"/>
    <x v="0"/>
    <m/>
    <n v="4309647"/>
    <m/>
  </r>
  <r>
    <x v="248"/>
    <x v="3"/>
    <s v="페이스북/인스타그램"/>
    <x v="0"/>
    <m/>
    <m/>
    <x v="1"/>
    <x v="0"/>
    <m/>
    <n v="4161919"/>
    <m/>
  </r>
  <r>
    <x v="249"/>
    <x v="4"/>
    <s v="페이스북/인스타그램"/>
    <x v="0"/>
    <m/>
    <m/>
    <x v="1"/>
    <x v="0"/>
    <m/>
    <n v="4128112"/>
    <m/>
  </r>
  <r>
    <x v="250"/>
    <x v="0"/>
    <s v="페이스북/인스타그램"/>
    <x v="0"/>
    <m/>
    <m/>
    <x v="1"/>
    <x v="0"/>
    <m/>
    <n v="4190922"/>
    <m/>
  </r>
  <r>
    <x v="251"/>
    <x v="1"/>
    <s v="페이스북/인스타그램"/>
    <x v="0"/>
    <m/>
    <m/>
    <x v="1"/>
    <x v="0"/>
    <m/>
    <n v="4369544"/>
    <m/>
  </r>
  <r>
    <x v="252"/>
    <x v="5"/>
    <s v="페이스북/인스타그램"/>
    <x v="0"/>
    <m/>
    <m/>
    <x v="1"/>
    <x v="0"/>
    <m/>
    <n v="4188960"/>
    <m/>
  </r>
  <r>
    <x v="253"/>
    <x v="6"/>
    <s v="페이스북/인스타그램"/>
    <x v="0"/>
    <m/>
    <m/>
    <x v="1"/>
    <x v="0"/>
    <m/>
    <n v="4064471"/>
    <m/>
  </r>
  <r>
    <x v="254"/>
    <x v="2"/>
    <s v="페이스북/인스타그램"/>
    <x v="0"/>
    <m/>
    <m/>
    <x v="1"/>
    <x v="0"/>
    <m/>
    <n v="3918886"/>
    <m/>
  </r>
  <r>
    <x v="255"/>
    <x v="3"/>
    <s v="페이스북/인스타그램"/>
    <x v="0"/>
    <m/>
    <m/>
    <x v="1"/>
    <x v="0"/>
    <m/>
    <n v="3808298"/>
    <m/>
  </r>
  <r>
    <x v="256"/>
    <x v="4"/>
    <s v="페이스북/인스타그램"/>
    <x v="0"/>
    <m/>
    <m/>
    <x v="1"/>
    <x v="0"/>
    <m/>
    <n v="3553718"/>
    <m/>
  </r>
  <r>
    <x v="257"/>
    <x v="0"/>
    <s v="페이스북/인스타그램"/>
    <x v="0"/>
    <m/>
    <m/>
    <x v="1"/>
    <x v="0"/>
    <m/>
    <n v="3107785"/>
    <m/>
  </r>
  <r>
    <x v="258"/>
    <x v="1"/>
    <s v="페이스북/인스타그램"/>
    <x v="0"/>
    <m/>
    <m/>
    <x v="1"/>
    <x v="0"/>
    <m/>
    <n v="2826800"/>
    <m/>
  </r>
  <r>
    <x v="259"/>
    <x v="5"/>
    <s v="페이스북/인스타그램"/>
    <x v="0"/>
    <m/>
    <m/>
    <x v="1"/>
    <x v="0"/>
    <m/>
    <n v="2823592"/>
    <m/>
  </r>
  <r>
    <x v="260"/>
    <x v="6"/>
    <s v="페이스북/인스타그램"/>
    <x v="0"/>
    <m/>
    <m/>
    <x v="1"/>
    <x v="0"/>
    <m/>
    <n v="2876646"/>
    <m/>
  </r>
  <r>
    <x v="261"/>
    <x v="2"/>
    <s v="페이스북/인스타그램"/>
    <x v="0"/>
    <m/>
    <m/>
    <x v="1"/>
    <x v="0"/>
    <m/>
    <n v="2762968"/>
    <m/>
  </r>
  <r>
    <x v="58"/>
    <x v="2"/>
    <s v="네이버 쇼핑검색"/>
    <x v="0"/>
    <m/>
    <m/>
    <x v="1"/>
    <x v="0"/>
    <m/>
    <n v="1590"/>
    <m/>
  </r>
  <r>
    <x v="59"/>
    <x v="3"/>
    <s v="네이버 쇼핑검색"/>
    <x v="0"/>
    <m/>
    <m/>
    <x v="1"/>
    <x v="0"/>
    <m/>
    <n v="5460"/>
    <m/>
  </r>
  <r>
    <x v="60"/>
    <x v="4"/>
    <s v="네이버 쇼핑검색"/>
    <x v="0"/>
    <m/>
    <m/>
    <x v="1"/>
    <x v="0"/>
    <m/>
    <n v="3480"/>
    <m/>
  </r>
  <r>
    <x v="61"/>
    <x v="0"/>
    <s v="네이버 쇼핑검색"/>
    <x v="0"/>
    <m/>
    <m/>
    <x v="1"/>
    <x v="0"/>
    <m/>
    <n v="2380"/>
    <m/>
  </r>
  <r>
    <x v="62"/>
    <x v="1"/>
    <s v="네이버 쇼핑검색"/>
    <x v="0"/>
    <m/>
    <m/>
    <x v="1"/>
    <x v="0"/>
    <m/>
    <n v="1780"/>
    <m/>
  </r>
  <r>
    <x v="63"/>
    <x v="5"/>
    <s v="네이버 쇼핑검색"/>
    <x v="0"/>
    <m/>
    <m/>
    <x v="1"/>
    <x v="0"/>
    <m/>
    <n v="170"/>
    <m/>
  </r>
  <r>
    <x v="64"/>
    <x v="6"/>
    <s v="네이버 쇼핑검색"/>
    <x v="0"/>
    <m/>
    <m/>
    <x v="1"/>
    <x v="0"/>
    <m/>
    <n v="170"/>
    <m/>
  </r>
  <r>
    <x v="65"/>
    <x v="2"/>
    <s v="네이버 쇼핑검색"/>
    <x v="0"/>
    <m/>
    <m/>
    <x v="1"/>
    <x v="0"/>
    <m/>
    <n v="4270"/>
    <m/>
  </r>
  <r>
    <x v="66"/>
    <x v="3"/>
    <s v="네이버 쇼핑검색"/>
    <x v="0"/>
    <m/>
    <m/>
    <x v="1"/>
    <x v="0"/>
    <m/>
    <n v="2340"/>
    <m/>
  </r>
  <r>
    <x v="67"/>
    <x v="4"/>
    <s v="네이버 쇼핑검색"/>
    <x v="0"/>
    <m/>
    <m/>
    <x v="1"/>
    <x v="0"/>
    <m/>
    <n v="350"/>
    <m/>
  </r>
  <r>
    <x v="68"/>
    <x v="0"/>
    <s v="네이버 쇼핑검색"/>
    <x v="0"/>
    <m/>
    <m/>
    <x v="1"/>
    <x v="0"/>
    <m/>
    <n v="959.9999999999999"/>
    <m/>
  </r>
  <r>
    <x v="69"/>
    <x v="1"/>
    <s v="네이버 쇼핑검색"/>
    <x v="0"/>
    <m/>
    <m/>
    <x v="1"/>
    <x v="0"/>
    <m/>
    <n v="1600"/>
    <m/>
  </r>
  <r>
    <x v="70"/>
    <x v="5"/>
    <s v="네이버 쇼핑검색"/>
    <x v="0"/>
    <m/>
    <m/>
    <x v="1"/>
    <x v="0"/>
    <m/>
    <n v="1140"/>
    <m/>
  </r>
  <r>
    <x v="71"/>
    <x v="6"/>
    <s v="네이버 쇼핑검색"/>
    <x v="0"/>
    <m/>
    <m/>
    <x v="1"/>
    <x v="0"/>
    <m/>
    <n v="1560"/>
    <m/>
  </r>
  <r>
    <x v="72"/>
    <x v="2"/>
    <s v="네이버 쇼핑검색"/>
    <x v="0"/>
    <m/>
    <m/>
    <x v="1"/>
    <x v="0"/>
    <m/>
    <n v="1560"/>
    <m/>
  </r>
  <r>
    <x v="73"/>
    <x v="3"/>
    <s v="네이버 쇼핑검색"/>
    <x v="0"/>
    <m/>
    <m/>
    <x v="1"/>
    <x v="0"/>
    <m/>
    <n v="4010"/>
    <m/>
  </r>
  <r>
    <x v="74"/>
    <x v="4"/>
    <s v="네이버 쇼핑검색"/>
    <x v="0"/>
    <m/>
    <m/>
    <x v="1"/>
    <x v="0"/>
    <m/>
    <n v="1940"/>
    <m/>
  </r>
  <r>
    <x v="75"/>
    <x v="0"/>
    <s v="네이버 쇼핑검색"/>
    <x v="0"/>
    <m/>
    <m/>
    <x v="1"/>
    <x v="0"/>
    <m/>
    <n v="0"/>
    <m/>
  </r>
  <r>
    <x v="76"/>
    <x v="1"/>
    <s v="네이버 쇼핑검색"/>
    <x v="0"/>
    <m/>
    <m/>
    <x v="1"/>
    <x v="0"/>
    <m/>
    <n v="200"/>
    <m/>
  </r>
  <r>
    <x v="77"/>
    <x v="5"/>
    <s v="네이버 쇼핑검색"/>
    <x v="0"/>
    <m/>
    <m/>
    <x v="1"/>
    <x v="0"/>
    <m/>
    <n v="0"/>
    <m/>
  </r>
  <r>
    <x v="78"/>
    <x v="6"/>
    <s v="네이버 쇼핑검색"/>
    <x v="0"/>
    <m/>
    <m/>
    <x v="1"/>
    <x v="0"/>
    <m/>
    <n v="0"/>
    <m/>
  </r>
  <r>
    <x v="79"/>
    <x v="2"/>
    <s v="네이버 쇼핑검색"/>
    <x v="0"/>
    <m/>
    <m/>
    <x v="1"/>
    <x v="0"/>
    <m/>
    <n v="3170"/>
    <m/>
  </r>
  <r>
    <x v="80"/>
    <x v="3"/>
    <s v="네이버 쇼핑검색"/>
    <x v="0"/>
    <m/>
    <m/>
    <x v="1"/>
    <x v="0"/>
    <m/>
    <n v="5080"/>
    <m/>
  </r>
  <r>
    <x v="81"/>
    <x v="4"/>
    <s v="네이버 쇼핑검색"/>
    <x v="0"/>
    <m/>
    <m/>
    <x v="1"/>
    <x v="0"/>
    <m/>
    <n v="2350"/>
    <m/>
  </r>
  <r>
    <x v="82"/>
    <x v="0"/>
    <s v="네이버 쇼핑검색"/>
    <x v="0"/>
    <m/>
    <m/>
    <x v="1"/>
    <x v="0"/>
    <m/>
    <n v="330"/>
    <m/>
  </r>
  <r>
    <x v="83"/>
    <x v="1"/>
    <s v="네이버 쇼핑검색"/>
    <x v="0"/>
    <m/>
    <m/>
    <x v="1"/>
    <x v="0"/>
    <m/>
    <n v="2870"/>
    <m/>
  </r>
  <r>
    <x v="84"/>
    <x v="5"/>
    <s v="네이버 쇼핑검색"/>
    <x v="0"/>
    <m/>
    <m/>
    <x v="1"/>
    <x v="0"/>
    <m/>
    <n v="620"/>
    <m/>
  </r>
  <r>
    <x v="85"/>
    <x v="6"/>
    <s v="네이버 쇼핑검색"/>
    <x v="0"/>
    <m/>
    <m/>
    <x v="1"/>
    <x v="0"/>
    <m/>
    <n v="1770"/>
    <m/>
  </r>
  <r>
    <x v="86"/>
    <x v="2"/>
    <s v="네이버 쇼핑검색"/>
    <x v="0"/>
    <m/>
    <m/>
    <x v="1"/>
    <x v="0"/>
    <m/>
    <n v="1590"/>
    <m/>
  </r>
  <r>
    <x v="87"/>
    <x v="3"/>
    <s v="네이버 쇼핑검색"/>
    <x v="0"/>
    <m/>
    <m/>
    <x v="1"/>
    <x v="0"/>
    <m/>
    <n v="2610"/>
    <m/>
  </r>
  <r>
    <x v="88"/>
    <x v="4"/>
    <s v="네이버 쇼핑검색"/>
    <x v="0"/>
    <m/>
    <m/>
    <x v="1"/>
    <x v="0"/>
    <m/>
    <n v="3010"/>
    <m/>
  </r>
  <r>
    <x v="89"/>
    <x v="0"/>
    <s v="네이버 쇼핑검색"/>
    <x v="0"/>
    <m/>
    <m/>
    <x v="1"/>
    <x v="0"/>
    <m/>
    <n v="3480"/>
    <m/>
  </r>
  <r>
    <x v="90"/>
    <x v="1"/>
    <s v="네이버 쇼핑검색"/>
    <x v="0"/>
    <m/>
    <m/>
    <x v="1"/>
    <x v="0"/>
    <m/>
    <n v="1630"/>
    <m/>
  </r>
  <r>
    <x v="91"/>
    <x v="5"/>
    <s v="네이버 쇼핑검색"/>
    <x v="0"/>
    <m/>
    <m/>
    <x v="1"/>
    <x v="0"/>
    <m/>
    <n v="2030"/>
    <m/>
  </r>
  <r>
    <x v="92"/>
    <x v="6"/>
    <s v="네이버 쇼핑검색"/>
    <x v="0"/>
    <m/>
    <m/>
    <x v="1"/>
    <x v="0"/>
    <m/>
    <n v="1540"/>
    <m/>
  </r>
  <r>
    <x v="93"/>
    <x v="2"/>
    <s v="네이버 쇼핑검색"/>
    <x v="0"/>
    <m/>
    <m/>
    <x v="1"/>
    <x v="0"/>
    <m/>
    <n v="1560"/>
    <m/>
  </r>
  <r>
    <x v="94"/>
    <x v="3"/>
    <s v="네이버 쇼핑검색"/>
    <x v="0"/>
    <m/>
    <m/>
    <x v="1"/>
    <x v="0"/>
    <m/>
    <n v="3470"/>
    <m/>
  </r>
  <r>
    <x v="95"/>
    <x v="4"/>
    <s v="네이버 쇼핑검색"/>
    <x v="0"/>
    <m/>
    <m/>
    <x v="1"/>
    <x v="0"/>
    <m/>
    <n v="5270"/>
    <m/>
  </r>
  <r>
    <x v="96"/>
    <x v="0"/>
    <s v="네이버 쇼핑검색"/>
    <x v="0"/>
    <m/>
    <m/>
    <x v="1"/>
    <x v="0"/>
    <m/>
    <n v="2640"/>
    <m/>
  </r>
  <r>
    <x v="97"/>
    <x v="1"/>
    <s v="네이버 쇼핑검색"/>
    <x v="0"/>
    <m/>
    <m/>
    <x v="1"/>
    <x v="0"/>
    <m/>
    <n v="1920"/>
    <m/>
  </r>
  <r>
    <x v="98"/>
    <x v="5"/>
    <s v="네이버 쇼핑검색"/>
    <x v="0"/>
    <m/>
    <m/>
    <x v="1"/>
    <x v="0"/>
    <m/>
    <n v="3180"/>
    <m/>
  </r>
  <r>
    <x v="99"/>
    <x v="6"/>
    <s v="네이버 쇼핑검색"/>
    <x v="0"/>
    <m/>
    <m/>
    <x v="1"/>
    <x v="0"/>
    <m/>
    <n v="1290"/>
    <m/>
  </r>
  <r>
    <x v="100"/>
    <x v="2"/>
    <s v="네이버 쇼핑검색"/>
    <x v="0"/>
    <m/>
    <m/>
    <x v="1"/>
    <x v="0"/>
    <m/>
    <n v="6010"/>
    <m/>
  </r>
  <r>
    <x v="101"/>
    <x v="3"/>
    <s v="네이버 쇼핑검색"/>
    <x v="0"/>
    <m/>
    <m/>
    <x v="1"/>
    <x v="0"/>
    <m/>
    <n v="5600"/>
    <m/>
  </r>
  <r>
    <x v="102"/>
    <x v="4"/>
    <s v="네이버 쇼핑검색"/>
    <x v="0"/>
    <m/>
    <m/>
    <x v="1"/>
    <x v="0"/>
    <m/>
    <n v="5600"/>
    <m/>
  </r>
  <r>
    <x v="103"/>
    <x v="0"/>
    <s v="네이버 쇼핑검색"/>
    <x v="0"/>
    <m/>
    <m/>
    <x v="1"/>
    <x v="0"/>
    <m/>
    <n v="3690"/>
    <m/>
  </r>
  <r>
    <x v="104"/>
    <x v="1"/>
    <s v="네이버 쇼핑검색"/>
    <x v="0"/>
    <m/>
    <m/>
    <x v="1"/>
    <x v="0"/>
    <m/>
    <n v="1870"/>
    <m/>
  </r>
  <r>
    <x v="105"/>
    <x v="5"/>
    <s v="네이버 쇼핑검색"/>
    <x v="0"/>
    <m/>
    <m/>
    <x v="1"/>
    <x v="0"/>
    <m/>
    <n v="3320"/>
    <m/>
  </r>
  <r>
    <x v="106"/>
    <x v="6"/>
    <s v="네이버 쇼핑검색"/>
    <x v="0"/>
    <m/>
    <m/>
    <x v="1"/>
    <x v="0"/>
    <m/>
    <n v="3110"/>
    <m/>
  </r>
  <r>
    <x v="107"/>
    <x v="2"/>
    <s v="네이버 쇼핑검색"/>
    <x v="0"/>
    <m/>
    <m/>
    <x v="1"/>
    <x v="0"/>
    <m/>
    <n v="4390"/>
    <m/>
  </r>
  <r>
    <x v="108"/>
    <x v="3"/>
    <s v="네이버 쇼핑검색"/>
    <x v="0"/>
    <m/>
    <m/>
    <x v="1"/>
    <x v="0"/>
    <m/>
    <n v="1770"/>
    <m/>
  </r>
  <r>
    <x v="109"/>
    <x v="4"/>
    <s v="네이버 쇼핑검색"/>
    <x v="0"/>
    <m/>
    <m/>
    <x v="1"/>
    <x v="0"/>
    <m/>
    <n v="1450"/>
    <m/>
  </r>
  <r>
    <x v="110"/>
    <x v="0"/>
    <s v="네이버 쇼핑검색"/>
    <x v="0"/>
    <m/>
    <m/>
    <x v="1"/>
    <x v="0"/>
    <m/>
    <n v="1510"/>
    <m/>
  </r>
  <r>
    <x v="111"/>
    <x v="1"/>
    <s v="네이버 쇼핑검색"/>
    <x v="0"/>
    <m/>
    <m/>
    <x v="1"/>
    <x v="0"/>
    <m/>
    <n v="1450"/>
    <m/>
  </r>
  <r>
    <x v="112"/>
    <x v="5"/>
    <s v="네이버 쇼핑검색"/>
    <x v="0"/>
    <m/>
    <m/>
    <x v="1"/>
    <x v="0"/>
    <m/>
    <n v="5090"/>
    <m/>
  </r>
  <r>
    <x v="113"/>
    <x v="6"/>
    <s v="네이버 쇼핑검색"/>
    <x v="0"/>
    <m/>
    <m/>
    <x v="1"/>
    <x v="0"/>
    <m/>
    <n v="2680"/>
    <m/>
  </r>
  <r>
    <x v="114"/>
    <x v="2"/>
    <s v="네이버 쇼핑검색"/>
    <x v="0"/>
    <m/>
    <m/>
    <x v="1"/>
    <x v="0"/>
    <m/>
    <n v="1890"/>
    <m/>
  </r>
  <r>
    <x v="115"/>
    <x v="3"/>
    <s v="네이버 쇼핑검색"/>
    <x v="0"/>
    <m/>
    <m/>
    <x v="1"/>
    <x v="0"/>
    <m/>
    <n v="1100"/>
    <m/>
  </r>
  <r>
    <x v="116"/>
    <x v="4"/>
    <s v="네이버 쇼핑검색"/>
    <x v="0"/>
    <m/>
    <m/>
    <x v="1"/>
    <x v="0"/>
    <m/>
    <n v="2120"/>
    <m/>
  </r>
  <r>
    <x v="117"/>
    <x v="0"/>
    <s v="네이버 쇼핑검색"/>
    <x v="0"/>
    <m/>
    <m/>
    <x v="1"/>
    <x v="0"/>
    <m/>
    <n v="420"/>
    <m/>
  </r>
  <r>
    <x v="118"/>
    <x v="1"/>
    <s v="네이버 쇼핑검색"/>
    <x v="0"/>
    <m/>
    <m/>
    <x v="1"/>
    <x v="0"/>
    <m/>
    <n v="2610"/>
    <m/>
  </r>
  <r>
    <x v="119"/>
    <x v="5"/>
    <s v="네이버 쇼핑검색"/>
    <x v="0"/>
    <m/>
    <m/>
    <x v="1"/>
    <x v="0"/>
    <m/>
    <n v="2770"/>
    <m/>
  </r>
  <r>
    <x v="120"/>
    <x v="6"/>
    <s v="네이버 쇼핑검색"/>
    <x v="0"/>
    <m/>
    <m/>
    <x v="1"/>
    <x v="0"/>
    <m/>
    <n v="4610"/>
    <m/>
  </r>
  <r>
    <x v="121"/>
    <x v="2"/>
    <s v="네이버 쇼핑검색"/>
    <x v="0"/>
    <m/>
    <m/>
    <x v="1"/>
    <x v="0"/>
    <m/>
    <n v="4320"/>
    <m/>
  </r>
  <r>
    <x v="122"/>
    <x v="3"/>
    <s v="네이버 쇼핑검색"/>
    <x v="0"/>
    <m/>
    <m/>
    <x v="1"/>
    <x v="0"/>
    <m/>
    <n v="2670"/>
    <m/>
  </r>
  <r>
    <x v="123"/>
    <x v="4"/>
    <s v="네이버 쇼핑검색"/>
    <x v="0"/>
    <m/>
    <m/>
    <x v="1"/>
    <x v="0"/>
    <m/>
    <n v="3010"/>
    <m/>
  </r>
  <r>
    <x v="124"/>
    <x v="0"/>
    <s v="네이버 쇼핑검색"/>
    <x v="0"/>
    <m/>
    <m/>
    <x v="1"/>
    <x v="0"/>
    <m/>
    <n v="3090"/>
    <m/>
  </r>
  <r>
    <x v="125"/>
    <x v="1"/>
    <s v="네이버 쇼핑검색"/>
    <x v="0"/>
    <m/>
    <m/>
    <x v="1"/>
    <x v="0"/>
    <m/>
    <n v="2180"/>
    <m/>
  </r>
  <r>
    <x v="126"/>
    <x v="5"/>
    <s v="네이버 쇼핑검색"/>
    <x v="0"/>
    <m/>
    <m/>
    <x v="1"/>
    <x v="0"/>
    <m/>
    <n v="4320"/>
    <m/>
  </r>
  <r>
    <x v="127"/>
    <x v="6"/>
    <s v="네이버 쇼핑검색"/>
    <x v="0"/>
    <m/>
    <m/>
    <x v="1"/>
    <x v="0"/>
    <m/>
    <n v="2860"/>
    <m/>
  </r>
  <r>
    <x v="128"/>
    <x v="2"/>
    <s v="네이버 쇼핑검색"/>
    <x v="0"/>
    <m/>
    <m/>
    <x v="1"/>
    <x v="0"/>
    <m/>
    <n v="6550"/>
    <m/>
  </r>
  <r>
    <x v="129"/>
    <x v="3"/>
    <s v="네이버 쇼핑검색"/>
    <x v="0"/>
    <m/>
    <m/>
    <x v="1"/>
    <x v="0"/>
    <m/>
    <n v="2880"/>
    <m/>
  </r>
  <r>
    <x v="130"/>
    <x v="4"/>
    <s v="네이버 쇼핑검색"/>
    <x v="0"/>
    <m/>
    <m/>
    <x v="1"/>
    <x v="0"/>
    <m/>
    <n v="7030"/>
    <m/>
  </r>
  <r>
    <x v="131"/>
    <x v="0"/>
    <s v="네이버 쇼핑검색"/>
    <x v="0"/>
    <m/>
    <m/>
    <x v="1"/>
    <x v="0"/>
    <m/>
    <n v="4360"/>
    <m/>
  </r>
  <r>
    <x v="132"/>
    <x v="1"/>
    <s v="네이버 쇼핑검색"/>
    <x v="0"/>
    <m/>
    <m/>
    <x v="1"/>
    <x v="0"/>
    <m/>
    <n v="13770"/>
    <m/>
  </r>
  <r>
    <x v="133"/>
    <x v="5"/>
    <s v="네이버 쇼핑검색"/>
    <x v="0"/>
    <m/>
    <m/>
    <x v="1"/>
    <x v="0"/>
    <m/>
    <n v="8750"/>
    <m/>
  </r>
  <r>
    <x v="134"/>
    <x v="6"/>
    <s v="네이버 쇼핑검색"/>
    <x v="0"/>
    <m/>
    <m/>
    <x v="1"/>
    <x v="0"/>
    <m/>
    <n v="9780"/>
    <m/>
  </r>
  <r>
    <x v="135"/>
    <x v="2"/>
    <s v="네이버 쇼핑검색"/>
    <x v="0"/>
    <m/>
    <m/>
    <x v="1"/>
    <x v="0"/>
    <m/>
    <n v="5870"/>
    <m/>
  </r>
  <r>
    <x v="136"/>
    <x v="3"/>
    <s v="네이버 쇼핑검색"/>
    <x v="0"/>
    <m/>
    <m/>
    <x v="1"/>
    <x v="0"/>
    <m/>
    <n v="5560"/>
    <m/>
  </r>
  <r>
    <x v="137"/>
    <x v="4"/>
    <s v="네이버 쇼핑검색"/>
    <x v="0"/>
    <m/>
    <m/>
    <x v="1"/>
    <x v="0"/>
    <m/>
    <n v="8670"/>
    <m/>
  </r>
  <r>
    <x v="138"/>
    <x v="0"/>
    <s v="네이버 쇼핑검색"/>
    <x v="0"/>
    <m/>
    <m/>
    <x v="1"/>
    <x v="0"/>
    <m/>
    <n v="7260"/>
    <m/>
  </r>
  <r>
    <x v="139"/>
    <x v="1"/>
    <s v="네이버 쇼핑검색"/>
    <x v="0"/>
    <m/>
    <m/>
    <x v="1"/>
    <x v="0"/>
    <m/>
    <n v="12680"/>
    <m/>
  </r>
  <r>
    <x v="140"/>
    <x v="5"/>
    <s v="네이버 쇼핑검색"/>
    <x v="0"/>
    <m/>
    <m/>
    <x v="1"/>
    <x v="0"/>
    <m/>
    <n v="14480"/>
    <m/>
  </r>
  <r>
    <x v="141"/>
    <x v="6"/>
    <s v="네이버 쇼핑검색"/>
    <x v="0"/>
    <m/>
    <m/>
    <x v="1"/>
    <x v="0"/>
    <m/>
    <n v="7040"/>
    <m/>
  </r>
  <r>
    <x v="142"/>
    <x v="2"/>
    <s v="네이버 쇼핑검색"/>
    <x v="0"/>
    <m/>
    <m/>
    <x v="1"/>
    <x v="0"/>
    <m/>
    <n v="12770"/>
    <m/>
  </r>
  <r>
    <x v="143"/>
    <x v="3"/>
    <s v="네이버 쇼핑검색"/>
    <x v="0"/>
    <m/>
    <m/>
    <x v="1"/>
    <x v="0"/>
    <m/>
    <n v="11740"/>
    <m/>
  </r>
  <r>
    <x v="144"/>
    <x v="4"/>
    <s v="네이버 쇼핑검색"/>
    <x v="0"/>
    <m/>
    <m/>
    <x v="1"/>
    <x v="0"/>
    <m/>
    <n v="12460"/>
    <m/>
  </r>
  <r>
    <x v="145"/>
    <x v="0"/>
    <s v="네이버 쇼핑검색"/>
    <x v="0"/>
    <m/>
    <m/>
    <x v="1"/>
    <x v="0"/>
    <m/>
    <n v="7990"/>
    <m/>
  </r>
  <r>
    <x v="146"/>
    <x v="1"/>
    <s v="네이버 쇼핑검색"/>
    <x v="0"/>
    <m/>
    <m/>
    <x v="1"/>
    <x v="0"/>
    <m/>
    <n v="11070"/>
    <m/>
  </r>
  <r>
    <x v="147"/>
    <x v="5"/>
    <s v="네이버 쇼핑검색"/>
    <x v="0"/>
    <m/>
    <m/>
    <x v="1"/>
    <x v="0"/>
    <m/>
    <n v="12730"/>
    <m/>
  </r>
  <r>
    <x v="148"/>
    <x v="6"/>
    <s v="네이버 쇼핑검색"/>
    <x v="0"/>
    <m/>
    <m/>
    <x v="1"/>
    <x v="0"/>
    <m/>
    <n v="7840"/>
    <m/>
  </r>
  <r>
    <x v="149"/>
    <x v="2"/>
    <s v="네이버 쇼핑검색"/>
    <x v="0"/>
    <m/>
    <m/>
    <x v="1"/>
    <x v="0"/>
    <m/>
    <n v="7650"/>
    <m/>
  </r>
  <r>
    <x v="150"/>
    <x v="3"/>
    <s v="네이버 쇼핑검색"/>
    <x v="0"/>
    <m/>
    <m/>
    <x v="1"/>
    <x v="0"/>
    <m/>
    <n v="13600"/>
    <m/>
  </r>
  <r>
    <x v="151"/>
    <x v="4"/>
    <s v="네이버 쇼핑검색"/>
    <x v="0"/>
    <m/>
    <m/>
    <x v="1"/>
    <x v="0"/>
    <m/>
    <n v="11370"/>
    <m/>
  </r>
  <r>
    <x v="152"/>
    <x v="0"/>
    <s v="네이버 쇼핑검색"/>
    <x v="0"/>
    <m/>
    <m/>
    <x v="1"/>
    <x v="0"/>
    <m/>
    <n v="7930"/>
    <m/>
  </r>
  <r>
    <x v="153"/>
    <x v="1"/>
    <s v="네이버 쇼핑검색"/>
    <x v="0"/>
    <m/>
    <m/>
    <x v="1"/>
    <x v="0"/>
    <m/>
    <n v="2940"/>
    <m/>
  </r>
  <r>
    <x v="154"/>
    <x v="5"/>
    <s v="네이버 쇼핑검색"/>
    <x v="0"/>
    <m/>
    <m/>
    <x v="1"/>
    <x v="0"/>
    <m/>
    <n v="15270"/>
    <m/>
  </r>
  <r>
    <x v="155"/>
    <x v="6"/>
    <s v="네이버 쇼핑검색"/>
    <x v="0"/>
    <m/>
    <m/>
    <x v="1"/>
    <x v="0"/>
    <m/>
    <n v="9190"/>
    <m/>
  </r>
  <r>
    <x v="156"/>
    <x v="2"/>
    <s v="네이버 쇼핑검색"/>
    <x v="0"/>
    <m/>
    <m/>
    <x v="1"/>
    <x v="0"/>
    <m/>
    <n v="18700"/>
    <m/>
  </r>
  <r>
    <x v="157"/>
    <x v="3"/>
    <s v="네이버 쇼핑검색"/>
    <x v="0"/>
    <m/>
    <m/>
    <x v="1"/>
    <x v="0"/>
    <m/>
    <n v="10690"/>
    <m/>
  </r>
  <r>
    <x v="158"/>
    <x v="4"/>
    <s v="네이버 쇼핑검색"/>
    <x v="0"/>
    <m/>
    <m/>
    <x v="1"/>
    <x v="0"/>
    <m/>
    <n v="9710"/>
    <m/>
  </r>
  <r>
    <x v="159"/>
    <x v="0"/>
    <s v="네이버 쇼핑검색"/>
    <x v="0"/>
    <m/>
    <m/>
    <x v="1"/>
    <x v="0"/>
    <m/>
    <n v="4160"/>
    <m/>
  </r>
  <r>
    <x v="160"/>
    <x v="1"/>
    <s v="네이버 쇼핑검색"/>
    <x v="0"/>
    <m/>
    <m/>
    <x v="1"/>
    <x v="0"/>
    <m/>
    <n v="5959.999999999999"/>
    <m/>
  </r>
  <r>
    <x v="161"/>
    <x v="5"/>
    <s v="네이버 쇼핑검색"/>
    <x v="0"/>
    <m/>
    <m/>
    <x v="1"/>
    <x v="0"/>
    <m/>
    <n v="8560"/>
    <m/>
  </r>
  <r>
    <x v="162"/>
    <x v="6"/>
    <s v="네이버 쇼핑검색"/>
    <x v="0"/>
    <m/>
    <m/>
    <x v="1"/>
    <x v="0"/>
    <m/>
    <n v="10150"/>
    <m/>
  </r>
  <r>
    <x v="163"/>
    <x v="2"/>
    <s v="네이버 쇼핑검색"/>
    <x v="0"/>
    <m/>
    <m/>
    <x v="1"/>
    <x v="0"/>
    <m/>
    <n v="10040"/>
    <m/>
  </r>
  <r>
    <x v="164"/>
    <x v="3"/>
    <s v="네이버 쇼핑검색"/>
    <x v="0"/>
    <m/>
    <m/>
    <x v="1"/>
    <x v="0"/>
    <m/>
    <n v="3230"/>
    <m/>
  </r>
  <r>
    <x v="165"/>
    <x v="4"/>
    <s v="네이버 쇼핑검색"/>
    <x v="0"/>
    <m/>
    <m/>
    <x v="1"/>
    <x v="0"/>
    <m/>
    <n v="5130"/>
    <m/>
  </r>
  <r>
    <x v="166"/>
    <x v="0"/>
    <s v="네이버 쇼핑검색"/>
    <x v="0"/>
    <m/>
    <m/>
    <x v="1"/>
    <x v="0"/>
    <m/>
    <n v="4460"/>
    <m/>
  </r>
  <r>
    <x v="167"/>
    <x v="1"/>
    <s v="네이버 쇼핑검색"/>
    <x v="0"/>
    <m/>
    <m/>
    <x v="1"/>
    <x v="0"/>
    <m/>
    <n v="8960"/>
    <m/>
  </r>
  <r>
    <x v="168"/>
    <x v="5"/>
    <s v="네이버 쇼핑검색"/>
    <x v="0"/>
    <m/>
    <m/>
    <x v="1"/>
    <x v="0"/>
    <m/>
    <n v="11210"/>
    <m/>
  </r>
  <r>
    <x v="169"/>
    <x v="6"/>
    <s v="네이버 쇼핑검색"/>
    <x v="0"/>
    <m/>
    <m/>
    <x v="1"/>
    <x v="0"/>
    <m/>
    <n v="7059.999999999999"/>
    <m/>
  </r>
  <r>
    <x v="170"/>
    <x v="2"/>
    <s v="네이버 쇼핑검색"/>
    <x v="0"/>
    <m/>
    <m/>
    <x v="1"/>
    <x v="0"/>
    <m/>
    <n v="6679.999999999999"/>
    <m/>
  </r>
  <r>
    <x v="171"/>
    <x v="3"/>
    <s v="네이버 쇼핑검색"/>
    <x v="0"/>
    <m/>
    <m/>
    <x v="1"/>
    <x v="0"/>
    <m/>
    <n v="2380"/>
    <m/>
  </r>
  <r>
    <x v="172"/>
    <x v="4"/>
    <s v="네이버 쇼핑검색"/>
    <x v="0"/>
    <m/>
    <m/>
    <x v="1"/>
    <x v="0"/>
    <m/>
    <n v="6529.999999999999"/>
    <m/>
  </r>
  <r>
    <x v="173"/>
    <x v="0"/>
    <s v="네이버 쇼핑검색"/>
    <x v="0"/>
    <m/>
    <m/>
    <x v="1"/>
    <x v="0"/>
    <m/>
    <n v="13600"/>
    <m/>
  </r>
  <r>
    <x v="174"/>
    <x v="1"/>
    <s v="네이버 쇼핑검색"/>
    <x v="0"/>
    <m/>
    <m/>
    <x v="1"/>
    <x v="0"/>
    <m/>
    <n v="15870"/>
    <m/>
  </r>
  <r>
    <x v="175"/>
    <x v="5"/>
    <s v="네이버 쇼핑검색"/>
    <x v="0"/>
    <m/>
    <m/>
    <x v="1"/>
    <x v="0"/>
    <m/>
    <n v="19100"/>
    <m/>
  </r>
  <r>
    <x v="176"/>
    <x v="6"/>
    <s v="네이버 쇼핑검색"/>
    <x v="0"/>
    <m/>
    <m/>
    <x v="1"/>
    <x v="0"/>
    <m/>
    <n v="10890"/>
    <m/>
  </r>
  <r>
    <x v="177"/>
    <x v="2"/>
    <s v="네이버 쇼핑검색"/>
    <x v="0"/>
    <m/>
    <m/>
    <x v="1"/>
    <x v="0"/>
    <m/>
    <n v="16430"/>
    <m/>
  </r>
  <r>
    <x v="178"/>
    <x v="3"/>
    <s v="네이버 쇼핑검색"/>
    <x v="0"/>
    <m/>
    <m/>
    <x v="1"/>
    <x v="0"/>
    <m/>
    <n v="20510"/>
    <m/>
  </r>
  <r>
    <x v="179"/>
    <x v="4"/>
    <s v="네이버 쇼핑검색"/>
    <x v="0"/>
    <m/>
    <m/>
    <x v="1"/>
    <x v="0"/>
    <m/>
    <n v="27750"/>
    <m/>
  </r>
  <r>
    <x v="180"/>
    <x v="0"/>
    <s v="네이버 쇼핑검색"/>
    <x v="0"/>
    <m/>
    <m/>
    <x v="1"/>
    <x v="0"/>
    <m/>
    <n v="19510"/>
    <m/>
  </r>
  <r>
    <x v="181"/>
    <x v="1"/>
    <s v="네이버 쇼핑검색"/>
    <x v="0"/>
    <m/>
    <m/>
    <x v="1"/>
    <x v="0"/>
    <m/>
    <n v="17860"/>
    <m/>
  </r>
  <r>
    <x v="182"/>
    <x v="5"/>
    <s v="네이버 쇼핑검색"/>
    <x v="0"/>
    <m/>
    <m/>
    <x v="1"/>
    <x v="0"/>
    <m/>
    <n v="24280"/>
    <m/>
  </r>
  <r>
    <x v="183"/>
    <x v="6"/>
    <s v="네이버 쇼핑검색"/>
    <x v="0"/>
    <m/>
    <m/>
    <x v="1"/>
    <x v="0"/>
    <m/>
    <n v="17150"/>
    <m/>
  </r>
  <r>
    <x v="184"/>
    <x v="2"/>
    <s v="네이버 쇼핑검색"/>
    <x v="0"/>
    <m/>
    <m/>
    <x v="1"/>
    <x v="0"/>
    <m/>
    <n v="19640"/>
    <m/>
  </r>
  <r>
    <x v="185"/>
    <x v="3"/>
    <s v="네이버 쇼핑검색"/>
    <x v="0"/>
    <m/>
    <m/>
    <x v="1"/>
    <x v="0"/>
    <m/>
    <n v="22660"/>
    <m/>
  </r>
  <r>
    <x v="186"/>
    <x v="4"/>
    <s v="네이버 쇼핑검색"/>
    <x v="0"/>
    <m/>
    <m/>
    <x v="1"/>
    <x v="0"/>
    <m/>
    <n v="14240"/>
    <m/>
  </r>
  <r>
    <x v="187"/>
    <x v="0"/>
    <s v="네이버 쇼핑검색"/>
    <x v="0"/>
    <m/>
    <m/>
    <x v="1"/>
    <x v="0"/>
    <m/>
    <n v="22870"/>
    <m/>
  </r>
  <r>
    <x v="188"/>
    <x v="1"/>
    <s v="네이버 쇼핑검색"/>
    <x v="0"/>
    <m/>
    <m/>
    <x v="1"/>
    <x v="0"/>
    <m/>
    <n v="27210"/>
    <m/>
  </r>
  <r>
    <x v="189"/>
    <x v="5"/>
    <s v="네이버 쇼핑검색"/>
    <x v="0"/>
    <m/>
    <m/>
    <x v="1"/>
    <x v="0"/>
    <m/>
    <n v="40860"/>
    <m/>
  </r>
  <r>
    <x v="190"/>
    <x v="6"/>
    <s v="네이버 쇼핑검색"/>
    <x v="0"/>
    <m/>
    <m/>
    <x v="1"/>
    <x v="0"/>
    <m/>
    <n v="26380"/>
    <m/>
  </r>
  <r>
    <x v="191"/>
    <x v="2"/>
    <s v="네이버 쇼핑검색"/>
    <x v="0"/>
    <m/>
    <m/>
    <x v="1"/>
    <x v="0"/>
    <m/>
    <n v="31990"/>
    <m/>
  </r>
  <r>
    <x v="192"/>
    <x v="3"/>
    <s v="네이버 쇼핑검색"/>
    <x v="0"/>
    <m/>
    <m/>
    <x v="1"/>
    <x v="0"/>
    <m/>
    <n v="42700"/>
    <m/>
  </r>
  <r>
    <x v="193"/>
    <x v="4"/>
    <s v="네이버 쇼핑검색"/>
    <x v="0"/>
    <m/>
    <m/>
    <x v="1"/>
    <x v="0"/>
    <m/>
    <n v="33000"/>
    <m/>
  </r>
  <r>
    <x v="194"/>
    <x v="0"/>
    <s v="네이버 쇼핑검색"/>
    <x v="0"/>
    <m/>
    <m/>
    <x v="1"/>
    <x v="0"/>
    <m/>
    <n v="38450"/>
    <m/>
  </r>
  <r>
    <x v="195"/>
    <x v="1"/>
    <s v="네이버 쇼핑검색"/>
    <x v="0"/>
    <m/>
    <m/>
    <x v="1"/>
    <x v="0"/>
    <m/>
    <n v="35250"/>
    <m/>
  </r>
  <r>
    <x v="196"/>
    <x v="5"/>
    <s v="네이버 쇼핑검색"/>
    <x v="0"/>
    <m/>
    <m/>
    <x v="1"/>
    <x v="0"/>
    <m/>
    <n v="52359.99999999999"/>
    <m/>
  </r>
  <r>
    <x v="197"/>
    <x v="6"/>
    <s v="네이버 쇼핑검색"/>
    <x v="0"/>
    <m/>
    <m/>
    <x v="1"/>
    <x v="0"/>
    <m/>
    <n v="48269.99999999999"/>
    <m/>
  </r>
  <r>
    <x v="198"/>
    <x v="2"/>
    <s v="네이버 쇼핑검색"/>
    <x v="0"/>
    <m/>
    <m/>
    <x v="1"/>
    <x v="0"/>
    <m/>
    <n v="50669.99999999999"/>
    <m/>
  </r>
  <r>
    <x v="199"/>
    <x v="3"/>
    <s v="네이버 쇼핑검색"/>
    <x v="0"/>
    <m/>
    <m/>
    <x v="1"/>
    <x v="0"/>
    <m/>
    <n v="66140"/>
    <m/>
  </r>
  <r>
    <x v="200"/>
    <x v="4"/>
    <s v="네이버 쇼핑검색"/>
    <x v="0"/>
    <m/>
    <m/>
    <x v="1"/>
    <x v="0"/>
    <m/>
    <n v="63049.99999999999"/>
    <m/>
  </r>
  <r>
    <x v="201"/>
    <x v="0"/>
    <s v="네이버 쇼핑검색"/>
    <x v="0"/>
    <m/>
    <m/>
    <x v="1"/>
    <x v="0"/>
    <m/>
    <n v="60979.99999999999"/>
    <m/>
  </r>
  <r>
    <x v="202"/>
    <x v="1"/>
    <s v="네이버 쇼핑검색"/>
    <x v="0"/>
    <m/>
    <m/>
    <x v="1"/>
    <x v="0"/>
    <m/>
    <n v="68000"/>
    <m/>
  </r>
  <r>
    <x v="203"/>
    <x v="5"/>
    <s v="네이버 쇼핑검색"/>
    <x v="0"/>
    <m/>
    <m/>
    <x v="1"/>
    <x v="0"/>
    <m/>
    <n v="70450"/>
    <m/>
  </r>
  <r>
    <x v="204"/>
    <x v="6"/>
    <s v="네이버 쇼핑검색"/>
    <x v="0"/>
    <m/>
    <m/>
    <x v="1"/>
    <x v="0"/>
    <m/>
    <n v="59889.99999999999"/>
    <m/>
  </r>
  <r>
    <x v="205"/>
    <x v="2"/>
    <s v="네이버 쇼핑검색"/>
    <x v="0"/>
    <m/>
    <m/>
    <x v="1"/>
    <x v="0"/>
    <m/>
    <n v="27470"/>
    <m/>
  </r>
  <r>
    <x v="206"/>
    <x v="3"/>
    <s v="네이버 쇼핑검색"/>
    <x v="0"/>
    <m/>
    <m/>
    <x v="1"/>
    <x v="0"/>
    <m/>
    <n v="14630"/>
    <m/>
  </r>
  <r>
    <x v="207"/>
    <x v="4"/>
    <s v="네이버 쇼핑검색"/>
    <x v="0"/>
    <m/>
    <m/>
    <x v="1"/>
    <x v="0"/>
    <m/>
    <n v="14700"/>
    <m/>
  </r>
  <r>
    <x v="208"/>
    <x v="0"/>
    <s v="네이버 쇼핑검색"/>
    <x v="0"/>
    <m/>
    <m/>
    <x v="1"/>
    <x v="0"/>
    <m/>
    <n v="16750"/>
    <m/>
  </r>
  <r>
    <x v="209"/>
    <x v="1"/>
    <s v="네이버 쇼핑검색"/>
    <x v="0"/>
    <m/>
    <m/>
    <x v="1"/>
    <x v="0"/>
    <m/>
    <n v="16250"/>
    <m/>
  </r>
  <r>
    <x v="210"/>
    <x v="5"/>
    <s v="네이버 쇼핑검색"/>
    <x v="0"/>
    <m/>
    <m/>
    <x v="1"/>
    <x v="0"/>
    <m/>
    <n v="26560"/>
    <m/>
  </r>
  <r>
    <x v="211"/>
    <x v="6"/>
    <s v="네이버 쇼핑검색"/>
    <x v="0"/>
    <m/>
    <m/>
    <x v="1"/>
    <x v="0"/>
    <m/>
    <n v="13670"/>
    <m/>
  </r>
  <r>
    <x v="212"/>
    <x v="2"/>
    <s v="네이버 쇼핑검색"/>
    <x v="0"/>
    <m/>
    <m/>
    <x v="1"/>
    <x v="0"/>
    <m/>
    <n v="9240"/>
    <m/>
  </r>
  <r>
    <x v="213"/>
    <x v="3"/>
    <s v="네이버 쇼핑검색"/>
    <x v="0"/>
    <m/>
    <m/>
    <x v="1"/>
    <x v="0"/>
    <m/>
    <n v="13410"/>
    <m/>
  </r>
  <r>
    <x v="214"/>
    <x v="4"/>
    <s v="네이버 쇼핑검색"/>
    <x v="0"/>
    <m/>
    <m/>
    <x v="1"/>
    <x v="0"/>
    <m/>
    <n v="10620"/>
    <m/>
  </r>
  <r>
    <x v="215"/>
    <x v="0"/>
    <s v="네이버 쇼핑검색"/>
    <x v="0"/>
    <m/>
    <m/>
    <x v="1"/>
    <x v="0"/>
    <m/>
    <n v="25060"/>
    <m/>
  </r>
  <r>
    <x v="216"/>
    <x v="1"/>
    <s v="네이버 쇼핑검색"/>
    <x v="0"/>
    <m/>
    <m/>
    <x v="1"/>
    <x v="0"/>
    <m/>
    <n v="32280"/>
    <m/>
  </r>
  <r>
    <x v="217"/>
    <x v="5"/>
    <s v="네이버 쇼핑검색"/>
    <x v="0"/>
    <m/>
    <m/>
    <x v="1"/>
    <x v="0"/>
    <m/>
    <n v="32090"/>
    <m/>
  </r>
  <r>
    <x v="218"/>
    <x v="6"/>
    <s v="네이버 쇼핑검색"/>
    <x v="0"/>
    <m/>
    <m/>
    <x v="1"/>
    <x v="0"/>
    <m/>
    <n v="28870"/>
    <m/>
  </r>
  <r>
    <x v="219"/>
    <x v="2"/>
    <s v="네이버 쇼핑검색"/>
    <x v="0"/>
    <m/>
    <m/>
    <x v="1"/>
    <x v="0"/>
    <m/>
    <n v="24800"/>
    <m/>
  </r>
  <r>
    <x v="220"/>
    <x v="3"/>
    <s v="네이버 쇼핑검색"/>
    <x v="0"/>
    <m/>
    <m/>
    <x v="1"/>
    <x v="0"/>
    <m/>
    <n v="30510"/>
    <m/>
  </r>
  <r>
    <x v="221"/>
    <x v="4"/>
    <s v="네이버 쇼핑검색"/>
    <x v="0"/>
    <m/>
    <m/>
    <x v="1"/>
    <x v="0"/>
    <m/>
    <n v="25410"/>
    <m/>
  </r>
  <r>
    <x v="222"/>
    <x v="0"/>
    <s v="네이버 쇼핑검색"/>
    <x v="0"/>
    <m/>
    <m/>
    <x v="1"/>
    <x v="0"/>
    <m/>
    <n v="31670"/>
    <m/>
  </r>
  <r>
    <x v="223"/>
    <x v="1"/>
    <s v="네이버 쇼핑검색"/>
    <x v="0"/>
    <m/>
    <m/>
    <x v="1"/>
    <x v="0"/>
    <m/>
    <n v="31490"/>
    <m/>
  </r>
  <r>
    <x v="224"/>
    <x v="5"/>
    <s v="네이버 쇼핑검색"/>
    <x v="0"/>
    <m/>
    <m/>
    <x v="1"/>
    <x v="0"/>
    <m/>
    <n v="32720"/>
    <m/>
  </r>
  <r>
    <x v="225"/>
    <x v="6"/>
    <s v="네이버 쇼핑검색"/>
    <x v="0"/>
    <m/>
    <m/>
    <x v="1"/>
    <x v="0"/>
    <m/>
    <n v="80300"/>
    <m/>
  </r>
  <r>
    <x v="226"/>
    <x v="2"/>
    <s v="네이버 쇼핑검색"/>
    <x v="0"/>
    <m/>
    <m/>
    <x v="1"/>
    <x v="0"/>
    <m/>
    <n v="119700"/>
    <m/>
  </r>
  <r>
    <x v="227"/>
    <x v="3"/>
    <s v="네이버 쇼핑검색"/>
    <x v="0"/>
    <m/>
    <m/>
    <x v="1"/>
    <x v="0"/>
    <m/>
    <n v="56279.99999999999"/>
    <m/>
  </r>
  <r>
    <x v="228"/>
    <x v="4"/>
    <s v="네이버 쇼핑검색"/>
    <x v="0"/>
    <m/>
    <m/>
    <x v="1"/>
    <x v="0"/>
    <m/>
    <n v="31650"/>
    <m/>
  </r>
  <r>
    <x v="229"/>
    <x v="0"/>
    <s v="네이버 쇼핑검색"/>
    <x v="0"/>
    <m/>
    <m/>
    <x v="1"/>
    <x v="0"/>
    <m/>
    <n v="31740"/>
    <m/>
  </r>
  <r>
    <x v="230"/>
    <x v="1"/>
    <s v="네이버 쇼핑검색"/>
    <x v="0"/>
    <m/>
    <m/>
    <x v="1"/>
    <x v="0"/>
    <m/>
    <n v="31930"/>
    <m/>
  </r>
  <r>
    <x v="231"/>
    <x v="5"/>
    <s v="네이버 쇼핑검색"/>
    <x v="0"/>
    <m/>
    <m/>
    <x v="1"/>
    <x v="0"/>
    <m/>
    <n v="32040"/>
    <m/>
  </r>
  <r>
    <x v="232"/>
    <x v="6"/>
    <s v="네이버 쇼핑검색"/>
    <x v="0"/>
    <m/>
    <m/>
    <x v="1"/>
    <x v="0"/>
    <m/>
    <n v="32530"/>
    <m/>
  </r>
  <r>
    <x v="233"/>
    <x v="2"/>
    <s v="네이버 쇼핑검색"/>
    <x v="0"/>
    <m/>
    <m/>
    <x v="1"/>
    <x v="0"/>
    <m/>
    <n v="31550"/>
    <m/>
  </r>
  <r>
    <x v="234"/>
    <x v="3"/>
    <s v="네이버 쇼핑검색"/>
    <x v="0"/>
    <m/>
    <m/>
    <x v="1"/>
    <x v="0"/>
    <m/>
    <n v="31770"/>
    <m/>
  </r>
  <r>
    <x v="235"/>
    <x v="4"/>
    <s v="네이버 쇼핑검색"/>
    <x v="0"/>
    <m/>
    <m/>
    <x v="1"/>
    <x v="0"/>
    <m/>
    <n v="31760"/>
    <m/>
  </r>
  <r>
    <x v="236"/>
    <x v="0"/>
    <s v="네이버 쇼핑검색"/>
    <x v="0"/>
    <m/>
    <m/>
    <x v="1"/>
    <x v="0"/>
    <m/>
    <n v="31600"/>
    <m/>
  </r>
  <r>
    <x v="237"/>
    <x v="1"/>
    <s v="네이버 쇼핑검색"/>
    <x v="0"/>
    <m/>
    <m/>
    <x v="1"/>
    <x v="0"/>
    <m/>
    <n v="31980"/>
    <m/>
  </r>
  <r>
    <x v="238"/>
    <x v="5"/>
    <s v="네이버 쇼핑검색"/>
    <x v="0"/>
    <m/>
    <m/>
    <x v="1"/>
    <x v="0"/>
    <m/>
    <n v="32020"/>
    <m/>
  </r>
  <r>
    <x v="239"/>
    <x v="6"/>
    <s v="네이버 쇼핑검색"/>
    <x v="0"/>
    <m/>
    <m/>
    <x v="1"/>
    <x v="0"/>
    <m/>
    <n v="31450"/>
    <m/>
  </r>
  <r>
    <x v="240"/>
    <x v="2"/>
    <s v="네이버 쇼핑검색"/>
    <x v="0"/>
    <m/>
    <m/>
    <x v="1"/>
    <x v="0"/>
    <m/>
    <n v="31700"/>
    <m/>
  </r>
  <r>
    <x v="241"/>
    <x v="3"/>
    <s v="네이버 쇼핑검색"/>
    <x v="0"/>
    <m/>
    <m/>
    <x v="1"/>
    <x v="0"/>
    <m/>
    <n v="31760"/>
    <m/>
  </r>
  <r>
    <x v="242"/>
    <x v="4"/>
    <s v="네이버 쇼핑검색"/>
    <x v="0"/>
    <m/>
    <m/>
    <x v="1"/>
    <x v="0"/>
    <m/>
    <n v="31700"/>
    <m/>
  </r>
  <r>
    <x v="243"/>
    <x v="0"/>
    <s v="네이버 쇼핑검색"/>
    <x v="0"/>
    <m/>
    <m/>
    <x v="1"/>
    <x v="0"/>
    <m/>
    <n v="32120"/>
    <m/>
  </r>
  <r>
    <x v="244"/>
    <x v="1"/>
    <s v="네이버 쇼핑검색"/>
    <x v="0"/>
    <m/>
    <m/>
    <x v="1"/>
    <x v="0"/>
    <m/>
    <n v="32110"/>
    <m/>
  </r>
  <r>
    <x v="245"/>
    <x v="5"/>
    <s v="네이버 쇼핑검색"/>
    <x v="0"/>
    <m/>
    <m/>
    <x v="1"/>
    <x v="0"/>
    <m/>
    <n v="32400"/>
    <m/>
  </r>
  <r>
    <x v="246"/>
    <x v="6"/>
    <s v="네이버 쇼핑검색"/>
    <x v="0"/>
    <m/>
    <m/>
    <x v="1"/>
    <x v="0"/>
    <m/>
    <n v="31560"/>
    <m/>
  </r>
  <r>
    <x v="247"/>
    <x v="2"/>
    <s v="네이버 쇼핑검색"/>
    <x v="0"/>
    <m/>
    <m/>
    <x v="1"/>
    <x v="0"/>
    <m/>
    <n v="31510"/>
    <m/>
  </r>
  <r>
    <x v="248"/>
    <x v="3"/>
    <s v="네이버 쇼핑검색"/>
    <x v="0"/>
    <m/>
    <m/>
    <x v="1"/>
    <x v="0"/>
    <m/>
    <n v="31860"/>
    <m/>
  </r>
  <r>
    <x v="249"/>
    <x v="4"/>
    <s v="네이버 쇼핑검색"/>
    <x v="0"/>
    <m/>
    <m/>
    <x v="1"/>
    <x v="0"/>
    <m/>
    <n v="32190"/>
    <m/>
  </r>
  <r>
    <x v="250"/>
    <x v="0"/>
    <s v="네이버 쇼핑검색"/>
    <x v="0"/>
    <m/>
    <m/>
    <x v="1"/>
    <x v="0"/>
    <m/>
    <n v="31590"/>
    <m/>
  </r>
  <r>
    <x v="251"/>
    <x v="1"/>
    <s v="네이버 쇼핑검색"/>
    <x v="0"/>
    <m/>
    <m/>
    <x v="1"/>
    <x v="0"/>
    <m/>
    <n v="31530"/>
    <m/>
  </r>
  <r>
    <x v="252"/>
    <x v="5"/>
    <s v="네이버 쇼핑검색"/>
    <x v="0"/>
    <m/>
    <m/>
    <x v="1"/>
    <x v="0"/>
    <m/>
    <n v="31600"/>
    <m/>
  </r>
  <r>
    <x v="253"/>
    <x v="6"/>
    <s v="네이버 쇼핑검색"/>
    <x v="0"/>
    <m/>
    <m/>
    <x v="1"/>
    <x v="0"/>
    <m/>
    <n v="31660"/>
    <m/>
  </r>
  <r>
    <x v="254"/>
    <x v="2"/>
    <s v="네이버 쇼핑검색"/>
    <x v="0"/>
    <m/>
    <m/>
    <x v="1"/>
    <x v="0"/>
    <m/>
    <n v="31860"/>
    <m/>
  </r>
  <r>
    <x v="255"/>
    <x v="3"/>
    <s v="네이버 쇼핑검색"/>
    <x v="0"/>
    <m/>
    <m/>
    <x v="1"/>
    <x v="0"/>
    <m/>
    <n v="31930"/>
    <m/>
  </r>
  <r>
    <x v="256"/>
    <x v="4"/>
    <s v="네이버 쇼핑검색"/>
    <x v="0"/>
    <m/>
    <m/>
    <x v="1"/>
    <x v="0"/>
    <m/>
    <n v="32080"/>
    <m/>
  </r>
  <r>
    <x v="257"/>
    <x v="0"/>
    <s v="네이버 쇼핑검색"/>
    <x v="0"/>
    <m/>
    <m/>
    <x v="1"/>
    <x v="0"/>
    <m/>
    <n v="31930"/>
    <m/>
  </r>
  <r>
    <x v="258"/>
    <x v="1"/>
    <s v="네이버 쇼핑검색"/>
    <x v="0"/>
    <m/>
    <m/>
    <x v="1"/>
    <x v="0"/>
    <m/>
    <n v="32210"/>
    <m/>
  </r>
  <r>
    <x v="259"/>
    <x v="5"/>
    <s v="네이버 쇼핑검색"/>
    <x v="0"/>
    <m/>
    <m/>
    <x v="1"/>
    <x v="0"/>
    <m/>
    <n v="32780"/>
    <m/>
  </r>
  <r>
    <x v="260"/>
    <x v="6"/>
    <s v="네이버 쇼핑검색"/>
    <x v="0"/>
    <m/>
    <m/>
    <x v="1"/>
    <x v="0"/>
    <m/>
    <n v="31650"/>
    <m/>
  </r>
  <r>
    <x v="261"/>
    <x v="2"/>
    <s v="네이버 쇼핑검색"/>
    <x v="0"/>
    <m/>
    <m/>
    <x v="1"/>
    <x v="0"/>
    <m/>
    <n v="31580"/>
    <m/>
  </r>
  <r>
    <x v="58"/>
    <x v="2"/>
    <s v="네이버 파워링크"/>
    <x v="0"/>
    <m/>
    <m/>
    <x v="1"/>
    <x v="0"/>
    <m/>
    <n v="140"/>
    <m/>
  </r>
  <r>
    <x v="59"/>
    <x v="3"/>
    <s v="네이버 파워링크"/>
    <x v="0"/>
    <m/>
    <m/>
    <x v="1"/>
    <x v="0"/>
    <m/>
    <n v="70"/>
    <m/>
  </r>
  <r>
    <x v="60"/>
    <x v="4"/>
    <s v="네이버 파워링크"/>
    <x v="0"/>
    <m/>
    <m/>
    <x v="1"/>
    <x v="0"/>
    <m/>
    <n v="140"/>
    <m/>
  </r>
  <r>
    <x v="61"/>
    <x v="0"/>
    <s v="네이버 파워링크"/>
    <x v="0"/>
    <m/>
    <m/>
    <x v="1"/>
    <x v="0"/>
    <m/>
    <n v="140"/>
    <m/>
  </r>
  <r>
    <x v="62"/>
    <x v="1"/>
    <s v="네이버 파워링크"/>
    <x v="0"/>
    <m/>
    <m/>
    <x v="1"/>
    <x v="0"/>
    <m/>
    <n v="0"/>
    <m/>
  </r>
  <r>
    <x v="63"/>
    <x v="5"/>
    <s v="네이버 파워링크"/>
    <x v="0"/>
    <m/>
    <m/>
    <x v="1"/>
    <x v="0"/>
    <m/>
    <n v="70"/>
    <m/>
  </r>
  <r>
    <x v="64"/>
    <x v="6"/>
    <s v="네이버 파워링크"/>
    <x v="0"/>
    <m/>
    <m/>
    <x v="1"/>
    <x v="0"/>
    <m/>
    <n v="70"/>
    <m/>
  </r>
  <r>
    <x v="65"/>
    <x v="2"/>
    <s v="네이버 파워링크"/>
    <x v="0"/>
    <m/>
    <m/>
    <x v="1"/>
    <x v="0"/>
    <m/>
    <n v="70"/>
    <m/>
  </r>
  <r>
    <x v="66"/>
    <x v="3"/>
    <s v="네이버 파워링크"/>
    <x v="0"/>
    <m/>
    <m/>
    <x v="1"/>
    <x v="0"/>
    <m/>
    <n v="0"/>
    <m/>
  </r>
  <r>
    <x v="67"/>
    <x v="4"/>
    <s v="네이버 파워링크"/>
    <x v="0"/>
    <m/>
    <m/>
    <x v="1"/>
    <x v="0"/>
    <m/>
    <n v="140"/>
    <m/>
  </r>
  <r>
    <x v="68"/>
    <x v="0"/>
    <s v="네이버 파워링크"/>
    <x v="0"/>
    <m/>
    <m/>
    <x v="1"/>
    <x v="0"/>
    <m/>
    <n v="0"/>
    <m/>
  </r>
  <r>
    <x v="69"/>
    <x v="1"/>
    <s v="네이버 파워링크"/>
    <x v="0"/>
    <m/>
    <m/>
    <x v="1"/>
    <x v="0"/>
    <m/>
    <n v="0"/>
    <m/>
  </r>
  <r>
    <x v="70"/>
    <x v="5"/>
    <s v="네이버 파워링크"/>
    <x v="0"/>
    <m/>
    <m/>
    <x v="1"/>
    <x v="0"/>
    <m/>
    <n v="70"/>
    <m/>
  </r>
  <r>
    <x v="71"/>
    <x v="6"/>
    <s v="네이버 파워링크"/>
    <x v="0"/>
    <m/>
    <m/>
    <x v="1"/>
    <x v="0"/>
    <m/>
    <n v="70"/>
    <m/>
  </r>
  <r>
    <x v="72"/>
    <x v="2"/>
    <s v="네이버 파워링크"/>
    <x v="0"/>
    <m/>
    <m/>
    <x v="1"/>
    <x v="0"/>
    <m/>
    <n v="0"/>
    <m/>
  </r>
  <r>
    <x v="73"/>
    <x v="3"/>
    <s v="네이버 파워링크"/>
    <x v="0"/>
    <m/>
    <m/>
    <x v="1"/>
    <x v="0"/>
    <m/>
    <n v="70"/>
    <m/>
  </r>
  <r>
    <x v="74"/>
    <x v="4"/>
    <s v="네이버 파워링크"/>
    <x v="0"/>
    <m/>
    <m/>
    <x v="1"/>
    <x v="0"/>
    <m/>
    <n v="70"/>
    <m/>
  </r>
  <r>
    <x v="75"/>
    <x v="0"/>
    <s v="네이버 파워링크"/>
    <x v="0"/>
    <m/>
    <m/>
    <x v="1"/>
    <x v="0"/>
    <m/>
    <n v="70"/>
    <m/>
  </r>
  <r>
    <x v="76"/>
    <x v="1"/>
    <s v="네이버 파워링크"/>
    <x v="0"/>
    <m/>
    <m/>
    <x v="1"/>
    <x v="0"/>
    <m/>
    <n v="0"/>
    <m/>
  </r>
  <r>
    <x v="77"/>
    <x v="5"/>
    <s v="네이버 파워링크"/>
    <x v="0"/>
    <m/>
    <m/>
    <x v="1"/>
    <x v="0"/>
    <m/>
    <n v="140"/>
    <m/>
  </r>
  <r>
    <x v="78"/>
    <x v="6"/>
    <s v="네이버 파워링크"/>
    <x v="0"/>
    <m/>
    <m/>
    <x v="1"/>
    <x v="0"/>
    <m/>
    <n v="0"/>
    <m/>
  </r>
  <r>
    <x v="79"/>
    <x v="2"/>
    <s v="네이버 파워링크"/>
    <x v="0"/>
    <m/>
    <m/>
    <x v="1"/>
    <x v="0"/>
    <m/>
    <n v="210"/>
    <m/>
  </r>
  <r>
    <x v="80"/>
    <x v="3"/>
    <s v="네이버 파워링크"/>
    <x v="0"/>
    <m/>
    <m/>
    <x v="1"/>
    <x v="0"/>
    <m/>
    <n v="0"/>
    <m/>
  </r>
  <r>
    <x v="81"/>
    <x v="4"/>
    <s v="네이버 파워링크"/>
    <x v="0"/>
    <m/>
    <m/>
    <x v="1"/>
    <x v="0"/>
    <m/>
    <n v="0"/>
    <m/>
  </r>
  <r>
    <x v="82"/>
    <x v="0"/>
    <s v="네이버 파워링크"/>
    <x v="0"/>
    <m/>
    <m/>
    <x v="1"/>
    <x v="0"/>
    <m/>
    <n v="140"/>
    <m/>
  </r>
  <r>
    <x v="83"/>
    <x v="1"/>
    <s v="네이버 파워링크"/>
    <x v="0"/>
    <m/>
    <m/>
    <x v="1"/>
    <x v="0"/>
    <m/>
    <n v="0"/>
    <m/>
  </r>
  <r>
    <x v="84"/>
    <x v="5"/>
    <s v="네이버 파워링크"/>
    <x v="0"/>
    <m/>
    <m/>
    <x v="1"/>
    <x v="0"/>
    <m/>
    <n v="0"/>
    <m/>
  </r>
  <r>
    <x v="85"/>
    <x v="6"/>
    <s v="네이버 파워링크"/>
    <x v="0"/>
    <m/>
    <m/>
    <x v="1"/>
    <x v="0"/>
    <m/>
    <n v="0"/>
    <m/>
  </r>
  <r>
    <x v="86"/>
    <x v="2"/>
    <s v="네이버 파워링크"/>
    <x v="0"/>
    <m/>
    <m/>
    <x v="1"/>
    <x v="0"/>
    <m/>
    <n v="210"/>
    <m/>
  </r>
  <r>
    <x v="87"/>
    <x v="3"/>
    <s v="네이버 파워링크"/>
    <x v="0"/>
    <m/>
    <m/>
    <x v="1"/>
    <x v="0"/>
    <m/>
    <n v="70"/>
    <m/>
  </r>
  <r>
    <x v="88"/>
    <x v="4"/>
    <s v="네이버 파워링크"/>
    <x v="0"/>
    <m/>
    <m/>
    <x v="1"/>
    <x v="0"/>
    <m/>
    <n v="70"/>
    <m/>
  </r>
  <r>
    <x v="89"/>
    <x v="0"/>
    <s v="네이버 파워링크"/>
    <x v="0"/>
    <m/>
    <m/>
    <x v="1"/>
    <x v="0"/>
    <m/>
    <n v="0"/>
    <m/>
  </r>
  <r>
    <x v="90"/>
    <x v="1"/>
    <s v="네이버 파워링크"/>
    <x v="0"/>
    <m/>
    <m/>
    <x v="1"/>
    <x v="0"/>
    <m/>
    <n v="70"/>
    <m/>
  </r>
  <r>
    <x v="91"/>
    <x v="5"/>
    <s v="네이버 파워링크"/>
    <x v="0"/>
    <m/>
    <m/>
    <x v="1"/>
    <x v="0"/>
    <m/>
    <n v="0"/>
    <m/>
  </r>
  <r>
    <x v="92"/>
    <x v="6"/>
    <s v="네이버 파워링크"/>
    <x v="0"/>
    <m/>
    <m/>
    <x v="1"/>
    <x v="0"/>
    <m/>
    <n v="70"/>
    <m/>
  </r>
  <r>
    <x v="93"/>
    <x v="2"/>
    <s v="네이버 파워링크"/>
    <x v="0"/>
    <m/>
    <m/>
    <x v="1"/>
    <x v="0"/>
    <m/>
    <n v="0"/>
    <m/>
  </r>
  <r>
    <x v="94"/>
    <x v="3"/>
    <s v="네이버 파워링크"/>
    <x v="0"/>
    <m/>
    <m/>
    <x v="1"/>
    <x v="0"/>
    <m/>
    <n v="0"/>
    <m/>
  </r>
  <r>
    <x v="95"/>
    <x v="4"/>
    <s v="네이버 파워링크"/>
    <x v="0"/>
    <m/>
    <m/>
    <x v="1"/>
    <x v="0"/>
    <m/>
    <n v="0"/>
    <m/>
  </r>
  <r>
    <x v="96"/>
    <x v="0"/>
    <s v="네이버 파워링크"/>
    <x v="0"/>
    <m/>
    <m/>
    <x v="1"/>
    <x v="0"/>
    <m/>
    <n v="210"/>
    <m/>
  </r>
  <r>
    <x v="97"/>
    <x v="1"/>
    <s v="네이버 파워링크"/>
    <x v="0"/>
    <m/>
    <m/>
    <x v="1"/>
    <x v="0"/>
    <m/>
    <n v="70"/>
    <m/>
  </r>
  <r>
    <x v="98"/>
    <x v="5"/>
    <s v="네이버 파워링크"/>
    <x v="0"/>
    <m/>
    <m/>
    <x v="1"/>
    <x v="0"/>
    <m/>
    <n v="70"/>
    <m/>
  </r>
  <r>
    <x v="99"/>
    <x v="6"/>
    <s v="네이버 파워링크"/>
    <x v="0"/>
    <m/>
    <m/>
    <x v="1"/>
    <x v="0"/>
    <m/>
    <n v="0"/>
    <m/>
  </r>
  <r>
    <x v="100"/>
    <x v="2"/>
    <s v="네이버 파워링크"/>
    <x v="0"/>
    <m/>
    <m/>
    <x v="1"/>
    <x v="0"/>
    <m/>
    <n v="210"/>
    <m/>
  </r>
  <r>
    <x v="101"/>
    <x v="3"/>
    <s v="네이버 파워링크"/>
    <x v="0"/>
    <m/>
    <m/>
    <x v="1"/>
    <x v="0"/>
    <m/>
    <n v="70"/>
    <m/>
  </r>
  <r>
    <x v="102"/>
    <x v="4"/>
    <s v="네이버 파워링크"/>
    <x v="0"/>
    <m/>
    <m/>
    <x v="1"/>
    <x v="0"/>
    <m/>
    <n v="70"/>
    <m/>
  </r>
  <r>
    <x v="103"/>
    <x v="0"/>
    <s v="네이버 파워링크"/>
    <x v="0"/>
    <m/>
    <m/>
    <x v="1"/>
    <x v="0"/>
    <m/>
    <n v="0"/>
    <m/>
  </r>
  <r>
    <x v="104"/>
    <x v="1"/>
    <s v="네이버 파워링크"/>
    <x v="0"/>
    <m/>
    <m/>
    <x v="1"/>
    <x v="0"/>
    <m/>
    <n v="140"/>
    <m/>
  </r>
  <r>
    <x v="105"/>
    <x v="5"/>
    <s v="네이버 파워링크"/>
    <x v="0"/>
    <m/>
    <m/>
    <x v="1"/>
    <x v="0"/>
    <m/>
    <n v="70"/>
    <m/>
  </r>
  <r>
    <x v="106"/>
    <x v="6"/>
    <s v="네이버 파워링크"/>
    <x v="0"/>
    <m/>
    <m/>
    <x v="1"/>
    <x v="0"/>
    <m/>
    <n v="0"/>
    <m/>
  </r>
  <r>
    <x v="107"/>
    <x v="2"/>
    <s v="네이버 파워링크"/>
    <x v="0"/>
    <m/>
    <m/>
    <x v="1"/>
    <x v="0"/>
    <m/>
    <n v="0"/>
    <m/>
  </r>
  <r>
    <x v="108"/>
    <x v="3"/>
    <s v="네이버 파워링크"/>
    <x v="0"/>
    <m/>
    <m/>
    <x v="1"/>
    <x v="0"/>
    <m/>
    <n v="70"/>
    <m/>
  </r>
  <r>
    <x v="109"/>
    <x v="4"/>
    <s v="네이버 파워링크"/>
    <x v="0"/>
    <m/>
    <m/>
    <x v="1"/>
    <x v="0"/>
    <m/>
    <n v="70"/>
    <m/>
  </r>
  <r>
    <x v="110"/>
    <x v="0"/>
    <s v="네이버 파워링크"/>
    <x v="0"/>
    <m/>
    <m/>
    <x v="1"/>
    <x v="0"/>
    <m/>
    <n v="0"/>
    <m/>
  </r>
  <r>
    <x v="111"/>
    <x v="1"/>
    <s v="네이버 파워링크"/>
    <x v="0"/>
    <m/>
    <m/>
    <x v="1"/>
    <x v="0"/>
    <m/>
    <n v="140"/>
    <m/>
  </r>
  <r>
    <x v="112"/>
    <x v="5"/>
    <s v="네이버 파워링크"/>
    <x v="0"/>
    <m/>
    <m/>
    <x v="1"/>
    <x v="0"/>
    <m/>
    <n v="140"/>
    <m/>
  </r>
  <r>
    <x v="113"/>
    <x v="6"/>
    <s v="네이버 파워링크"/>
    <x v="0"/>
    <m/>
    <m/>
    <x v="1"/>
    <x v="0"/>
    <m/>
    <n v="0"/>
    <m/>
  </r>
  <r>
    <x v="114"/>
    <x v="2"/>
    <s v="네이버 파워링크"/>
    <x v="0"/>
    <m/>
    <m/>
    <x v="1"/>
    <x v="0"/>
    <m/>
    <n v="70"/>
    <m/>
  </r>
  <r>
    <x v="115"/>
    <x v="3"/>
    <s v="네이버 파워링크"/>
    <x v="0"/>
    <m/>
    <m/>
    <x v="1"/>
    <x v="0"/>
    <m/>
    <n v="0"/>
    <m/>
  </r>
  <r>
    <x v="116"/>
    <x v="4"/>
    <s v="네이버 파워링크"/>
    <x v="0"/>
    <m/>
    <m/>
    <x v="1"/>
    <x v="0"/>
    <m/>
    <n v="70"/>
    <m/>
  </r>
  <r>
    <x v="117"/>
    <x v="0"/>
    <s v="네이버 파워링크"/>
    <x v="0"/>
    <m/>
    <m/>
    <x v="1"/>
    <x v="0"/>
    <m/>
    <n v="70"/>
    <m/>
  </r>
  <r>
    <x v="118"/>
    <x v="1"/>
    <s v="네이버 파워링크"/>
    <x v="0"/>
    <m/>
    <m/>
    <x v="1"/>
    <x v="0"/>
    <m/>
    <n v="140"/>
    <m/>
  </r>
  <r>
    <x v="119"/>
    <x v="5"/>
    <s v="네이버 파워링크"/>
    <x v="0"/>
    <m/>
    <m/>
    <x v="1"/>
    <x v="0"/>
    <m/>
    <n v="70"/>
    <m/>
  </r>
  <r>
    <x v="120"/>
    <x v="6"/>
    <s v="네이버 파워링크"/>
    <x v="0"/>
    <m/>
    <m/>
    <x v="1"/>
    <x v="0"/>
    <m/>
    <n v="70"/>
    <m/>
  </r>
  <r>
    <x v="121"/>
    <x v="2"/>
    <s v="네이버 파워링크"/>
    <x v="0"/>
    <m/>
    <m/>
    <x v="1"/>
    <x v="0"/>
    <m/>
    <n v="70"/>
    <m/>
  </r>
  <r>
    <x v="122"/>
    <x v="3"/>
    <s v="네이버 파워링크"/>
    <x v="0"/>
    <m/>
    <m/>
    <x v="1"/>
    <x v="0"/>
    <m/>
    <n v="140"/>
    <m/>
  </r>
  <r>
    <x v="123"/>
    <x v="4"/>
    <s v="네이버 파워링크"/>
    <x v="0"/>
    <m/>
    <m/>
    <x v="1"/>
    <x v="0"/>
    <m/>
    <n v="0"/>
    <m/>
  </r>
  <r>
    <x v="124"/>
    <x v="0"/>
    <s v="네이버 파워링크"/>
    <x v="0"/>
    <m/>
    <m/>
    <x v="1"/>
    <x v="0"/>
    <m/>
    <n v="0"/>
    <m/>
  </r>
  <r>
    <x v="125"/>
    <x v="1"/>
    <s v="네이버 파워링크"/>
    <x v="0"/>
    <m/>
    <m/>
    <x v="1"/>
    <x v="0"/>
    <m/>
    <n v="70"/>
    <m/>
  </r>
  <r>
    <x v="126"/>
    <x v="5"/>
    <s v="네이버 파워링크"/>
    <x v="0"/>
    <m/>
    <m/>
    <x v="1"/>
    <x v="0"/>
    <m/>
    <n v="0"/>
    <m/>
  </r>
  <r>
    <x v="127"/>
    <x v="6"/>
    <s v="네이버 파워링크"/>
    <x v="0"/>
    <m/>
    <m/>
    <x v="1"/>
    <x v="0"/>
    <m/>
    <n v="140"/>
    <m/>
  </r>
  <r>
    <x v="128"/>
    <x v="2"/>
    <s v="네이버 파워링크"/>
    <x v="0"/>
    <m/>
    <m/>
    <x v="1"/>
    <x v="0"/>
    <m/>
    <n v="0"/>
    <m/>
  </r>
  <r>
    <x v="129"/>
    <x v="3"/>
    <s v="네이버 파워링크"/>
    <x v="0"/>
    <m/>
    <m/>
    <x v="1"/>
    <x v="0"/>
    <m/>
    <n v="140"/>
    <m/>
  </r>
  <r>
    <x v="130"/>
    <x v="4"/>
    <s v="네이버 파워링크"/>
    <x v="0"/>
    <m/>
    <m/>
    <x v="1"/>
    <x v="0"/>
    <m/>
    <n v="0"/>
    <m/>
  </r>
  <r>
    <x v="131"/>
    <x v="0"/>
    <s v="네이버 파워링크"/>
    <x v="0"/>
    <m/>
    <m/>
    <x v="1"/>
    <x v="0"/>
    <m/>
    <n v="0"/>
    <m/>
  </r>
  <r>
    <x v="132"/>
    <x v="1"/>
    <s v="네이버 파워링크"/>
    <x v="0"/>
    <m/>
    <m/>
    <x v="1"/>
    <x v="0"/>
    <m/>
    <n v="140"/>
    <m/>
  </r>
  <r>
    <x v="133"/>
    <x v="5"/>
    <s v="네이버 파워링크"/>
    <x v="0"/>
    <m/>
    <m/>
    <x v="1"/>
    <x v="0"/>
    <m/>
    <n v="3690"/>
    <m/>
  </r>
  <r>
    <x v="134"/>
    <x v="6"/>
    <s v="네이버 파워링크"/>
    <x v="0"/>
    <m/>
    <m/>
    <x v="1"/>
    <x v="0"/>
    <m/>
    <n v="13340"/>
    <m/>
  </r>
  <r>
    <x v="135"/>
    <x v="2"/>
    <s v="네이버 파워링크"/>
    <x v="0"/>
    <m/>
    <m/>
    <x v="1"/>
    <x v="0"/>
    <m/>
    <n v="740"/>
    <m/>
  </r>
  <r>
    <x v="136"/>
    <x v="3"/>
    <s v="네이버 파워링크"/>
    <x v="0"/>
    <m/>
    <m/>
    <x v="1"/>
    <x v="0"/>
    <m/>
    <n v="0"/>
    <m/>
  </r>
  <r>
    <x v="137"/>
    <x v="4"/>
    <s v="네이버 파워링크"/>
    <x v="0"/>
    <m/>
    <m/>
    <x v="1"/>
    <x v="0"/>
    <m/>
    <n v="0"/>
    <m/>
  </r>
  <r>
    <x v="138"/>
    <x v="0"/>
    <s v="네이버 파워링크"/>
    <x v="0"/>
    <m/>
    <m/>
    <x v="1"/>
    <x v="0"/>
    <m/>
    <n v="0"/>
    <m/>
  </r>
  <r>
    <x v="139"/>
    <x v="1"/>
    <s v="네이버 파워링크"/>
    <x v="0"/>
    <m/>
    <m/>
    <x v="1"/>
    <x v="0"/>
    <m/>
    <n v="0"/>
    <m/>
  </r>
  <r>
    <x v="140"/>
    <x v="5"/>
    <s v="네이버 파워링크"/>
    <x v="0"/>
    <m/>
    <m/>
    <x v="1"/>
    <x v="0"/>
    <m/>
    <n v="0"/>
    <m/>
  </r>
  <r>
    <x v="141"/>
    <x v="6"/>
    <s v="네이버 파워링크"/>
    <x v="0"/>
    <m/>
    <m/>
    <x v="1"/>
    <x v="0"/>
    <m/>
    <n v="0"/>
    <m/>
  </r>
  <r>
    <x v="142"/>
    <x v="2"/>
    <s v="네이버 파워링크"/>
    <x v="0"/>
    <m/>
    <m/>
    <x v="1"/>
    <x v="0"/>
    <m/>
    <n v="0"/>
    <m/>
  </r>
  <r>
    <x v="143"/>
    <x v="3"/>
    <s v="네이버 파워링크"/>
    <x v="0"/>
    <m/>
    <m/>
    <x v="1"/>
    <x v="0"/>
    <m/>
    <n v="4930"/>
    <m/>
  </r>
  <r>
    <x v="144"/>
    <x v="4"/>
    <s v="네이버 파워링크"/>
    <x v="0"/>
    <m/>
    <m/>
    <x v="1"/>
    <x v="0"/>
    <m/>
    <n v="17470"/>
    <m/>
  </r>
  <r>
    <x v="145"/>
    <x v="0"/>
    <s v="네이버 파워링크"/>
    <x v="0"/>
    <m/>
    <m/>
    <x v="1"/>
    <x v="0"/>
    <m/>
    <n v="11880"/>
    <m/>
  </r>
  <r>
    <x v="146"/>
    <x v="1"/>
    <s v="네이버 파워링크"/>
    <x v="0"/>
    <m/>
    <m/>
    <x v="1"/>
    <x v="0"/>
    <m/>
    <n v="11040"/>
    <m/>
  </r>
  <r>
    <x v="147"/>
    <x v="5"/>
    <s v="네이버 파워링크"/>
    <x v="0"/>
    <m/>
    <m/>
    <x v="1"/>
    <x v="0"/>
    <m/>
    <n v="9410"/>
    <m/>
  </r>
  <r>
    <x v="148"/>
    <x v="6"/>
    <s v="네이버 파워링크"/>
    <x v="0"/>
    <m/>
    <m/>
    <x v="1"/>
    <x v="0"/>
    <m/>
    <n v="16380"/>
    <m/>
  </r>
  <r>
    <x v="149"/>
    <x v="2"/>
    <s v="네이버 파워링크"/>
    <x v="0"/>
    <m/>
    <m/>
    <x v="1"/>
    <x v="0"/>
    <m/>
    <n v="9130"/>
    <m/>
  </r>
  <r>
    <x v="150"/>
    <x v="3"/>
    <s v="네이버 파워링크"/>
    <x v="0"/>
    <m/>
    <m/>
    <x v="1"/>
    <x v="0"/>
    <m/>
    <n v="19310"/>
    <m/>
  </r>
  <r>
    <x v="151"/>
    <x v="4"/>
    <s v="네이버 파워링크"/>
    <x v="0"/>
    <m/>
    <m/>
    <x v="1"/>
    <x v="0"/>
    <m/>
    <n v="38670"/>
    <m/>
  </r>
  <r>
    <x v="152"/>
    <x v="0"/>
    <s v="네이버 파워링크"/>
    <x v="0"/>
    <m/>
    <m/>
    <x v="1"/>
    <x v="0"/>
    <m/>
    <n v="45680"/>
    <m/>
  </r>
  <r>
    <x v="153"/>
    <x v="1"/>
    <s v="네이버 파워링크"/>
    <x v="0"/>
    <m/>
    <m/>
    <x v="1"/>
    <x v="0"/>
    <m/>
    <n v="48380"/>
    <m/>
  </r>
  <r>
    <x v="154"/>
    <x v="5"/>
    <s v="네이버 파워링크"/>
    <x v="0"/>
    <m/>
    <m/>
    <x v="1"/>
    <x v="0"/>
    <m/>
    <n v="61550"/>
    <m/>
  </r>
  <r>
    <x v="155"/>
    <x v="6"/>
    <s v="네이버 파워링크"/>
    <x v="0"/>
    <m/>
    <m/>
    <x v="1"/>
    <x v="0"/>
    <m/>
    <n v="63190"/>
    <m/>
  </r>
  <r>
    <x v="156"/>
    <x v="2"/>
    <s v="네이버 파워링크"/>
    <x v="0"/>
    <m/>
    <m/>
    <x v="1"/>
    <x v="0"/>
    <m/>
    <n v="31360"/>
    <m/>
  </r>
  <r>
    <x v="157"/>
    <x v="3"/>
    <s v="네이버 파워링크"/>
    <x v="0"/>
    <m/>
    <m/>
    <x v="1"/>
    <x v="0"/>
    <m/>
    <n v="5890"/>
    <m/>
  </r>
  <r>
    <x v="158"/>
    <x v="4"/>
    <s v="네이버 파워링크"/>
    <x v="0"/>
    <m/>
    <m/>
    <x v="1"/>
    <x v="0"/>
    <m/>
    <n v="3970"/>
    <m/>
  </r>
  <r>
    <x v="159"/>
    <x v="0"/>
    <s v="네이버 파워링크"/>
    <x v="0"/>
    <m/>
    <m/>
    <x v="1"/>
    <x v="0"/>
    <m/>
    <n v="7439.999999999999"/>
    <m/>
  </r>
  <r>
    <x v="160"/>
    <x v="1"/>
    <s v="네이버 파워링크"/>
    <x v="0"/>
    <m/>
    <m/>
    <x v="1"/>
    <x v="0"/>
    <m/>
    <n v="5320"/>
    <m/>
  </r>
  <r>
    <x v="161"/>
    <x v="5"/>
    <s v="네이버 파워링크"/>
    <x v="0"/>
    <m/>
    <m/>
    <x v="1"/>
    <x v="0"/>
    <m/>
    <n v="8099.999999999999"/>
    <m/>
  </r>
  <r>
    <x v="162"/>
    <x v="6"/>
    <s v="네이버 파워링크"/>
    <x v="0"/>
    <m/>
    <m/>
    <x v="1"/>
    <x v="0"/>
    <m/>
    <n v="9220"/>
    <m/>
  </r>
  <r>
    <x v="163"/>
    <x v="2"/>
    <s v="네이버 파워링크"/>
    <x v="0"/>
    <m/>
    <m/>
    <x v="1"/>
    <x v="0"/>
    <m/>
    <n v="4210"/>
    <m/>
  </r>
  <r>
    <x v="164"/>
    <x v="3"/>
    <s v="네이버 파워링크"/>
    <x v="0"/>
    <m/>
    <m/>
    <x v="1"/>
    <x v="0"/>
    <m/>
    <n v="7099.999999999999"/>
    <m/>
  </r>
  <r>
    <x v="165"/>
    <x v="4"/>
    <s v="네이버 파워링크"/>
    <x v="0"/>
    <m/>
    <m/>
    <x v="1"/>
    <x v="0"/>
    <m/>
    <n v="2250"/>
    <m/>
  </r>
  <r>
    <x v="166"/>
    <x v="0"/>
    <s v="네이버 파워링크"/>
    <x v="0"/>
    <m/>
    <m/>
    <x v="1"/>
    <x v="0"/>
    <m/>
    <n v="9290"/>
    <m/>
  </r>
  <r>
    <x v="167"/>
    <x v="1"/>
    <s v="네이버 파워링크"/>
    <x v="0"/>
    <m/>
    <m/>
    <x v="1"/>
    <x v="0"/>
    <m/>
    <n v="2530"/>
    <m/>
  </r>
  <r>
    <x v="168"/>
    <x v="5"/>
    <s v="네이버 파워링크"/>
    <x v="0"/>
    <m/>
    <m/>
    <x v="1"/>
    <x v="0"/>
    <m/>
    <n v="4080"/>
    <m/>
  </r>
  <r>
    <x v="169"/>
    <x v="6"/>
    <s v="네이버 파워링크"/>
    <x v="0"/>
    <m/>
    <m/>
    <x v="1"/>
    <x v="0"/>
    <m/>
    <n v="4010"/>
    <m/>
  </r>
  <r>
    <x v="170"/>
    <x v="2"/>
    <s v="네이버 파워링크"/>
    <x v="0"/>
    <m/>
    <m/>
    <x v="1"/>
    <x v="0"/>
    <m/>
    <n v="6149.999999999999"/>
    <m/>
  </r>
  <r>
    <x v="171"/>
    <x v="3"/>
    <s v="네이버 파워링크"/>
    <x v="0"/>
    <m/>
    <m/>
    <x v="1"/>
    <x v="0"/>
    <m/>
    <n v="2870"/>
    <m/>
  </r>
  <r>
    <x v="172"/>
    <x v="4"/>
    <s v="네이버 파워링크"/>
    <x v="0"/>
    <m/>
    <m/>
    <x v="1"/>
    <x v="0"/>
    <m/>
    <n v="8260"/>
    <m/>
  </r>
  <r>
    <x v="173"/>
    <x v="0"/>
    <s v="네이버 파워링크"/>
    <x v="0"/>
    <m/>
    <m/>
    <x v="1"/>
    <x v="0"/>
    <m/>
    <n v="3080"/>
    <m/>
  </r>
  <r>
    <x v="174"/>
    <x v="1"/>
    <s v="네이버 파워링크"/>
    <x v="0"/>
    <m/>
    <m/>
    <x v="1"/>
    <x v="0"/>
    <m/>
    <n v="4010"/>
    <m/>
  </r>
  <r>
    <x v="175"/>
    <x v="5"/>
    <s v="네이버 파워링크"/>
    <x v="0"/>
    <m/>
    <m/>
    <x v="1"/>
    <x v="0"/>
    <m/>
    <n v="6869.999999999999"/>
    <m/>
  </r>
  <r>
    <x v="176"/>
    <x v="6"/>
    <s v="네이버 파워링크"/>
    <x v="0"/>
    <m/>
    <m/>
    <x v="1"/>
    <x v="0"/>
    <m/>
    <n v="3070"/>
    <m/>
  </r>
  <r>
    <x v="177"/>
    <x v="2"/>
    <s v="네이버 파워링크"/>
    <x v="0"/>
    <m/>
    <m/>
    <x v="1"/>
    <x v="0"/>
    <m/>
    <n v="10730"/>
    <m/>
  </r>
  <r>
    <x v="178"/>
    <x v="3"/>
    <s v="네이버 파워링크"/>
    <x v="0"/>
    <m/>
    <m/>
    <x v="1"/>
    <x v="0"/>
    <m/>
    <n v="4410"/>
    <m/>
  </r>
  <r>
    <x v="179"/>
    <x v="4"/>
    <s v="네이버 파워링크"/>
    <x v="0"/>
    <m/>
    <m/>
    <x v="1"/>
    <x v="0"/>
    <m/>
    <n v="8980"/>
    <m/>
  </r>
  <r>
    <x v="180"/>
    <x v="0"/>
    <s v="네이버 파워링크"/>
    <x v="0"/>
    <m/>
    <m/>
    <x v="1"/>
    <x v="0"/>
    <m/>
    <n v="2350"/>
    <m/>
  </r>
  <r>
    <x v="181"/>
    <x v="1"/>
    <s v="네이버 파워링크"/>
    <x v="0"/>
    <m/>
    <m/>
    <x v="1"/>
    <x v="0"/>
    <m/>
    <n v="6289.999999999999"/>
    <m/>
  </r>
  <r>
    <x v="182"/>
    <x v="5"/>
    <s v="네이버 파워링크"/>
    <x v="0"/>
    <m/>
    <m/>
    <x v="1"/>
    <x v="0"/>
    <m/>
    <n v="7129.999999999999"/>
    <m/>
  </r>
  <r>
    <x v="183"/>
    <x v="6"/>
    <s v="네이버 파워링크"/>
    <x v="0"/>
    <m/>
    <m/>
    <x v="1"/>
    <x v="0"/>
    <m/>
    <n v="11970"/>
    <m/>
  </r>
  <r>
    <x v="184"/>
    <x v="2"/>
    <s v="네이버 파워링크"/>
    <x v="0"/>
    <m/>
    <m/>
    <x v="1"/>
    <x v="0"/>
    <m/>
    <n v="8079.999999999999"/>
    <m/>
  </r>
  <r>
    <x v="185"/>
    <x v="3"/>
    <s v="네이버 파워링크"/>
    <x v="0"/>
    <m/>
    <m/>
    <x v="1"/>
    <x v="0"/>
    <m/>
    <n v="9570"/>
    <m/>
  </r>
  <r>
    <x v="186"/>
    <x v="4"/>
    <s v="네이버 파워링크"/>
    <x v="0"/>
    <m/>
    <m/>
    <x v="1"/>
    <x v="0"/>
    <m/>
    <n v="4420"/>
    <m/>
  </r>
  <r>
    <x v="187"/>
    <x v="0"/>
    <s v="네이버 파워링크"/>
    <x v="0"/>
    <m/>
    <m/>
    <x v="1"/>
    <x v="0"/>
    <m/>
    <n v="5480"/>
    <m/>
  </r>
  <r>
    <x v="188"/>
    <x v="1"/>
    <s v="네이버 파워링크"/>
    <x v="0"/>
    <m/>
    <m/>
    <x v="1"/>
    <x v="0"/>
    <m/>
    <n v="3940"/>
    <m/>
  </r>
  <r>
    <x v="189"/>
    <x v="5"/>
    <s v="네이버 파워링크"/>
    <x v="0"/>
    <m/>
    <m/>
    <x v="1"/>
    <x v="0"/>
    <m/>
    <n v="2320"/>
    <m/>
  </r>
  <r>
    <x v="190"/>
    <x v="6"/>
    <s v="네이버 파워링크"/>
    <x v="0"/>
    <m/>
    <m/>
    <x v="1"/>
    <x v="0"/>
    <m/>
    <n v="8500"/>
    <m/>
  </r>
  <r>
    <x v="191"/>
    <x v="2"/>
    <s v="네이버 파워링크"/>
    <x v="0"/>
    <m/>
    <m/>
    <x v="1"/>
    <x v="0"/>
    <m/>
    <n v="8900"/>
    <m/>
  </r>
  <r>
    <x v="192"/>
    <x v="3"/>
    <s v="네이버 파워링크"/>
    <x v="0"/>
    <m/>
    <m/>
    <x v="1"/>
    <x v="0"/>
    <m/>
    <n v="6989.999999999999"/>
    <m/>
  </r>
  <r>
    <x v="193"/>
    <x v="4"/>
    <s v="네이버 파워링크"/>
    <x v="0"/>
    <m/>
    <m/>
    <x v="1"/>
    <x v="0"/>
    <m/>
    <n v="8630"/>
    <m/>
  </r>
  <r>
    <x v="194"/>
    <x v="0"/>
    <s v="네이버 파워링크"/>
    <x v="0"/>
    <m/>
    <m/>
    <x v="1"/>
    <x v="0"/>
    <m/>
    <n v="7609.999999999999"/>
    <m/>
  </r>
  <r>
    <x v="195"/>
    <x v="1"/>
    <s v="네이버 파워링크"/>
    <x v="0"/>
    <m/>
    <m/>
    <x v="1"/>
    <x v="0"/>
    <m/>
    <n v="13190"/>
    <m/>
  </r>
  <r>
    <x v="196"/>
    <x v="5"/>
    <s v="네이버 파워링크"/>
    <x v="0"/>
    <m/>
    <m/>
    <x v="1"/>
    <x v="0"/>
    <m/>
    <n v="11770"/>
    <m/>
  </r>
  <r>
    <x v="197"/>
    <x v="6"/>
    <s v="네이버 파워링크"/>
    <x v="0"/>
    <m/>
    <m/>
    <x v="1"/>
    <x v="0"/>
    <m/>
    <n v="10740"/>
    <m/>
  </r>
  <r>
    <x v="198"/>
    <x v="2"/>
    <s v="네이버 파워링크"/>
    <x v="0"/>
    <m/>
    <m/>
    <x v="1"/>
    <x v="0"/>
    <m/>
    <n v="10970"/>
    <m/>
  </r>
  <r>
    <x v="199"/>
    <x v="3"/>
    <s v="네이버 파워링크"/>
    <x v="0"/>
    <m/>
    <m/>
    <x v="1"/>
    <x v="0"/>
    <m/>
    <n v="9000"/>
    <m/>
  </r>
  <r>
    <x v="200"/>
    <x v="4"/>
    <s v="네이버 파워링크"/>
    <x v="0"/>
    <m/>
    <m/>
    <x v="1"/>
    <x v="0"/>
    <m/>
    <n v="7279.999999999999"/>
    <m/>
  </r>
  <r>
    <x v="201"/>
    <x v="0"/>
    <s v="네이버 파워링크"/>
    <x v="0"/>
    <m/>
    <m/>
    <x v="1"/>
    <x v="0"/>
    <m/>
    <n v="5669.999999999999"/>
    <m/>
  </r>
  <r>
    <x v="202"/>
    <x v="1"/>
    <s v="네이버 파워링크"/>
    <x v="0"/>
    <m/>
    <m/>
    <x v="1"/>
    <x v="0"/>
    <m/>
    <n v="979.9999999999999"/>
    <m/>
  </r>
  <r>
    <x v="203"/>
    <x v="5"/>
    <s v="네이버 파워링크"/>
    <x v="0"/>
    <m/>
    <m/>
    <x v="1"/>
    <x v="0"/>
    <m/>
    <n v="8690"/>
    <m/>
  </r>
  <r>
    <x v="204"/>
    <x v="6"/>
    <s v="네이버 파워링크"/>
    <x v="0"/>
    <m/>
    <m/>
    <x v="1"/>
    <x v="0"/>
    <m/>
    <n v="9350"/>
    <m/>
  </r>
  <r>
    <x v="205"/>
    <x v="2"/>
    <s v="네이버 파워링크"/>
    <x v="0"/>
    <m/>
    <m/>
    <x v="1"/>
    <x v="0"/>
    <m/>
    <n v="3470"/>
    <m/>
  </r>
  <r>
    <x v="206"/>
    <x v="3"/>
    <s v="네이버 파워링크"/>
    <x v="0"/>
    <m/>
    <m/>
    <x v="1"/>
    <x v="0"/>
    <m/>
    <n v="0"/>
    <m/>
  </r>
  <r>
    <x v="207"/>
    <x v="4"/>
    <s v="네이버 파워링크"/>
    <x v="0"/>
    <m/>
    <m/>
    <x v="1"/>
    <x v="0"/>
    <m/>
    <n v="0"/>
    <m/>
  </r>
  <r>
    <x v="208"/>
    <x v="0"/>
    <s v="네이버 파워링크"/>
    <x v="0"/>
    <m/>
    <m/>
    <x v="1"/>
    <x v="0"/>
    <m/>
    <n v="0"/>
    <m/>
  </r>
  <r>
    <x v="209"/>
    <x v="1"/>
    <s v="네이버 파워링크"/>
    <x v="0"/>
    <m/>
    <m/>
    <x v="1"/>
    <x v="0"/>
    <m/>
    <n v="0"/>
    <m/>
  </r>
  <r>
    <x v="210"/>
    <x v="5"/>
    <s v="네이버 파워링크"/>
    <x v="0"/>
    <m/>
    <m/>
    <x v="1"/>
    <x v="0"/>
    <m/>
    <n v="0"/>
    <m/>
  </r>
  <r>
    <x v="211"/>
    <x v="6"/>
    <s v="네이버 파워링크"/>
    <x v="0"/>
    <m/>
    <m/>
    <x v="1"/>
    <x v="0"/>
    <m/>
    <n v="27420"/>
    <m/>
  </r>
  <r>
    <x v="212"/>
    <x v="2"/>
    <s v="네이버 파워링크"/>
    <x v="0"/>
    <m/>
    <m/>
    <x v="1"/>
    <x v="0"/>
    <m/>
    <n v="39310"/>
    <m/>
  </r>
  <r>
    <x v="213"/>
    <x v="3"/>
    <s v="네이버 파워링크"/>
    <x v="0"/>
    <m/>
    <m/>
    <x v="1"/>
    <x v="0"/>
    <m/>
    <n v="33100"/>
    <m/>
  </r>
  <r>
    <x v="214"/>
    <x v="4"/>
    <s v="네이버 파워링크"/>
    <x v="0"/>
    <m/>
    <m/>
    <x v="1"/>
    <x v="0"/>
    <m/>
    <n v="33280"/>
    <m/>
  </r>
  <r>
    <x v="215"/>
    <x v="0"/>
    <s v="네이버 파워링크"/>
    <x v="0"/>
    <m/>
    <m/>
    <x v="1"/>
    <x v="0"/>
    <m/>
    <n v="46069.99999999999"/>
    <m/>
  </r>
  <r>
    <x v="216"/>
    <x v="1"/>
    <s v="네이버 파워링크"/>
    <x v="0"/>
    <m/>
    <m/>
    <x v="1"/>
    <x v="0"/>
    <m/>
    <n v="59419.99999999999"/>
    <m/>
  </r>
  <r>
    <x v="217"/>
    <x v="5"/>
    <s v="네이버 파워링크"/>
    <x v="0"/>
    <m/>
    <m/>
    <x v="1"/>
    <x v="0"/>
    <m/>
    <n v="65409.99999999999"/>
    <m/>
  </r>
  <r>
    <x v="218"/>
    <x v="6"/>
    <s v="네이버 파워링크"/>
    <x v="0"/>
    <m/>
    <m/>
    <x v="1"/>
    <x v="0"/>
    <m/>
    <n v="36550"/>
    <m/>
  </r>
  <r>
    <x v="219"/>
    <x v="2"/>
    <s v="네이버 파워링크"/>
    <x v="0"/>
    <m/>
    <m/>
    <x v="1"/>
    <x v="0"/>
    <m/>
    <n v="104360"/>
    <m/>
  </r>
  <r>
    <x v="220"/>
    <x v="3"/>
    <s v="네이버 파워링크"/>
    <x v="0"/>
    <m/>
    <m/>
    <x v="1"/>
    <x v="0"/>
    <m/>
    <n v="69570"/>
    <m/>
  </r>
  <r>
    <x v="221"/>
    <x v="4"/>
    <s v="네이버 파워링크"/>
    <x v="0"/>
    <m/>
    <m/>
    <x v="1"/>
    <x v="0"/>
    <m/>
    <n v="82180"/>
    <m/>
  </r>
  <r>
    <x v="222"/>
    <x v="0"/>
    <s v="네이버 파워링크"/>
    <x v="0"/>
    <m/>
    <m/>
    <x v="1"/>
    <x v="0"/>
    <m/>
    <n v="124320"/>
    <m/>
  </r>
  <r>
    <x v="223"/>
    <x v="1"/>
    <s v="네이버 파워링크"/>
    <x v="0"/>
    <m/>
    <m/>
    <x v="1"/>
    <x v="0"/>
    <m/>
    <n v="169150"/>
    <m/>
  </r>
  <r>
    <x v="224"/>
    <x v="5"/>
    <s v="네이버 파워링크"/>
    <x v="0"/>
    <m/>
    <m/>
    <x v="1"/>
    <x v="0"/>
    <m/>
    <n v="176000"/>
    <m/>
  </r>
  <r>
    <x v="225"/>
    <x v="6"/>
    <s v="네이버 파워링크"/>
    <x v="0"/>
    <m/>
    <m/>
    <x v="1"/>
    <x v="0"/>
    <m/>
    <n v="102160"/>
    <m/>
  </r>
  <r>
    <x v="226"/>
    <x v="2"/>
    <s v="네이버 파워링크"/>
    <x v="0"/>
    <m/>
    <m/>
    <x v="1"/>
    <x v="0"/>
    <m/>
    <n v="90070"/>
    <m/>
  </r>
  <r>
    <x v="227"/>
    <x v="3"/>
    <s v="네이버 파워링크"/>
    <x v="0"/>
    <m/>
    <m/>
    <x v="1"/>
    <x v="0"/>
    <m/>
    <n v="141470"/>
    <m/>
  </r>
  <r>
    <x v="228"/>
    <x v="4"/>
    <s v="네이버 파워링크"/>
    <x v="0"/>
    <m/>
    <m/>
    <x v="1"/>
    <x v="0"/>
    <m/>
    <n v="90050"/>
    <m/>
  </r>
  <r>
    <x v="229"/>
    <x v="0"/>
    <s v="네이버 파워링크"/>
    <x v="0"/>
    <m/>
    <m/>
    <x v="1"/>
    <x v="0"/>
    <m/>
    <n v="34830"/>
    <m/>
  </r>
  <r>
    <x v="230"/>
    <x v="1"/>
    <s v="네이버 파워링크"/>
    <x v="0"/>
    <m/>
    <m/>
    <x v="1"/>
    <x v="0"/>
    <m/>
    <n v="7999.999999999999"/>
    <m/>
  </r>
  <r>
    <x v="231"/>
    <x v="5"/>
    <s v="네이버 파워링크"/>
    <x v="0"/>
    <m/>
    <m/>
    <x v="1"/>
    <x v="0"/>
    <m/>
    <n v="11330"/>
    <m/>
  </r>
  <r>
    <x v="232"/>
    <x v="6"/>
    <s v="네이버 파워링크"/>
    <x v="0"/>
    <m/>
    <m/>
    <x v="1"/>
    <x v="0"/>
    <m/>
    <n v="9900"/>
    <m/>
  </r>
  <r>
    <x v="233"/>
    <x v="2"/>
    <s v="네이버 파워링크"/>
    <x v="0"/>
    <m/>
    <m/>
    <x v="1"/>
    <x v="0"/>
    <m/>
    <n v="8350"/>
    <m/>
  </r>
  <r>
    <x v="234"/>
    <x v="3"/>
    <s v="네이버 파워링크"/>
    <x v="0"/>
    <m/>
    <m/>
    <x v="1"/>
    <x v="0"/>
    <m/>
    <n v="8860"/>
    <m/>
  </r>
  <r>
    <x v="235"/>
    <x v="4"/>
    <s v="네이버 파워링크"/>
    <x v="0"/>
    <m/>
    <m/>
    <x v="1"/>
    <x v="0"/>
    <m/>
    <n v="9340"/>
    <m/>
  </r>
  <r>
    <x v="236"/>
    <x v="0"/>
    <s v="네이버 파워링크"/>
    <x v="0"/>
    <m/>
    <m/>
    <x v="1"/>
    <x v="0"/>
    <m/>
    <n v="8069.999999999999"/>
    <m/>
  </r>
  <r>
    <x v="237"/>
    <x v="1"/>
    <s v="네이버 파워링크"/>
    <x v="0"/>
    <m/>
    <m/>
    <x v="1"/>
    <x v="0"/>
    <m/>
    <n v="8189.999999999999"/>
    <m/>
  </r>
  <r>
    <x v="238"/>
    <x v="5"/>
    <s v="네이버 파워링크"/>
    <x v="0"/>
    <m/>
    <m/>
    <x v="1"/>
    <x v="0"/>
    <m/>
    <n v="8360"/>
    <m/>
  </r>
  <r>
    <x v="239"/>
    <x v="6"/>
    <s v="네이버 파워링크"/>
    <x v="0"/>
    <m/>
    <m/>
    <x v="1"/>
    <x v="0"/>
    <m/>
    <n v="9080"/>
    <m/>
  </r>
  <r>
    <x v="240"/>
    <x v="2"/>
    <s v="네이버 파워링크"/>
    <x v="0"/>
    <m/>
    <m/>
    <x v="1"/>
    <x v="0"/>
    <m/>
    <n v="8179.999999999999"/>
    <m/>
  </r>
  <r>
    <x v="241"/>
    <x v="3"/>
    <s v="네이버 파워링크"/>
    <x v="0"/>
    <m/>
    <m/>
    <x v="1"/>
    <x v="0"/>
    <m/>
    <n v="9590"/>
    <m/>
  </r>
  <r>
    <x v="242"/>
    <x v="4"/>
    <s v="네이버 파워링크"/>
    <x v="0"/>
    <m/>
    <m/>
    <x v="1"/>
    <x v="0"/>
    <m/>
    <n v="11470"/>
    <m/>
  </r>
  <r>
    <x v="243"/>
    <x v="0"/>
    <s v="네이버 파워링크"/>
    <x v="0"/>
    <m/>
    <m/>
    <x v="1"/>
    <x v="0"/>
    <m/>
    <n v="8400"/>
    <m/>
  </r>
  <r>
    <x v="244"/>
    <x v="1"/>
    <s v="네이버 파워링크"/>
    <x v="0"/>
    <m/>
    <m/>
    <x v="1"/>
    <x v="0"/>
    <m/>
    <n v="8139.999999999999"/>
    <m/>
  </r>
  <r>
    <x v="245"/>
    <x v="5"/>
    <s v="네이버 파워링크"/>
    <x v="0"/>
    <m/>
    <m/>
    <x v="1"/>
    <x v="0"/>
    <m/>
    <n v="9040"/>
    <m/>
  </r>
  <r>
    <x v="246"/>
    <x v="6"/>
    <s v="네이버 파워링크"/>
    <x v="0"/>
    <m/>
    <m/>
    <x v="1"/>
    <x v="0"/>
    <m/>
    <n v="9880"/>
    <m/>
  </r>
  <r>
    <x v="247"/>
    <x v="2"/>
    <s v="네이버 파워링크"/>
    <x v="0"/>
    <m/>
    <m/>
    <x v="1"/>
    <x v="0"/>
    <m/>
    <n v="9150"/>
    <m/>
  </r>
  <r>
    <x v="248"/>
    <x v="3"/>
    <s v="네이버 파워링크"/>
    <x v="0"/>
    <m/>
    <m/>
    <x v="1"/>
    <x v="0"/>
    <m/>
    <n v="9960"/>
    <m/>
  </r>
  <r>
    <x v="249"/>
    <x v="4"/>
    <s v="네이버 파워링크"/>
    <x v="0"/>
    <m/>
    <m/>
    <x v="1"/>
    <x v="0"/>
    <m/>
    <n v="8420"/>
    <m/>
  </r>
  <r>
    <x v="250"/>
    <x v="0"/>
    <s v="네이버 파워링크"/>
    <x v="0"/>
    <m/>
    <m/>
    <x v="1"/>
    <x v="0"/>
    <m/>
    <n v="8049.999999999999"/>
    <m/>
  </r>
  <r>
    <x v="251"/>
    <x v="1"/>
    <s v="네이버 파워링크"/>
    <x v="0"/>
    <m/>
    <m/>
    <x v="1"/>
    <x v="0"/>
    <m/>
    <n v="8630"/>
    <m/>
  </r>
  <r>
    <x v="252"/>
    <x v="5"/>
    <s v="네이버 파워링크"/>
    <x v="0"/>
    <m/>
    <m/>
    <x v="1"/>
    <x v="0"/>
    <m/>
    <n v="8189.999999999999"/>
    <m/>
  </r>
  <r>
    <x v="253"/>
    <x v="6"/>
    <s v="네이버 파워링크"/>
    <x v="0"/>
    <m/>
    <m/>
    <x v="1"/>
    <x v="0"/>
    <m/>
    <n v="8370"/>
    <m/>
  </r>
  <r>
    <x v="254"/>
    <x v="2"/>
    <s v="네이버 파워링크"/>
    <x v="0"/>
    <m/>
    <m/>
    <x v="1"/>
    <x v="0"/>
    <m/>
    <n v="9940"/>
    <m/>
  </r>
  <r>
    <x v="255"/>
    <x v="3"/>
    <s v="네이버 파워링크"/>
    <x v="0"/>
    <m/>
    <m/>
    <x v="1"/>
    <x v="0"/>
    <m/>
    <n v="8880"/>
    <m/>
  </r>
  <r>
    <x v="256"/>
    <x v="4"/>
    <s v="네이버 파워링크"/>
    <x v="0"/>
    <m/>
    <m/>
    <x v="1"/>
    <x v="0"/>
    <m/>
    <n v="10100"/>
    <m/>
  </r>
  <r>
    <x v="257"/>
    <x v="0"/>
    <s v="네이버 파워링크"/>
    <x v="0"/>
    <m/>
    <m/>
    <x v="1"/>
    <x v="0"/>
    <m/>
    <n v="8640"/>
    <m/>
  </r>
  <r>
    <x v="258"/>
    <x v="1"/>
    <s v="네이버 파워링크"/>
    <x v="0"/>
    <m/>
    <m/>
    <x v="1"/>
    <x v="0"/>
    <m/>
    <n v="8009.999999999999"/>
    <m/>
  </r>
  <r>
    <x v="259"/>
    <x v="5"/>
    <s v="네이버 파워링크"/>
    <x v="0"/>
    <m/>
    <m/>
    <x v="1"/>
    <x v="0"/>
    <m/>
    <n v="0"/>
    <m/>
  </r>
  <r>
    <x v="260"/>
    <x v="6"/>
    <s v="네이버 파워링크"/>
    <x v="0"/>
    <m/>
    <m/>
    <x v="1"/>
    <x v="0"/>
    <m/>
    <n v="0"/>
    <m/>
  </r>
  <r>
    <x v="261"/>
    <x v="2"/>
    <s v="네이버 파워링크"/>
    <x v="0"/>
    <m/>
    <m/>
    <x v="1"/>
    <x v="0"/>
    <m/>
    <n v="0"/>
    <m/>
  </r>
  <r>
    <x v="58"/>
    <x v="2"/>
    <s v="네이버 브랜드검색"/>
    <x v="0"/>
    <m/>
    <m/>
    <x v="1"/>
    <x v="0"/>
    <m/>
    <n v="20000"/>
    <m/>
  </r>
  <r>
    <x v="59"/>
    <x v="3"/>
    <s v="네이버 브랜드검색"/>
    <x v="0"/>
    <m/>
    <m/>
    <x v="1"/>
    <x v="0"/>
    <m/>
    <n v="20000"/>
    <m/>
  </r>
  <r>
    <x v="60"/>
    <x v="4"/>
    <s v="네이버 브랜드검색"/>
    <x v="0"/>
    <m/>
    <m/>
    <x v="1"/>
    <x v="0"/>
    <m/>
    <n v="20000"/>
    <m/>
  </r>
  <r>
    <x v="61"/>
    <x v="0"/>
    <s v="네이버 브랜드검색"/>
    <x v="0"/>
    <m/>
    <m/>
    <x v="1"/>
    <x v="0"/>
    <m/>
    <n v="20000"/>
    <m/>
  </r>
  <r>
    <x v="62"/>
    <x v="1"/>
    <s v="네이버 브랜드검색"/>
    <x v="0"/>
    <m/>
    <m/>
    <x v="1"/>
    <x v="0"/>
    <m/>
    <n v="20000"/>
    <m/>
  </r>
  <r>
    <x v="63"/>
    <x v="5"/>
    <s v="네이버 브랜드검색"/>
    <x v="0"/>
    <m/>
    <m/>
    <x v="1"/>
    <x v="0"/>
    <m/>
    <n v="20000"/>
    <m/>
  </r>
  <r>
    <x v="64"/>
    <x v="6"/>
    <s v="네이버 브랜드검색"/>
    <x v="0"/>
    <m/>
    <m/>
    <x v="1"/>
    <x v="0"/>
    <m/>
    <n v="20000"/>
    <m/>
  </r>
  <r>
    <x v="65"/>
    <x v="2"/>
    <s v="네이버 브랜드검색"/>
    <x v="0"/>
    <m/>
    <m/>
    <x v="1"/>
    <x v="0"/>
    <m/>
    <n v="20000"/>
    <m/>
  </r>
  <r>
    <x v="66"/>
    <x v="3"/>
    <s v="네이버 브랜드검색"/>
    <x v="0"/>
    <m/>
    <m/>
    <x v="1"/>
    <x v="0"/>
    <m/>
    <n v="20000"/>
    <m/>
  </r>
  <r>
    <x v="67"/>
    <x v="4"/>
    <s v="네이버 브랜드검색"/>
    <x v="0"/>
    <m/>
    <m/>
    <x v="1"/>
    <x v="0"/>
    <m/>
    <n v="20000"/>
    <m/>
  </r>
  <r>
    <x v="68"/>
    <x v="0"/>
    <s v="네이버 브랜드검색"/>
    <x v="0"/>
    <m/>
    <m/>
    <x v="1"/>
    <x v="0"/>
    <m/>
    <n v="20000"/>
    <m/>
  </r>
  <r>
    <x v="69"/>
    <x v="1"/>
    <s v="네이버 브랜드검색"/>
    <x v="0"/>
    <m/>
    <m/>
    <x v="1"/>
    <x v="0"/>
    <m/>
    <n v="20000"/>
    <m/>
  </r>
  <r>
    <x v="70"/>
    <x v="5"/>
    <s v="네이버 브랜드검색"/>
    <x v="0"/>
    <m/>
    <m/>
    <x v="1"/>
    <x v="0"/>
    <m/>
    <n v="20000"/>
    <m/>
  </r>
  <r>
    <x v="71"/>
    <x v="6"/>
    <s v="네이버 브랜드검색"/>
    <x v="0"/>
    <m/>
    <m/>
    <x v="1"/>
    <x v="0"/>
    <m/>
    <n v="20000"/>
    <m/>
  </r>
  <r>
    <x v="72"/>
    <x v="2"/>
    <s v="네이버 브랜드검색"/>
    <x v="0"/>
    <m/>
    <m/>
    <x v="1"/>
    <x v="0"/>
    <m/>
    <n v="20000"/>
    <m/>
  </r>
  <r>
    <x v="73"/>
    <x v="3"/>
    <s v="네이버 브랜드검색"/>
    <x v="0"/>
    <m/>
    <m/>
    <x v="1"/>
    <x v="0"/>
    <m/>
    <n v="20000"/>
    <m/>
  </r>
  <r>
    <x v="74"/>
    <x v="4"/>
    <s v="네이버 브랜드검색"/>
    <x v="0"/>
    <m/>
    <m/>
    <x v="1"/>
    <x v="0"/>
    <m/>
    <n v="20000"/>
    <m/>
  </r>
  <r>
    <x v="75"/>
    <x v="0"/>
    <s v="네이버 브랜드검색"/>
    <x v="0"/>
    <m/>
    <m/>
    <x v="1"/>
    <x v="0"/>
    <m/>
    <n v="20000"/>
    <m/>
  </r>
  <r>
    <x v="76"/>
    <x v="1"/>
    <s v="네이버 브랜드검색"/>
    <x v="0"/>
    <m/>
    <m/>
    <x v="1"/>
    <x v="0"/>
    <m/>
    <n v="20000"/>
    <m/>
  </r>
  <r>
    <x v="77"/>
    <x v="5"/>
    <s v="네이버 브랜드검색"/>
    <x v="0"/>
    <m/>
    <m/>
    <x v="1"/>
    <x v="0"/>
    <m/>
    <n v="20000"/>
    <m/>
  </r>
  <r>
    <x v="78"/>
    <x v="6"/>
    <s v="네이버 브랜드검색"/>
    <x v="0"/>
    <m/>
    <m/>
    <x v="1"/>
    <x v="0"/>
    <m/>
    <n v="20000"/>
    <m/>
  </r>
  <r>
    <x v="79"/>
    <x v="2"/>
    <s v="네이버 브랜드검색"/>
    <x v="0"/>
    <m/>
    <m/>
    <x v="1"/>
    <x v="0"/>
    <m/>
    <n v="20000"/>
    <m/>
  </r>
  <r>
    <x v="80"/>
    <x v="3"/>
    <s v="네이버 브랜드검색"/>
    <x v="0"/>
    <m/>
    <m/>
    <x v="1"/>
    <x v="0"/>
    <m/>
    <n v="20000"/>
    <m/>
  </r>
  <r>
    <x v="81"/>
    <x v="4"/>
    <s v="네이버 브랜드검색"/>
    <x v="0"/>
    <m/>
    <m/>
    <x v="1"/>
    <x v="0"/>
    <m/>
    <n v="20000"/>
    <m/>
  </r>
  <r>
    <x v="82"/>
    <x v="0"/>
    <s v="네이버 브랜드검색"/>
    <x v="0"/>
    <m/>
    <m/>
    <x v="1"/>
    <x v="0"/>
    <m/>
    <n v="20000"/>
    <m/>
  </r>
  <r>
    <x v="83"/>
    <x v="1"/>
    <s v="네이버 브랜드검색"/>
    <x v="0"/>
    <m/>
    <m/>
    <x v="1"/>
    <x v="0"/>
    <m/>
    <n v="20000"/>
    <m/>
  </r>
  <r>
    <x v="84"/>
    <x v="5"/>
    <s v="네이버 브랜드검색"/>
    <x v="0"/>
    <m/>
    <m/>
    <x v="1"/>
    <x v="0"/>
    <m/>
    <n v="20000"/>
    <m/>
  </r>
  <r>
    <x v="85"/>
    <x v="6"/>
    <s v="네이버 브랜드검색"/>
    <x v="0"/>
    <m/>
    <m/>
    <x v="1"/>
    <x v="0"/>
    <m/>
    <n v="20000"/>
    <m/>
  </r>
  <r>
    <x v="86"/>
    <x v="2"/>
    <s v="네이버 브랜드검색"/>
    <x v="0"/>
    <m/>
    <m/>
    <x v="1"/>
    <x v="0"/>
    <m/>
    <n v="20000"/>
    <m/>
  </r>
  <r>
    <x v="87"/>
    <x v="3"/>
    <s v="네이버 브랜드검색"/>
    <x v="0"/>
    <m/>
    <m/>
    <x v="1"/>
    <x v="0"/>
    <m/>
    <n v="20000"/>
    <m/>
  </r>
  <r>
    <x v="88"/>
    <x v="4"/>
    <s v="네이버 브랜드검색"/>
    <x v="0"/>
    <m/>
    <m/>
    <x v="1"/>
    <x v="0"/>
    <m/>
    <n v="20000"/>
    <m/>
  </r>
  <r>
    <x v="89"/>
    <x v="0"/>
    <s v="네이버 브랜드검색"/>
    <x v="0"/>
    <m/>
    <m/>
    <x v="1"/>
    <x v="0"/>
    <m/>
    <n v="20000"/>
    <m/>
  </r>
  <r>
    <x v="90"/>
    <x v="1"/>
    <s v="네이버 브랜드검색"/>
    <x v="0"/>
    <m/>
    <m/>
    <x v="1"/>
    <x v="0"/>
    <m/>
    <n v="20000"/>
    <m/>
  </r>
  <r>
    <x v="91"/>
    <x v="5"/>
    <s v="네이버 브랜드검색"/>
    <x v="0"/>
    <m/>
    <m/>
    <x v="1"/>
    <x v="0"/>
    <m/>
    <n v="20000"/>
    <m/>
  </r>
  <r>
    <x v="92"/>
    <x v="6"/>
    <s v="네이버 브랜드검색"/>
    <x v="0"/>
    <m/>
    <m/>
    <x v="1"/>
    <x v="0"/>
    <m/>
    <n v="20000"/>
    <m/>
  </r>
  <r>
    <x v="93"/>
    <x v="2"/>
    <s v="네이버 브랜드검색"/>
    <x v="0"/>
    <m/>
    <m/>
    <x v="1"/>
    <x v="0"/>
    <m/>
    <n v="20000"/>
    <m/>
  </r>
  <r>
    <x v="94"/>
    <x v="3"/>
    <s v="네이버 브랜드검색"/>
    <x v="0"/>
    <m/>
    <m/>
    <x v="1"/>
    <x v="0"/>
    <m/>
    <n v="20000"/>
    <m/>
  </r>
  <r>
    <x v="95"/>
    <x v="4"/>
    <s v="네이버 브랜드검색"/>
    <x v="0"/>
    <m/>
    <m/>
    <x v="1"/>
    <x v="0"/>
    <m/>
    <n v="20000"/>
    <m/>
  </r>
  <r>
    <x v="96"/>
    <x v="0"/>
    <s v="네이버 브랜드검색"/>
    <x v="0"/>
    <m/>
    <m/>
    <x v="1"/>
    <x v="0"/>
    <m/>
    <n v="20000"/>
    <m/>
  </r>
  <r>
    <x v="97"/>
    <x v="1"/>
    <s v="네이버 브랜드검색"/>
    <x v="0"/>
    <m/>
    <m/>
    <x v="1"/>
    <x v="0"/>
    <m/>
    <n v="20000"/>
    <m/>
  </r>
  <r>
    <x v="98"/>
    <x v="5"/>
    <s v="네이버 브랜드검색"/>
    <x v="0"/>
    <m/>
    <m/>
    <x v="1"/>
    <x v="0"/>
    <m/>
    <n v="20000"/>
    <m/>
  </r>
  <r>
    <x v="99"/>
    <x v="6"/>
    <s v="네이버 브랜드검색"/>
    <x v="0"/>
    <m/>
    <m/>
    <x v="1"/>
    <x v="0"/>
    <m/>
    <n v="20000"/>
    <m/>
  </r>
  <r>
    <x v="100"/>
    <x v="2"/>
    <s v="네이버 브랜드검색"/>
    <x v="0"/>
    <m/>
    <m/>
    <x v="1"/>
    <x v="0"/>
    <m/>
    <n v="20000"/>
    <m/>
  </r>
  <r>
    <x v="101"/>
    <x v="3"/>
    <s v="네이버 브랜드검색"/>
    <x v="0"/>
    <m/>
    <m/>
    <x v="1"/>
    <x v="0"/>
    <m/>
    <n v="20000"/>
    <m/>
  </r>
  <r>
    <x v="102"/>
    <x v="4"/>
    <s v="네이버 브랜드검색"/>
    <x v="0"/>
    <m/>
    <m/>
    <x v="1"/>
    <x v="0"/>
    <m/>
    <n v="20000"/>
    <m/>
  </r>
  <r>
    <x v="103"/>
    <x v="0"/>
    <s v="네이버 브랜드검색"/>
    <x v="0"/>
    <m/>
    <m/>
    <x v="1"/>
    <x v="0"/>
    <m/>
    <n v="20000"/>
    <m/>
  </r>
  <r>
    <x v="104"/>
    <x v="1"/>
    <s v="네이버 브랜드검색"/>
    <x v="0"/>
    <m/>
    <m/>
    <x v="1"/>
    <x v="0"/>
    <m/>
    <n v="20000"/>
    <m/>
  </r>
  <r>
    <x v="105"/>
    <x v="5"/>
    <s v="네이버 브랜드검색"/>
    <x v="0"/>
    <m/>
    <m/>
    <x v="1"/>
    <x v="0"/>
    <m/>
    <n v="20000"/>
    <m/>
  </r>
  <r>
    <x v="106"/>
    <x v="6"/>
    <s v="네이버 브랜드검색"/>
    <x v="0"/>
    <m/>
    <m/>
    <x v="1"/>
    <x v="0"/>
    <m/>
    <n v="20000"/>
    <m/>
  </r>
  <r>
    <x v="107"/>
    <x v="2"/>
    <s v="네이버 브랜드검색"/>
    <x v="0"/>
    <m/>
    <m/>
    <x v="1"/>
    <x v="0"/>
    <m/>
    <n v="20000"/>
    <m/>
  </r>
  <r>
    <x v="108"/>
    <x v="3"/>
    <s v="네이버 브랜드검색"/>
    <x v="0"/>
    <m/>
    <m/>
    <x v="1"/>
    <x v="0"/>
    <m/>
    <n v="20000"/>
    <m/>
  </r>
  <r>
    <x v="109"/>
    <x v="4"/>
    <s v="네이버 브랜드검색"/>
    <x v="0"/>
    <m/>
    <m/>
    <x v="1"/>
    <x v="0"/>
    <m/>
    <n v="20000"/>
    <m/>
  </r>
  <r>
    <x v="110"/>
    <x v="0"/>
    <s v="네이버 브랜드검색"/>
    <x v="0"/>
    <m/>
    <m/>
    <x v="1"/>
    <x v="0"/>
    <m/>
    <n v="20000"/>
    <m/>
  </r>
  <r>
    <x v="111"/>
    <x v="1"/>
    <s v="네이버 브랜드검색"/>
    <x v="0"/>
    <m/>
    <m/>
    <x v="1"/>
    <x v="0"/>
    <m/>
    <n v="20000"/>
    <m/>
  </r>
  <r>
    <x v="112"/>
    <x v="5"/>
    <s v="네이버 브랜드검색"/>
    <x v="0"/>
    <m/>
    <m/>
    <x v="1"/>
    <x v="0"/>
    <m/>
    <n v="20000"/>
    <m/>
  </r>
  <r>
    <x v="113"/>
    <x v="6"/>
    <s v="네이버 브랜드검색"/>
    <x v="0"/>
    <m/>
    <m/>
    <x v="1"/>
    <x v="0"/>
    <m/>
    <n v="20000"/>
    <m/>
  </r>
  <r>
    <x v="114"/>
    <x v="2"/>
    <s v="네이버 브랜드검색"/>
    <x v="0"/>
    <m/>
    <m/>
    <x v="1"/>
    <x v="0"/>
    <m/>
    <n v="20000"/>
    <m/>
  </r>
  <r>
    <x v="115"/>
    <x v="3"/>
    <s v="네이버 브랜드검색"/>
    <x v="0"/>
    <m/>
    <m/>
    <x v="1"/>
    <x v="0"/>
    <m/>
    <n v="20000"/>
    <m/>
  </r>
  <r>
    <x v="116"/>
    <x v="4"/>
    <s v="네이버 브랜드검색"/>
    <x v="0"/>
    <m/>
    <m/>
    <x v="1"/>
    <x v="0"/>
    <m/>
    <n v="20000"/>
    <m/>
  </r>
  <r>
    <x v="117"/>
    <x v="0"/>
    <s v="네이버 브랜드검색"/>
    <x v="0"/>
    <m/>
    <m/>
    <x v="1"/>
    <x v="0"/>
    <m/>
    <n v="20000"/>
    <m/>
  </r>
  <r>
    <x v="118"/>
    <x v="1"/>
    <s v="네이버 브랜드검색"/>
    <x v="0"/>
    <m/>
    <m/>
    <x v="1"/>
    <x v="0"/>
    <m/>
    <n v="20000"/>
    <m/>
  </r>
  <r>
    <x v="119"/>
    <x v="5"/>
    <s v="네이버 브랜드검색"/>
    <x v="0"/>
    <m/>
    <m/>
    <x v="1"/>
    <x v="0"/>
    <m/>
    <n v="20000"/>
    <m/>
  </r>
  <r>
    <x v="120"/>
    <x v="6"/>
    <s v="네이버 브랜드검색"/>
    <x v="0"/>
    <m/>
    <m/>
    <x v="1"/>
    <x v="0"/>
    <m/>
    <n v="20000"/>
    <m/>
  </r>
  <r>
    <x v="121"/>
    <x v="2"/>
    <s v="네이버 브랜드검색"/>
    <x v="0"/>
    <m/>
    <m/>
    <x v="1"/>
    <x v="0"/>
    <m/>
    <n v="20000"/>
    <m/>
  </r>
  <r>
    <x v="122"/>
    <x v="3"/>
    <s v="네이버 브랜드검색"/>
    <x v="0"/>
    <m/>
    <m/>
    <x v="1"/>
    <x v="0"/>
    <m/>
    <n v="20000"/>
    <m/>
  </r>
  <r>
    <x v="123"/>
    <x v="4"/>
    <s v="네이버 브랜드검색"/>
    <x v="0"/>
    <m/>
    <m/>
    <x v="1"/>
    <x v="0"/>
    <m/>
    <n v="20000"/>
    <m/>
  </r>
  <r>
    <x v="124"/>
    <x v="0"/>
    <s v="네이버 브랜드검색"/>
    <x v="0"/>
    <m/>
    <m/>
    <x v="1"/>
    <x v="0"/>
    <m/>
    <n v="20000"/>
    <m/>
  </r>
  <r>
    <x v="125"/>
    <x v="1"/>
    <s v="네이버 브랜드검색"/>
    <x v="0"/>
    <m/>
    <m/>
    <x v="1"/>
    <x v="0"/>
    <m/>
    <n v="20000"/>
    <m/>
  </r>
  <r>
    <x v="126"/>
    <x v="5"/>
    <s v="네이버 브랜드검색"/>
    <x v="0"/>
    <m/>
    <m/>
    <x v="1"/>
    <x v="0"/>
    <m/>
    <n v="20000"/>
    <m/>
  </r>
  <r>
    <x v="127"/>
    <x v="6"/>
    <s v="네이버 브랜드검색"/>
    <x v="0"/>
    <m/>
    <m/>
    <x v="1"/>
    <x v="0"/>
    <m/>
    <n v="20000"/>
    <m/>
  </r>
  <r>
    <x v="128"/>
    <x v="2"/>
    <s v="네이버 브랜드검색"/>
    <x v="0"/>
    <m/>
    <m/>
    <x v="1"/>
    <x v="0"/>
    <m/>
    <n v="20000"/>
    <m/>
  </r>
  <r>
    <x v="129"/>
    <x v="3"/>
    <s v="네이버 브랜드검색"/>
    <x v="0"/>
    <m/>
    <m/>
    <x v="1"/>
    <x v="0"/>
    <m/>
    <n v="20000"/>
    <m/>
  </r>
  <r>
    <x v="130"/>
    <x v="4"/>
    <s v="네이버 브랜드검색"/>
    <x v="0"/>
    <m/>
    <m/>
    <x v="1"/>
    <x v="0"/>
    <m/>
    <n v="20000"/>
    <m/>
  </r>
  <r>
    <x v="131"/>
    <x v="0"/>
    <s v="네이버 브랜드검색"/>
    <x v="0"/>
    <m/>
    <m/>
    <x v="1"/>
    <x v="0"/>
    <m/>
    <n v="20000"/>
    <m/>
  </r>
  <r>
    <x v="132"/>
    <x v="1"/>
    <s v="네이버 브랜드검색"/>
    <x v="0"/>
    <m/>
    <m/>
    <x v="1"/>
    <x v="0"/>
    <m/>
    <n v="20000"/>
    <m/>
  </r>
  <r>
    <x v="133"/>
    <x v="5"/>
    <s v="네이버 브랜드검색"/>
    <x v="0"/>
    <m/>
    <m/>
    <x v="1"/>
    <x v="0"/>
    <m/>
    <n v="20000"/>
    <m/>
  </r>
  <r>
    <x v="134"/>
    <x v="6"/>
    <s v="네이버 브랜드검색"/>
    <x v="0"/>
    <m/>
    <m/>
    <x v="1"/>
    <x v="0"/>
    <m/>
    <n v="20000"/>
    <m/>
  </r>
  <r>
    <x v="135"/>
    <x v="2"/>
    <s v="네이버 브랜드검색"/>
    <x v="0"/>
    <m/>
    <m/>
    <x v="1"/>
    <x v="0"/>
    <m/>
    <n v="20000"/>
    <m/>
  </r>
  <r>
    <x v="136"/>
    <x v="3"/>
    <s v="네이버 브랜드검색"/>
    <x v="0"/>
    <m/>
    <m/>
    <x v="1"/>
    <x v="0"/>
    <m/>
    <n v="20000"/>
    <m/>
  </r>
  <r>
    <x v="137"/>
    <x v="4"/>
    <s v="네이버 브랜드검색"/>
    <x v="0"/>
    <m/>
    <m/>
    <x v="1"/>
    <x v="0"/>
    <m/>
    <n v="20000"/>
    <m/>
  </r>
  <r>
    <x v="138"/>
    <x v="0"/>
    <s v="네이버 브랜드검색"/>
    <x v="0"/>
    <m/>
    <m/>
    <x v="1"/>
    <x v="0"/>
    <m/>
    <n v="20000"/>
    <m/>
  </r>
  <r>
    <x v="139"/>
    <x v="1"/>
    <s v="네이버 브랜드검색"/>
    <x v="0"/>
    <m/>
    <m/>
    <x v="1"/>
    <x v="0"/>
    <m/>
    <n v="20000"/>
    <m/>
  </r>
  <r>
    <x v="140"/>
    <x v="5"/>
    <s v="네이버 브랜드검색"/>
    <x v="0"/>
    <m/>
    <m/>
    <x v="1"/>
    <x v="0"/>
    <m/>
    <n v="20000"/>
    <m/>
  </r>
  <r>
    <x v="141"/>
    <x v="6"/>
    <s v="네이버 브랜드검색"/>
    <x v="0"/>
    <m/>
    <m/>
    <x v="1"/>
    <x v="0"/>
    <m/>
    <n v="20000"/>
    <m/>
  </r>
  <r>
    <x v="142"/>
    <x v="2"/>
    <s v="네이버 브랜드검색"/>
    <x v="0"/>
    <m/>
    <m/>
    <x v="1"/>
    <x v="0"/>
    <m/>
    <n v="20000"/>
    <m/>
  </r>
  <r>
    <x v="143"/>
    <x v="3"/>
    <s v="네이버 브랜드검색"/>
    <x v="0"/>
    <m/>
    <m/>
    <x v="1"/>
    <x v="0"/>
    <m/>
    <n v="20000"/>
    <m/>
  </r>
  <r>
    <x v="144"/>
    <x v="4"/>
    <s v="네이버 브랜드검색"/>
    <x v="0"/>
    <m/>
    <m/>
    <x v="1"/>
    <x v="0"/>
    <m/>
    <n v="20000"/>
    <m/>
  </r>
  <r>
    <x v="145"/>
    <x v="0"/>
    <s v="네이버 브랜드검색"/>
    <x v="0"/>
    <m/>
    <m/>
    <x v="1"/>
    <x v="0"/>
    <m/>
    <n v="20000"/>
    <m/>
  </r>
  <r>
    <x v="146"/>
    <x v="1"/>
    <s v="네이버 브랜드검색"/>
    <x v="0"/>
    <m/>
    <m/>
    <x v="1"/>
    <x v="0"/>
    <m/>
    <n v="20000"/>
    <m/>
  </r>
  <r>
    <x v="147"/>
    <x v="5"/>
    <s v="네이버 브랜드검색"/>
    <x v="0"/>
    <m/>
    <m/>
    <x v="1"/>
    <x v="0"/>
    <m/>
    <n v="20000"/>
    <m/>
  </r>
  <r>
    <x v="148"/>
    <x v="6"/>
    <s v="네이버 브랜드검색"/>
    <x v="0"/>
    <m/>
    <m/>
    <x v="1"/>
    <x v="0"/>
    <m/>
    <n v="20000"/>
    <m/>
  </r>
  <r>
    <x v="149"/>
    <x v="2"/>
    <s v="네이버 브랜드검색"/>
    <x v="0"/>
    <m/>
    <m/>
    <x v="1"/>
    <x v="0"/>
    <m/>
    <n v="20000"/>
    <m/>
  </r>
  <r>
    <x v="150"/>
    <x v="3"/>
    <s v="네이버 브랜드검색"/>
    <x v="0"/>
    <m/>
    <m/>
    <x v="1"/>
    <x v="0"/>
    <m/>
    <n v="20000"/>
    <m/>
  </r>
  <r>
    <x v="151"/>
    <x v="4"/>
    <s v="네이버 브랜드검색"/>
    <x v="0"/>
    <m/>
    <m/>
    <x v="1"/>
    <x v="0"/>
    <m/>
    <n v="60000"/>
    <m/>
  </r>
  <r>
    <x v="152"/>
    <x v="0"/>
    <s v="네이버 브랜드검색"/>
    <x v="0"/>
    <m/>
    <m/>
    <x v="1"/>
    <x v="0"/>
    <m/>
    <n v="60000"/>
    <m/>
  </r>
  <r>
    <x v="153"/>
    <x v="1"/>
    <s v="네이버 브랜드검색"/>
    <x v="0"/>
    <m/>
    <m/>
    <x v="1"/>
    <x v="0"/>
    <m/>
    <n v="60000"/>
    <m/>
  </r>
  <r>
    <x v="154"/>
    <x v="5"/>
    <s v="네이버 브랜드검색"/>
    <x v="0"/>
    <m/>
    <m/>
    <x v="1"/>
    <x v="0"/>
    <m/>
    <n v="60000"/>
    <m/>
  </r>
  <r>
    <x v="155"/>
    <x v="6"/>
    <s v="네이버 브랜드검색"/>
    <x v="0"/>
    <m/>
    <m/>
    <x v="1"/>
    <x v="0"/>
    <m/>
    <n v="60000"/>
    <m/>
  </r>
  <r>
    <x v="156"/>
    <x v="2"/>
    <s v="네이버 브랜드검색"/>
    <x v="0"/>
    <m/>
    <m/>
    <x v="1"/>
    <x v="0"/>
    <m/>
    <n v="60000"/>
    <m/>
  </r>
  <r>
    <x v="157"/>
    <x v="3"/>
    <s v="네이버 브랜드검색"/>
    <x v="0"/>
    <m/>
    <m/>
    <x v="1"/>
    <x v="0"/>
    <m/>
    <n v="60000"/>
    <m/>
  </r>
  <r>
    <x v="158"/>
    <x v="4"/>
    <s v="네이버 브랜드검색"/>
    <x v="0"/>
    <m/>
    <m/>
    <x v="1"/>
    <x v="0"/>
    <m/>
    <n v="60000"/>
    <m/>
  </r>
  <r>
    <x v="159"/>
    <x v="0"/>
    <s v="네이버 브랜드검색"/>
    <x v="0"/>
    <m/>
    <m/>
    <x v="1"/>
    <x v="0"/>
    <m/>
    <n v="60000"/>
    <m/>
  </r>
  <r>
    <x v="160"/>
    <x v="1"/>
    <s v="네이버 브랜드검색"/>
    <x v="0"/>
    <m/>
    <m/>
    <x v="1"/>
    <x v="0"/>
    <m/>
    <n v="60000"/>
    <m/>
  </r>
  <r>
    <x v="161"/>
    <x v="5"/>
    <s v="네이버 브랜드검색"/>
    <x v="0"/>
    <m/>
    <m/>
    <x v="1"/>
    <x v="0"/>
    <m/>
    <n v="60000"/>
    <m/>
  </r>
  <r>
    <x v="162"/>
    <x v="6"/>
    <s v="네이버 브랜드검색"/>
    <x v="0"/>
    <m/>
    <m/>
    <x v="1"/>
    <x v="0"/>
    <m/>
    <n v="60000"/>
    <m/>
  </r>
  <r>
    <x v="163"/>
    <x v="2"/>
    <s v="네이버 브랜드검색"/>
    <x v="0"/>
    <m/>
    <m/>
    <x v="1"/>
    <x v="0"/>
    <m/>
    <n v="60000"/>
    <m/>
  </r>
  <r>
    <x v="164"/>
    <x v="3"/>
    <s v="네이버 브랜드검색"/>
    <x v="0"/>
    <m/>
    <m/>
    <x v="1"/>
    <x v="0"/>
    <m/>
    <n v="60000"/>
    <m/>
  </r>
  <r>
    <x v="165"/>
    <x v="4"/>
    <s v="네이버 브랜드검색"/>
    <x v="0"/>
    <m/>
    <m/>
    <x v="1"/>
    <x v="0"/>
    <m/>
    <n v="60000"/>
    <m/>
  </r>
  <r>
    <x v="166"/>
    <x v="0"/>
    <s v="네이버 브랜드검색"/>
    <x v="0"/>
    <m/>
    <m/>
    <x v="1"/>
    <x v="0"/>
    <m/>
    <n v="60000"/>
    <m/>
  </r>
  <r>
    <x v="167"/>
    <x v="1"/>
    <s v="네이버 브랜드검색"/>
    <x v="0"/>
    <m/>
    <m/>
    <x v="1"/>
    <x v="0"/>
    <m/>
    <n v="60000"/>
    <m/>
  </r>
  <r>
    <x v="168"/>
    <x v="5"/>
    <s v="네이버 브랜드검색"/>
    <x v="0"/>
    <m/>
    <m/>
    <x v="1"/>
    <x v="0"/>
    <m/>
    <n v="60000"/>
    <m/>
  </r>
  <r>
    <x v="169"/>
    <x v="6"/>
    <s v="네이버 브랜드검색"/>
    <x v="0"/>
    <m/>
    <m/>
    <x v="1"/>
    <x v="0"/>
    <m/>
    <n v="60000"/>
    <m/>
  </r>
  <r>
    <x v="170"/>
    <x v="2"/>
    <s v="네이버 브랜드검색"/>
    <x v="0"/>
    <m/>
    <m/>
    <x v="1"/>
    <x v="0"/>
    <m/>
    <n v="60000"/>
    <m/>
  </r>
  <r>
    <x v="171"/>
    <x v="3"/>
    <s v="네이버 브랜드검색"/>
    <x v="0"/>
    <m/>
    <m/>
    <x v="1"/>
    <x v="0"/>
    <m/>
    <n v="60000"/>
    <m/>
  </r>
  <r>
    <x v="172"/>
    <x v="4"/>
    <s v="네이버 브랜드검색"/>
    <x v="0"/>
    <m/>
    <m/>
    <x v="1"/>
    <x v="0"/>
    <m/>
    <n v="60000"/>
    <m/>
  </r>
  <r>
    <x v="173"/>
    <x v="0"/>
    <s v="네이버 브랜드검색"/>
    <x v="0"/>
    <m/>
    <m/>
    <x v="1"/>
    <x v="0"/>
    <m/>
    <n v="60000"/>
    <m/>
  </r>
  <r>
    <x v="174"/>
    <x v="1"/>
    <s v="네이버 브랜드검색"/>
    <x v="0"/>
    <m/>
    <m/>
    <x v="1"/>
    <x v="0"/>
    <m/>
    <n v="60000"/>
    <m/>
  </r>
  <r>
    <x v="175"/>
    <x v="5"/>
    <s v="네이버 브랜드검색"/>
    <x v="0"/>
    <m/>
    <m/>
    <x v="1"/>
    <x v="0"/>
    <m/>
    <n v="60000"/>
    <m/>
  </r>
  <r>
    <x v="176"/>
    <x v="6"/>
    <s v="네이버 브랜드검색"/>
    <x v="0"/>
    <m/>
    <m/>
    <x v="1"/>
    <x v="0"/>
    <m/>
    <n v="60000"/>
    <m/>
  </r>
  <r>
    <x v="177"/>
    <x v="2"/>
    <s v="네이버 브랜드검색"/>
    <x v="0"/>
    <m/>
    <m/>
    <x v="1"/>
    <x v="0"/>
    <m/>
    <n v="60000"/>
    <m/>
  </r>
  <r>
    <x v="178"/>
    <x v="3"/>
    <s v="네이버 브랜드검색"/>
    <x v="0"/>
    <m/>
    <m/>
    <x v="1"/>
    <x v="0"/>
    <m/>
    <n v="60000"/>
    <m/>
  </r>
  <r>
    <x v="179"/>
    <x v="4"/>
    <s v="네이버 브랜드검색"/>
    <x v="0"/>
    <m/>
    <m/>
    <x v="1"/>
    <x v="0"/>
    <m/>
    <n v="60000"/>
    <m/>
  </r>
  <r>
    <x v="180"/>
    <x v="0"/>
    <s v="네이버 브랜드검색"/>
    <x v="0"/>
    <m/>
    <m/>
    <x v="1"/>
    <x v="0"/>
    <m/>
    <n v="60000"/>
    <m/>
  </r>
  <r>
    <x v="181"/>
    <x v="1"/>
    <s v="네이버 브랜드검색"/>
    <x v="0"/>
    <m/>
    <m/>
    <x v="1"/>
    <x v="0"/>
    <m/>
    <n v="60000"/>
    <m/>
  </r>
  <r>
    <x v="182"/>
    <x v="5"/>
    <s v="네이버 브랜드검색"/>
    <x v="0"/>
    <m/>
    <m/>
    <x v="1"/>
    <x v="0"/>
    <m/>
    <n v="60000"/>
    <m/>
  </r>
  <r>
    <x v="183"/>
    <x v="6"/>
    <s v="네이버 브랜드검색"/>
    <x v="0"/>
    <m/>
    <m/>
    <x v="1"/>
    <x v="0"/>
    <m/>
    <n v="60000"/>
    <m/>
  </r>
  <r>
    <x v="184"/>
    <x v="2"/>
    <s v="네이버 브랜드검색"/>
    <x v="0"/>
    <m/>
    <m/>
    <x v="1"/>
    <x v="0"/>
    <m/>
    <n v="60000"/>
    <m/>
  </r>
  <r>
    <x v="185"/>
    <x v="3"/>
    <s v="네이버 브랜드검색"/>
    <x v="0"/>
    <m/>
    <m/>
    <x v="1"/>
    <x v="0"/>
    <m/>
    <n v="60000"/>
    <m/>
  </r>
  <r>
    <x v="186"/>
    <x v="4"/>
    <s v="네이버 브랜드검색"/>
    <x v="0"/>
    <m/>
    <m/>
    <x v="1"/>
    <x v="0"/>
    <m/>
    <n v="60000"/>
    <m/>
  </r>
  <r>
    <x v="187"/>
    <x v="0"/>
    <s v="네이버 브랜드검색"/>
    <x v="0"/>
    <m/>
    <m/>
    <x v="1"/>
    <x v="0"/>
    <m/>
    <n v="60000"/>
    <m/>
  </r>
  <r>
    <x v="188"/>
    <x v="1"/>
    <s v="네이버 브랜드검색"/>
    <x v="0"/>
    <m/>
    <m/>
    <x v="1"/>
    <x v="0"/>
    <m/>
    <n v="60000"/>
    <m/>
  </r>
  <r>
    <x v="189"/>
    <x v="5"/>
    <s v="네이버 브랜드검색"/>
    <x v="0"/>
    <m/>
    <m/>
    <x v="1"/>
    <x v="0"/>
    <m/>
    <n v="60000"/>
    <m/>
  </r>
  <r>
    <x v="190"/>
    <x v="6"/>
    <s v="네이버 브랜드검색"/>
    <x v="0"/>
    <m/>
    <m/>
    <x v="1"/>
    <x v="0"/>
    <m/>
    <n v="60000"/>
    <m/>
  </r>
  <r>
    <x v="191"/>
    <x v="2"/>
    <s v="네이버 브랜드검색"/>
    <x v="0"/>
    <m/>
    <m/>
    <x v="1"/>
    <x v="0"/>
    <m/>
    <n v="60000"/>
    <m/>
  </r>
  <r>
    <x v="192"/>
    <x v="3"/>
    <s v="네이버 브랜드검색"/>
    <x v="0"/>
    <m/>
    <m/>
    <x v="1"/>
    <x v="0"/>
    <m/>
    <n v="60000"/>
    <m/>
  </r>
  <r>
    <x v="193"/>
    <x v="4"/>
    <s v="네이버 브랜드검색"/>
    <x v="0"/>
    <m/>
    <m/>
    <x v="1"/>
    <x v="0"/>
    <m/>
    <n v="60000"/>
    <m/>
  </r>
  <r>
    <x v="194"/>
    <x v="0"/>
    <s v="네이버 브랜드검색"/>
    <x v="0"/>
    <m/>
    <m/>
    <x v="1"/>
    <x v="0"/>
    <m/>
    <n v="60000"/>
    <m/>
  </r>
  <r>
    <x v="195"/>
    <x v="1"/>
    <s v="네이버 브랜드검색"/>
    <x v="0"/>
    <m/>
    <m/>
    <x v="1"/>
    <x v="0"/>
    <m/>
    <n v="60000"/>
    <m/>
  </r>
  <r>
    <x v="196"/>
    <x v="5"/>
    <s v="네이버 브랜드검색"/>
    <x v="0"/>
    <m/>
    <m/>
    <x v="1"/>
    <x v="0"/>
    <m/>
    <n v="60000"/>
    <m/>
  </r>
  <r>
    <x v="197"/>
    <x v="6"/>
    <s v="네이버 브랜드검색"/>
    <x v="0"/>
    <m/>
    <m/>
    <x v="1"/>
    <x v="0"/>
    <m/>
    <n v="60000"/>
    <m/>
  </r>
  <r>
    <x v="198"/>
    <x v="2"/>
    <s v="네이버 브랜드검색"/>
    <x v="0"/>
    <m/>
    <m/>
    <x v="1"/>
    <x v="0"/>
    <m/>
    <n v="60000"/>
    <m/>
  </r>
  <r>
    <x v="199"/>
    <x v="3"/>
    <s v="네이버 브랜드검색"/>
    <x v="0"/>
    <m/>
    <m/>
    <x v="1"/>
    <x v="0"/>
    <m/>
    <n v="60000"/>
    <m/>
  </r>
  <r>
    <x v="200"/>
    <x v="4"/>
    <s v="네이버 브랜드검색"/>
    <x v="0"/>
    <m/>
    <m/>
    <x v="1"/>
    <x v="0"/>
    <m/>
    <n v="60000"/>
    <m/>
  </r>
  <r>
    <x v="201"/>
    <x v="0"/>
    <s v="네이버 브랜드검색"/>
    <x v="0"/>
    <m/>
    <m/>
    <x v="1"/>
    <x v="0"/>
    <m/>
    <n v="60000"/>
    <m/>
  </r>
  <r>
    <x v="202"/>
    <x v="1"/>
    <s v="네이버 브랜드검색"/>
    <x v="0"/>
    <m/>
    <m/>
    <x v="1"/>
    <x v="0"/>
    <m/>
    <n v="60000"/>
    <m/>
  </r>
  <r>
    <x v="203"/>
    <x v="5"/>
    <s v="네이버 브랜드검색"/>
    <x v="0"/>
    <m/>
    <m/>
    <x v="1"/>
    <x v="0"/>
    <m/>
    <n v="60000"/>
    <m/>
  </r>
  <r>
    <x v="204"/>
    <x v="6"/>
    <s v="네이버 브랜드검색"/>
    <x v="0"/>
    <m/>
    <m/>
    <x v="1"/>
    <x v="0"/>
    <m/>
    <n v="60000"/>
    <m/>
  </r>
  <r>
    <x v="205"/>
    <x v="2"/>
    <s v="네이버 브랜드검색"/>
    <x v="0"/>
    <m/>
    <m/>
    <x v="1"/>
    <x v="0"/>
    <m/>
    <n v="60000"/>
    <m/>
  </r>
  <r>
    <x v="206"/>
    <x v="3"/>
    <s v="네이버 브랜드검색"/>
    <x v="0"/>
    <m/>
    <m/>
    <x v="1"/>
    <x v="0"/>
    <m/>
    <n v="60000"/>
    <m/>
  </r>
  <r>
    <x v="207"/>
    <x v="4"/>
    <s v="네이버 브랜드검색"/>
    <x v="0"/>
    <m/>
    <m/>
    <x v="1"/>
    <x v="0"/>
    <m/>
    <n v="60000"/>
    <m/>
  </r>
  <r>
    <x v="208"/>
    <x v="0"/>
    <s v="네이버 브랜드검색"/>
    <x v="0"/>
    <m/>
    <m/>
    <x v="1"/>
    <x v="0"/>
    <m/>
    <n v="60000"/>
    <m/>
  </r>
  <r>
    <x v="209"/>
    <x v="1"/>
    <s v="네이버 브랜드검색"/>
    <x v="0"/>
    <m/>
    <m/>
    <x v="1"/>
    <x v="0"/>
    <m/>
    <n v="60000"/>
    <m/>
  </r>
  <r>
    <x v="210"/>
    <x v="5"/>
    <s v="네이버 브랜드검색"/>
    <x v="0"/>
    <m/>
    <m/>
    <x v="1"/>
    <x v="0"/>
    <m/>
    <n v="60000"/>
    <m/>
  </r>
  <r>
    <x v="211"/>
    <x v="6"/>
    <s v="네이버 브랜드검색"/>
    <x v="0"/>
    <m/>
    <m/>
    <x v="1"/>
    <x v="0"/>
    <m/>
    <n v="60000"/>
    <m/>
  </r>
  <r>
    <x v="212"/>
    <x v="2"/>
    <s v="네이버 브랜드검색"/>
    <x v="0"/>
    <m/>
    <m/>
    <x v="1"/>
    <x v="0"/>
    <m/>
    <n v="60000"/>
    <m/>
  </r>
  <r>
    <x v="213"/>
    <x v="3"/>
    <s v="네이버 브랜드검색"/>
    <x v="0"/>
    <m/>
    <m/>
    <x v="1"/>
    <x v="0"/>
    <m/>
    <n v="60000"/>
    <m/>
  </r>
  <r>
    <x v="214"/>
    <x v="4"/>
    <s v="네이버 브랜드검색"/>
    <x v="0"/>
    <m/>
    <m/>
    <x v="1"/>
    <x v="0"/>
    <m/>
    <n v="60000"/>
    <m/>
  </r>
  <r>
    <x v="215"/>
    <x v="0"/>
    <s v="네이버 브랜드검색"/>
    <x v="0"/>
    <m/>
    <m/>
    <x v="1"/>
    <x v="0"/>
    <m/>
    <n v="60000"/>
    <m/>
  </r>
  <r>
    <x v="216"/>
    <x v="1"/>
    <s v="네이버 브랜드검색"/>
    <x v="0"/>
    <m/>
    <m/>
    <x v="1"/>
    <x v="0"/>
    <m/>
    <n v="60000"/>
    <m/>
  </r>
  <r>
    <x v="217"/>
    <x v="5"/>
    <s v="네이버 브랜드검색"/>
    <x v="0"/>
    <m/>
    <m/>
    <x v="1"/>
    <x v="0"/>
    <m/>
    <n v="60000"/>
    <m/>
  </r>
  <r>
    <x v="218"/>
    <x v="6"/>
    <s v="네이버 브랜드검색"/>
    <x v="0"/>
    <m/>
    <m/>
    <x v="1"/>
    <x v="0"/>
    <m/>
    <n v="60000"/>
    <m/>
  </r>
  <r>
    <x v="219"/>
    <x v="2"/>
    <s v="네이버 브랜드검색"/>
    <x v="0"/>
    <m/>
    <m/>
    <x v="1"/>
    <x v="0"/>
    <m/>
    <n v="60000"/>
    <m/>
  </r>
  <r>
    <x v="220"/>
    <x v="3"/>
    <s v="네이버 브랜드검색"/>
    <x v="0"/>
    <m/>
    <m/>
    <x v="1"/>
    <x v="0"/>
    <m/>
    <n v="60000"/>
    <m/>
  </r>
  <r>
    <x v="221"/>
    <x v="4"/>
    <s v="네이버 브랜드검색"/>
    <x v="0"/>
    <m/>
    <m/>
    <x v="1"/>
    <x v="0"/>
    <m/>
    <n v="60000"/>
    <m/>
  </r>
  <r>
    <x v="222"/>
    <x v="0"/>
    <s v="네이버 브랜드검색"/>
    <x v="0"/>
    <m/>
    <m/>
    <x v="1"/>
    <x v="0"/>
    <m/>
    <n v="60000"/>
    <m/>
  </r>
  <r>
    <x v="223"/>
    <x v="1"/>
    <s v="네이버 브랜드검색"/>
    <x v="0"/>
    <m/>
    <m/>
    <x v="1"/>
    <x v="0"/>
    <m/>
    <n v="60000"/>
    <m/>
  </r>
  <r>
    <x v="224"/>
    <x v="5"/>
    <s v="네이버 브랜드검색"/>
    <x v="0"/>
    <m/>
    <m/>
    <x v="1"/>
    <x v="0"/>
    <m/>
    <n v="60000"/>
    <m/>
  </r>
  <r>
    <x v="225"/>
    <x v="6"/>
    <s v="네이버 브랜드검색"/>
    <x v="0"/>
    <m/>
    <m/>
    <x v="1"/>
    <x v="0"/>
    <m/>
    <n v="60000"/>
    <m/>
  </r>
  <r>
    <x v="226"/>
    <x v="2"/>
    <s v="네이버 브랜드검색"/>
    <x v="0"/>
    <m/>
    <m/>
    <x v="1"/>
    <x v="0"/>
    <m/>
    <n v="60000"/>
    <m/>
  </r>
  <r>
    <x v="227"/>
    <x v="3"/>
    <s v="네이버 브랜드검색"/>
    <x v="0"/>
    <m/>
    <m/>
    <x v="1"/>
    <x v="0"/>
    <m/>
    <n v="60000"/>
    <m/>
  </r>
  <r>
    <x v="228"/>
    <x v="4"/>
    <s v="네이버 브랜드검색"/>
    <x v="0"/>
    <m/>
    <m/>
    <x v="1"/>
    <x v="0"/>
    <m/>
    <n v="60000"/>
    <m/>
  </r>
  <r>
    <x v="229"/>
    <x v="0"/>
    <s v="네이버 브랜드검색"/>
    <x v="0"/>
    <m/>
    <m/>
    <x v="1"/>
    <x v="0"/>
    <m/>
    <n v="60000"/>
    <m/>
  </r>
  <r>
    <x v="230"/>
    <x v="1"/>
    <s v="네이버 브랜드검색"/>
    <x v="0"/>
    <m/>
    <m/>
    <x v="1"/>
    <x v="0"/>
    <m/>
    <n v="60000"/>
    <m/>
  </r>
  <r>
    <x v="231"/>
    <x v="5"/>
    <s v="네이버 브랜드검색"/>
    <x v="0"/>
    <m/>
    <m/>
    <x v="1"/>
    <x v="0"/>
    <m/>
    <n v="60000"/>
    <m/>
  </r>
  <r>
    <x v="232"/>
    <x v="6"/>
    <s v="네이버 브랜드검색"/>
    <x v="0"/>
    <m/>
    <m/>
    <x v="1"/>
    <x v="0"/>
    <m/>
    <n v="60000"/>
    <m/>
  </r>
  <r>
    <x v="233"/>
    <x v="2"/>
    <s v="네이버 브랜드검색"/>
    <x v="0"/>
    <m/>
    <m/>
    <x v="1"/>
    <x v="0"/>
    <m/>
    <n v="60000"/>
    <m/>
  </r>
  <r>
    <x v="234"/>
    <x v="3"/>
    <s v="네이버 브랜드검색"/>
    <x v="0"/>
    <m/>
    <m/>
    <x v="1"/>
    <x v="0"/>
    <m/>
    <n v="60000"/>
    <m/>
  </r>
  <r>
    <x v="235"/>
    <x v="4"/>
    <s v="네이버 브랜드검색"/>
    <x v="0"/>
    <m/>
    <m/>
    <x v="1"/>
    <x v="0"/>
    <m/>
    <n v="60000"/>
    <m/>
  </r>
  <r>
    <x v="236"/>
    <x v="0"/>
    <s v="네이버 브랜드검색"/>
    <x v="0"/>
    <m/>
    <m/>
    <x v="1"/>
    <x v="0"/>
    <m/>
    <n v="60000"/>
    <m/>
  </r>
  <r>
    <x v="237"/>
    <x v="1"/>
    <s v="네이버 브랜드검색"/>
    <x v="0"/>
    <m/>
    <m/>
    <x v="1"/>
    <x v="0"/>
    <m/>
    <n v="60000"/>
    <m/>
  </r>
  <r>
    <x v="238"/>
    <x v="5"/>
    <s v="네이버 브랜드검색"/>
    <x v="0"/>
    <m/>
    <m/>
    <x v="1"/>
    <x v="0"/>
    <m/>
    <n v="60000"/>
    <m/>
  </r>
  <r>
    <x v="239"/>
    <x v="6"/>
    <s v="네이버 브랜드검색"/>
    <x v="0"/>
    <m/>
    <m/>
    <x v="1"/>
    <x v="0"/>
    <m/>
    <n v="60000"/>
    <m/>
  </r>
  <r>
    <x v="240"/>
    <x v="2"/>
    <s v="네이버 브랜드검색"/>
    <x v="0"/>
    <m/>
    <m/>
    <x v="1"/>
    <x v="0"/>
    <m/>
    <n v="60000"/>
    <m/>
  </r>
  <r>
    <x v="241"/>
    <x v="3"/>
    <s v="네이버 브랜드검색"/>
    <x v="0"/>
    <m/>
    <m/>
    <x v="1"/>
    <x v="0"/>
    <m/>
    <n v="60000"/>
    <m/>
  </r>
  <r>
    <x v="242"/>
    <x v="4"/>
    <s v="네이버 브랜드검색"/>
    <x v="0"/>
    <m/>
    <m/>
    <x v="1"/>
    <x v="0"/>
    <m/>
    <n v="60000"/>
    <m/>
  </r>
  <r>
    <x v="243"/>
    <x v="0"/>
    <s v="네이버 브랜드검색"/>
    <x v="0"/>
    <m/>
    <m/>
    <x v="1"/>
    <x v="0"/>
    <m/>
    <n v="140000"/>
    <m/>
  </r>
  <r>
    <x v="244"/>
    <x v="1"/>
    <s v="네이버 브랜드검색"/>
    <x v="0"/>
    <m/>
    <m/>
    <x v="1"/>
    <x v="0"/>
    <m/>
    <n v="140000"/>
    <m/>
  </r>
  <r>
    <x v="245"/>
    <x v="5"/>
    <s v="네이버 브랜드검색"/>
    <x v="0"/>
    <m/>
    <m/>
    <x v="1"/>
    <x v="0"/>
    <m/>
    <n v="140000"/>
    <m/>
  </r>
  <r>
    <x v="246"/>
    <x v="6"/>
    <s v="네이버 브랜드검색"/>
    <x v="0"/>
    <m/>
    <m/>
    <x v="1"/>
    <x v="0"/>
    <m/>
    <n v="140000"/>
    <m/>
  </r>
  <r>
    <x v="247"/>
    <x v="2"/>
    <s v="네이버 브랜드검색"/>
    <x v="0"/>
    <m/>
    <m/>
    <x v="1"/>
    <x v="0"/>
    <m/>
    <n v="140000"/>
    <m/>
  </r>
  <r>
    <x v="248"/>
    <x v="3"/>
    <s v="네이버 브랜드검색"/>
    <x v="0"/>
    <m/>
    <m/>
    <x v="1"/>
    <x v="0"/>
    <m/>
    <n v="140000"/>
    <m/>
  </r>
  <r>
    <x v="249"/>
    <x v="4"/>
    <s v="네이버 브랜드검색"/>
    <x v="0"/>
    <m/>
    <m/>
    <x v="1"/>
    <x v="0"/>
    <m/>
    <n v="140000"/>
    <m/>
  </r>
  <r>
    <x v="250"/>
    <x v="0"/>
    <s v="네이버 브랜드검색"/>
    <x v="0"/>
    <m/>
    <m/>
    <x v="1"/>
    <x v="0"/>
    <m/>
    <n v="140000"/>
    <m/>
  </r>
  <r>
    <x v="251"/>
    <x v="1"/>
    <s v="네이버 브랜드검색"/>
    <x v="0"/>
    <m/>
    <m/>
    <x v="1"/>
    <x v="0"/>
    <m/>
    <n v="140000"/>
    <m/>
  </r>
  <r>
    <x v="252"/>
    <x v="5"/>
    <s v="네이버 브랜드검색"/>
    <x v="0"/>
    <m/>
    <m/>
    <x v="1"/>
    <x v="0"/>
    <m/>
    <n v="140000"/>
    <m/>
  </r>
  <r>
    <x v="253"/>
    <x v="6"/>
    <s v="네이버 브랜드검색"/>
    <x v="0"/>
    <m/>
    <m/>
    <x v="1"/>
    <x v="0"/>
    <m/>
    <n v="140000"/>
    <m/>
  </r>
  <r>
    <x v="254"/>
    <x v="2"/>
    <s v="네이버 브랜드검색"/>
    <x v="0"/>
    <m/>
    <m/>
    <x v="1"/>
    <x v="0"/>
    <m/>
    <n v="140000"/>
    <m/>
  </r>
  <r>
    <x v="255"/>
    <x v="3"/>
    <s v="네이버 브랜드검색"/>
    <x v="0"/>
    <m/>
    <m/>
    <x v="1"/>
    <x v="0"/>
    <m/>
    <n v="140000"/>
    <m/>
  </r>
  <r>
    <x v="256"/>
    <x v="4"/>
    <s v="네이버 브랜드검색"/>
    <x v="0"/>
    <m/>
    <m/>
    <x v="1"/>
    <x v="0"/>
    <m/>
    <n v="140000"/>
    <m/>
  </r>
  <r>
    <x v="257"/>
    <x v="0"/>
    <s v="네이버 브랜드검색"/>
    <x v="0"/>
    <m/>
    <m/>
    <x v="1"/>
    <x v="0"/>
    <m/>
    <n v="140000"/>
    <m/>
  </r>
  <r>
    <x v="258"/>
    <x v="1"/>
    <s v="네이버 브랜드검색"/>
    <x v="0"/>
    <m/>
    <m/>
    <x v="1"/>
    <x v="0"/>
    <m/>
    <n v="140000"/>
    <m/>
  </r>
  <r>
    <x v="259"/>
    <x v="5"/>
    <s v="네이버 브랜드검색"/>
    <x v="0"/>
    <m/>
    <m/>
    <x v="1"/>
    <x v="0"/>
    <m/>
    <n v="140000"/>
    <m/>
  </r>
  <r>
    <x v="260"/>
    <x v="6"/>
    <s v="네이버 브랜드검색"/>
    <x v="0"/>
    <m/>
    <m/>
    <x v="1"/>
    <x v="0"/>
    <m/>
    <n v="140000"/>
    <m/>
  </r>
  <r>
    <x v="261"/>
    <x v="2"/>
    <s v="네이버 브랜드검색"/>
    <x v="0"/>
    <m/>
    <m/>
    <x v="1"/>
    <x v="0"/>
    <m/>
    <n v="140000"/>
    <m/>
  </r>
  <r>
    <x v="151"/>
    <x v="4"/>
    <s v="네이버 배너"/>
    <x v="0"/>
    <m/>
    <m/>
    <x v="1"/>
    <x v="0"/>
    <m/>
    <n v="46071.81818181818"/>
    <m/>
  </r>
  <r>
    <x v="152"/>
    <x v="0"/>
    <s v="네이버 배너"/>
    <x v="0"/>
    <m/>
    <m/>
    <x v="1"/>
    <x v="0"/>
    <m/>
    <n v="124204.5454545454"/>
    <m/>
  </r>
  <r>
    <x v="153"/>
    <x v="1"/>
    <s v="네이버 배너"/>
    <x v="0"/>
    <m/>
    <m/>
    <x v="1"/>
    <x v="0"/>
    <m/>
    <n v="135449.0909090909"/>
    <m/>
  </r>
  <r>
    <x v="154"/>
    <x v="5"/>
    <s v="네이버 배너"/>
    <x v="0"/>
    <m/>
    <m/>
    <x v="1"/>
    <x v="0"/>
    <m/>
    <n v="135052.7272727273"/>
    <m/>
  </r>
  <r>
    <x v="155"/>
    <x v="6"/>
    <s v="네이버 배너"/>
    <x v="0"/>
    <m/>
    <m/>
    <x v="1"/>
    <x v="0"/>
    <m/>
    <n v="467830.9090909091"/>
    <m/>
  </r>
  <r>
    <x v="156"/>
    <x v="2"/>
    <s v="네이버 배너"/>
    <x v="0"/>
    <m/>
    <m/>
    <x v="1"/>
    <x v="0"/>
    <m/>
    <n v="338165.4545454545"/>
    <m/>
  </r>
  <r>
    <x v="157"/>
    <x v="3"/>
    <s v="네이버 배너"/>
    <x v="0"/>
    <m/>
    <m/>
    <x v="1"/>
    <x v="0"/>
    <m/>
    <n v="972794.5454545454"/>
    <m/>
  </r>
  <r>
    <x v="158"/>
    <x v="4"/>
    <s v="네이버 배너"/>
    <x v="0"/>
    <m/>
    <m/>
    <x v="1"/>
    <x v="0"/>
    <m/>
    <n v="865468.1818181818"/>
    <m/>
  </r>
  <r>
    <x v="159"/>
    <x v="0"/>
    <s v="네이버 배너"/>
    <x v="0"/>
    <m/>
    <m/>
    <x v="1"/>
    <x v="0"/>
    <m/>
    <n v="855909.0909090908"/>
    <m/>
  </r>
  <r>
    <x v="160"/>
    <x v="1"/>
    <s v="네이버 배너"/>
    <x v="0"/>
    <m/>
    <m/>
    <x v="1"/>
    <x v="0"/>
    <m/>
    <n v="864159.9999999999"/>
    <m/>
  </r>
  <r>
    <x v="161"/>
    <x v="5"/>
    <s v="네이버 배너"/>
    <x v="0"/>
    <m/>
    <m/>
    <x v="1"/>
    <x v="0"/>
    <m/>
    <n v="817959.9999999999"/>
    <m/>
  </r>
  <r>
    <x v="162"/>
    <x v="6"/>
    <s v="네이버 배너"/>
    <x v="0"/>
    <m/>
    <m/>
    <x v="1"/>
    <x v="0"/>
    <m/>
    <n v="818028.1818181818"/>
    <m/>
  </r>
  <r>
    <x v="163"/>
    <x v="2"/>
    <s v="네이버 배너"/>
    <x v="0"/>
    <m/>
    <m/>
    <x v="1"/>
    <x v="0"/>
    <m/>
    <n v="816223.6363636364"/>
    <m/>
  </r>
  <r>
    <x v="164"/>
    <x v="3"/>
    <s v="네이버 배너"/>
    <x v="0"/>
    <m/>
    <m/>
    <x v="1"/>
    <x v="0"/>
    <m/>
    <n v="1357236.363636364"/>
    <m/>
  </r>
  <r>
    <x v="165"/>
    <x v="4"/>
    <s v="네이버 배너"/>
    <x v="0"/>
    <m/>
    <m/>
    <x v="1"/>
    <x v="0"/>
    <m/>
    <n v="1256259.090909091"/>
    <m/>
  </r>
  <r>
    <x v="166"/>
    <x v="0"/>
    <s v="네이버 배너"/>
    <x v="0"/>
    <m/>
    <m/>
    <x v="1"/>
    <x v="0"/>
    <m/>
    <n v="1252728.181818182"/>
    <m/>
  </r>
  <r>
    <x v="167"/>
    <x v="1"/>
    <s v="네이버 배너"/>
    <x v="0"/>
    <m/>
    <m/>
    <x v="1"/>
    <x v="0"/>
    <m/>
    <n v="1256220.909090909"/>
    <m/>
  </r>
  <r>
    <x v="168"/>
    <x v="5"/>
    <s v="네이버 배너"/>
    <x v="0"/>
    <m/>
    <m/>
    <x v="1"/>
    <x v="0"/>
    <m/>
    <n v="1257098.181818182"/>
    <m/>
  </r>
  <r>
    <x v="169"/>
    <x v="6"/>
    <s v="네이버 배너"/>
    <x v="0"/>
    <m/>
    <m/>
    <x v="1"/>
    <x v="0"/>
    <m/>
    <n v="1254760"/>
    <m/>
  </r>
  <r>
    <x v="170"/>
    <x v="2"/>
    <s v="네이버 배너"/>
    <x v="0"/>
    <m/>
    <m/>
    <x v="1"/>
    <x v="0"/>
    <m/>
    <n v="1257852.727272727"/>
    <m/>
  </r>
  <r>
    <x v="171"/>
    <x v="3"/>
    <s v="네이버 배너"/>
    <x v="0"/>
    <m/>
    <m/>
    <x v="1"/>
    <x v="0"/>
    <m/>
    <n v="1459621.818181818"/>
    <m/>
  </r>
  <r>
    <x v="172"/>
    <x v="4"/>
    <s v="네이버 배너"/>
    <x v="0"/>
    <m/>
    <m/>
    <x v="1"/>
    <x v="0"/>
    <m/>
    <n v="1217340"/>
    <m/>
  </r>
  <r>
    <x v="173"/>
    <x v="0"/>
    <s v="네이버 배너"/>
    <x v="0"/>
    <m/>
    <m/>
    <x v="1"/>
    <x v="0"/>
    <m/>
    <n v="1170777.272727273"/>
    <m/>
  </r>
  <r>
    <x v="174"/>
    <x v="1"/>
    <s v="네이버 배너"/>
    <x v="0"/>
    <m/>
    <m/>
    <x v="1"/>
    <x v="0"/>
    <m/>
    <n v="1206080"/>
    <m/>
  </r>
  <r>
    <x v="175"/>
    <x v="5"/>
    <s v="네이버 배너"/>
    <x v="0"/>
    <m/>
    <m/>
    <x v="1"/>
    <x v="0"/>
    <m/>
    <n v="1181056.363636364"/>
    <m/>
  </r>
  <r>
    <x v="176"/>
    <x v="6"/>
    <s v="네이버 배너"/>
    <x v="0"/>
    <m/>
    <m/>
    <x v="1"/>
    <x v="0"/>
    <m/>
    <n v="1300308.181818182"/>
    <m/>
  </r>
  <r>
    <x v="177"/>
    <x v="2"/>
    <s v="네이버 배너"/>
    <x v="0"/>
    <m/>
    <m/>
    <x v="1"/>
    <x v="0"/>
    <m/>
    <n v="1482024.545454545"/>
    <m/>
  </r>
  <r>
    <x v="178"/>
    <x v="3"/>
    <s v="네이버 배너"/>
    <x v="0"/>
    <m/>
    <m/>
    <x v="1"/>
    <x v="0"/>
    <m/>
    <n v="1498553.636363636"/>
    <m/>
  </r>
  <r>
    <x v="179"/>
    <x v="4"/>
    <s v="네이버 배너"/>
    <x v="0"/>
    <m/>
    <m/>
    <x v="1"/>
    <x v="0"/>
    <m/>
    <n v="1512304.545454545"/>
    <m/>
  </r>
  <r>
    <x v="180"/>
    <x v="0"/>
    <s v="네이버 배너"/>
    <x v="0"/>
    <m/>
    <m/>
    <x v="1"/>
    <x v="0"/>
    <m/>
    <n v="1505787.272727273"/>
    <m/>
  </r>
  <r>
    <x v="181"/>
    <x v="1"/>
    <s v="네이버 배너"/>
    <x v="0"/>
    <m/>
    <m/>
    <x v="1"/>
    <x v="0"/>
    <m/>
    <n v="1510983.636363636"/>
    <m/>
  </r>
  <r>
    <x v="182"/>
    <x v="5"/>
    <s v="네이버 배너"/>
    <x v="0"/>
    <m/>
    <m/>
    <x v="1"/>
    <x v="0"/>
    <m/>
    <n v="1500365.454545454"/>
    <m/>
  </r>
  <r>
    <x v="183"/>
    <x v="6"/>
    <s v="네이버 배너"/>
    <x v="0"/>
    <m/>
    <m/>
    <x v="1"/>
    <x v="0"/>
    <m/>
    <n v="1491860"/>
    <m/>
  </r>
  <r>
    <x v="184"/>
    <x v="2"/>
    <s v="네이버 배너"/>
    <x v="0"/>
    <m/>
    <m/>
    <x v="1"/>
    <x v="0"/>
    <m/>
    <n v="1464441.818181818"/>
    <m/>
  </r>
  <r>
    <x v="185"/>
    <x v="3"/>
    <s v="네이버 배너"/>
    <x v="0"/>
    <m/>
    <m/>
    <x v="1"/>
    <x v="0"/>
    <m/>
    <n v="1401514.545454545"/>
    <m/>
  </r>
  <r>
    <x v="186"/>
    <x v="4"/>
    <s v="네이버 배너"/>
    <x v="0"/>
    <m/>
    <m/>
    <x v="1"/>
    <x v="0"/>
    <m/>
    <n v="1377090"/>
    <m/>
  </r>
  <r>
    <x v="187"/>
    <x v="0"/>
    <s v="네이버 배너"/>
    <x v="0"/>
    <m/>
    <m/>
    <x v="1"/>
    <x v="0"/>
    <m/>
    <n v="1393143.636363636"/>
    <m/>
  </r>
  <r>
    <x v="188"/>
    <x v="1"/>
    <s v="네이버 배너"/>
    <x v="0"/>
    <m/>
    <m/>
    <x v="1"/>
    <x v="0"/>
    <m/>
    <n v="1381760.909090909"/>
    <m/>
  </r>
  <r>
    <x v="189"/>
    <x v="5"/>
    <s v="네이버 배너"/>
    <x v="0"/>
    <m/>
    <m/>
    <x v="1"/>
    <x v="0"/>
    <m/>
    <n v="1380419.090909091"/>
    <m/>
  </r>
  <r>
    <x v="190"/>
    <x v="6"/>
    <s v="네이버 배너"/>
    <x v="0"/>
    <m/>
    <m/>
    <x v="1"/>
    <x v="0"/>
    <m/>
    <n v="1415415.454545454"/>
    <m/>
  </r>
  <r>
    <x v="191"/>
    <x v="2"/>
    <s v="네이버 배너"/>
    <x v="0"/>
    <m/>
    <m/>
    <x v="1"/>
    <x v="0"/>
    <m/>
    <n v="1392732.727272727"/>
    <m/>
  </r>
  <r>
    <x v="192"/>
    <x v="3"/>
    <s v="네이버 배너"/>
    <x v="0"/>
    <m/>
    <m/>
    <x v="1"/>
    <x v="0"/>
    <m/>
    <n v="1367434.545454545"/>
    <m/>
  </r>
  <r>
    <x v="193"/>
    <x v="4"/>
    <s v="네이버 배너"/>
    <x v="0"/>
    <m/>
    <m/>
    <x v="1"/>
    <x v="0"/>
    <m/>
    <n v="1380418.181818182"/>
    <m/>
  </r>
  <r>
    <x v="194"/>
    <x v="0"/>
    <s v="네이버 배너"/>
    <x v="0"/>
    <m/>
    <m/>
    <x v="1"/>
    <x v="0"/>
    <m/>
    <n v="1381834.545454545"/>
    <m/>
  </r>
  <r>
    <x v="195"/>
    <x v="1"/>
    <s v="네이버 배너"/>
    <x v="0"/>
    <m/>
    <m/>
    <x v="1"/>
    <x v="0"/>
    <m/>
    <n v="1389560"/>
    <m/>
  </r>
  <r>
    <x v="196"/>
    <x v="5"/>
    <s v="네이버 배너"/>
    <x v="0"/>
    <m/>
    <m/>
    <x v="1"/>
    <x v="0"/>
    <m/>
    <n v="1379080"/>
    <m/>
  </r>
  <r>
    <x v="197"/>
    <x v="6"/>
    <s v="네이버 배너"/>
    <x v="0"/>
    <m/>
    <m/>
    <x v="1"/>
    <x v="0"/>
    <m/>
    <n v="1375696.363636364"/>
    <m/>
  </r>
  <r>
    <x v="198"/>
    <x v="2"/>
    <s v="네이버 배너"/>
    <x v="0"/>
    <m/>
    <m/>
    <x v="1"/>
    <x v="0"/>
    <m/>
    <n v="1390143.636363636"/>
    <m/>
  </r>
  <r>
    <x v="199"/>
    <x v="3"/>
    <s v="네이버 배너"/>
    <x v="0"/>
    <m/>
    <m/>
    <x v="1"/>
    <x v="0"/>
    <m/>
    <n v="1401139.090909091"/>
    <m/>
  </r>
  <r>
    <x v="200"/>
    <x v="4"/>
    <s v="네이버 배너"/>
    <x v="0"/>
    <m/>
    <m/>
    <x v="1"/>
    <x v="0"/>
    <m/>
    <n v="1358562.727272727"/>
    <m/>
  </r>
  <r>
    <x v="201"/>
    <x v="0"/>
    <s v="네이버 배너"/>
    <x v="0"/>
    <m/>
    <m/>
    <x v="1"/>
    <x v="0"/>
    <m/>
    <n v="1360350"/>
    <m/>
  </r>
  <r>
    <x v="202"/>
    <x v="1"/>
    <s v="네이버 배너"/>
    <x v="0"/>
    <m/>
    <m/>
    <x v="1"/>
    <x v="0"/>
    <m/>
    <n v="1364540.909090909"/>
    <m/>
  </r>
  <r>
    <x v="203"/>
    <x v="5"/>
    <s v="네이버 배너"/>
    <x v="0"/>
    <m/>
    <m/>
    <x v="1"/>
    <x v="0"/>
    <m/>
    <n v="1364198.181818182"/>
    <m/>
  </r>
  <r>
    <x v="204"/>
    <x v="6"/>
    <s v="네이버 배너"/>
    <x v="0"/>
    <m/>
    <m/>
    <x v="1"/>
    <x v="0"/>
    <m/>
    <n v="1367009.090909091"/>
    <m/>
  </r>
  <r>
    <x v="205"/>
    <x v="2"/>
    <s v="네이버 배너"/>
    <x v="0"/>
    <m/>
    <m/>
    <x v="1"/>
    <x v="0"/>
    <m/>
    <n v="1328887.272727273"/>
    <m/>
  </r>
  <r>
    <x v="206"/>
    <x v="3"/>
    <s v="네이버 배너"/>
    <x v="0"/>
    <m/>
    <m/>
    <x v="1"/>
    <x v="0"/>
    <m/>
    <n v="1212376.363636364"/>
    <m/>
  </r>
  <r>
    <x v="207"/>
    <x v="4"/>
    <s v="네이버 배너"/>
    <x v="0"/>
    <m/>
    <m/>
    <x v="1"/>
    <x v="0"/>
    <m/>
    <n v="1141926.363636364"/>
    <m/>
  </r>
  <r>
    <x v="208"/>
    <x v="0"/>
    <s v="네이버 배너"/>
    <x v="0"/>
    <m/>
    <m/>
    <x v="1"/>
    <x v="0"/>
    <m/>
    <n v="1138772.727272727"/>
    <m/>
  </r>
  <r>
    <x v="209"/>
    <x v="1"/>
    <s v="네이버 배너"/>
    <x v="0"/>
    <m/>
    <m/>
    <x v="1"/>
    <x v="0"/>
    <m/>
    <n v="1136382.727272727"/>
    <m/>
  </r>
  <r>
    <x v="210"/>
    <x v="5"/>
    <s v="네이버 배너"/>
    <x v="0"/>
    <m/>
    <m/>
    <x v="1"/>
    <x v="0"/>
    <m/>
    <n v="1140537.272727273"/>
    <m/>
  </r>
  <r>
    <x v="211"/>
    <x v="6"/>
    <s v="네이버 배너"/>
    <x v="0"/>
    <m/>
    <m/>
    <x v="1"/>
    <x v="0"/>
    <m/>
    <n v="1090622.727272727"/>
    <m/>
  </r>
  <r>
    <x v="212"/>
    <x v="2"/>
    <s v="네이버 배너"/>
    <x v="0"/>
    <m/>
    <m/>
    <x v="1"/>
    <x v="0"/>
    <m/>
    <n v="1135307.272727273"/>
    <m/>
  </r>
  <r>
    <x v="213"/>
    <x v="3"/>
    <s v="네이버 배너"/>
    <x v="0"/>
    <m/>
    <m/>
    <x v="1"/>
    <x v="0"/>
    <m/>
    <n v="4143191.818181818"/>
    <m/>
  </r>
  <r>
    <x v="214"/>
    <x v="4"/>
    <s v="네이버 배너"/>
    <x v="0"/>
    <m/>
    <m/>
    <x v="1"/>
    <x v="0"/>
    <m/>
    <n v="4675119.090909091"/>
    <m/>
  </r>
  <r>
    <x v="215"/>
    <x v="0"/>
    <s v="네이버 배너"/>
    <x v="0"/>
    <m/>
    <m/>
    <x v="1"/>
    <x v="0"/>
    <m/>
    <n v="6496051.818181817"/>
    <m/>
  </r>
  <r>
    <x v="216"/>
    <x v="1"/>
    <s v="네이버 배너"/>
    <x v="0"/>
    <m/>
    <m/>
    <x v="1"/>
    <x v="0"/>
    <m/>
    <n v="8076000.909090908"/>
    <m/>
  </r>
  <r>
    <x v="217"/>
    <x v="5"/>
    <s v="네이버 배너"/>
    <x v="0"/>
    <m/>
    <m/>
    <x v="1"/>
    <x v="0"/>
    <m/>
    <n v="5552757.272727272"/>
    <m/>
  </r>
  <r>
    <x v="218"/>
    <x v="6"/>
    <s v="네이버 배너"/>
    <x v="0"/>
    <m/>
    <m/>
    <x v="1"/>
    <x v="0"/>
    <m/>
    <n v="4546693.636363636"/>
    <m/>
  </r>
  <r>
    <x v="219"/>
    <x v="2"/>
    <s v="네이버 배너"/>
    <x v="0"/>
    <m/>
    <m/>
    <x v="1"/>
    <x v="0"/>
    <m/>
    <n v="4359613.636363636"/>
    <m/>
  </r>
  <r>
    <x v="220"/>
    <x v="3"/>
    <s v="네이버 배너"/>
    <x v="0"/>
    <m/>
    <m/>
    <x v="1"/>
    <x v="0"/>
    <m/>
    <n v="3842123.636363636"/>
    <m/>
  </r>
  <r>
    <x v="221"/>
    <x v="4"/>
    <s v="네이버 배너"/>
    <x v="0"/>
    <m/>
    <m/>
    <x v="1"/>
    <x v="0"/>
    <m/>
    <n v="3439220.909090909"/>
    <m/>
  </r>
  <r>
    <x v="222"/>
    <x v="0"/>
    <s v="네이버 배너"/>
    <x v="0"/>
    <m/>
    <m/>
    <x v="1"/>
    <x v="0"/>
    <m/>
    <n v="7429473.636363636"/>
    <m/>
  </r>
  <r>
    <x v="223"/>
    <x v="1"/>
    <s v="네이버 배너"/>
    <x v="0"/>
    <m/>
    <m/>
    <x v="1"/>
    <x v="0"/>
    <m/>
    <n v="8201367.272727272"/>
    <m/>
  </r>
  <r>
    <x v="224"/>
    <x v="5"/>
    <s v="네이버 배너"/>
    <x v="0"/>
    <m/>
    <m/>
    <x v="1"/>
    <x v="0"/>
    <m/>
    <n v="8205887.272727272"/>
    <m/>
  </r>
  <r>
    <x v="225"/>
    <x v="6"/>
    <s v="네이버 배너"/>
    <x v="0"/>
    <m/>
    <m/>
    <x v="1"/>
    <x v="0"/>
    <m/>
    <n v="6025441.818181817"/>
    <m/>
  </r>
  <r>
    <x v="226"/>
    <x v="2"/>
    <s v="네이버 배너"/>
    <x v="0"/>
    <m/>
    <m/>
    <x v="1"/>
    <x v="0"/>
    <m/>
    <n v="6130987.272727272"/>
    <m/>
  </r>
  <r>
    <x v="227"/>
    <x v="3"/>
    <s v="네이버 배너"/>
    <x v="0"/>
    <m/>
    <m/>
    <x v="1"/>
    <x v="0"/>
    <m/>
    <n v="5308044.545454545"/>
    <m/>
  </r>
  <r>
    <x v="228"/>
    <x v="4"/>
    <s v="네이버 배너"/>
    <x v="0"/>
    <m/>
    <m/>
    <x v="1"/>
    <x v="0"/>
    <m/>
    <n v="5905059.090909091"/>
    <m/>
  </r>
  <r>
    <x v="229"/>
    <x v="0"/>
    <s v="네이버 배너"/>
    <x v="0"/>
    <m/>
    <m/>
    <x v="1"/>
    <x v="0"/>
    <m/>
    <n v="4897754.545454545"/>
    <m/>
  </r>
  <r>
    <x v="230"/>
    <x v="1"/>
    <s v="네이버 배너"/>
    <x v="0"/>
    <m/>
    <m/>
    <x v="1"/>
    <x v="0"/>
    <m/>
    <n v="5393946.363636363"/>
    <m/>
  </r>
  <r>
    <x v="231"/>
    <x v="5"/>
    <s v="네이버 배너"/>
    <x v="0"/>
    <m/>
    <m/>
    <x v="1"/>
    <x v="0"/>
    <m/>
    <n v="6045879.999999999"/>
    <m/>
  </r>
  <r>
    <x v="232"/>
    <x v="6"/>
    <s v="네이버 배너"/>
    <x v="0"/>
    <m/>
    <m/>
    <x v="1"/>
    <x v="0"/>
    <m/>
    <n v="5026806.363636363"/>
    <m/>
  </r>
  <r>
    <x v="233"/>
    <x v="2"/>
    <s v="네이버 배너"/>
    <x v="0"/>
    <m/>
    <m/>
    <x v="1"/>
    <x v="0"/>
    <m/>
    <n v="4275248.181818182"/>
    <m/>
  </r>
  <r>
    <x v="234"/>
    <x v="3"/>
    <s v="네이버 배너"/>
    <x v="0"/>
    <m/>
    <m/>
    <x v="1"/>
    <x v="0"/>
    <m/>
    <n v="4536168.181818182"/>
    <m/>
  </r>
  <r>
    <x v="235"/>
    <x v="4"/>
    <s v="네이버 배너"/>
    <x v="0"/>
    <m/>
    <m/>
    <x v="1"/>
    <x v="0"/>
    <m/>
    <n v="3959370.909090909"/>
    <m/>
  </r>
  <r>
    <x v="236"/>
    <x v="0"/>
    <s v="네이버 배너"/>
    <x v="0"/>
    <m/>
    <m/>
    <x v="1"/>
    <x v="0"/>
    <m/>
    <n v="3839001.818181818"/>
    <m/>
  </r>
  <r>
    <x v="237"/>
    <x v="1"/>
    <s v="네이버 배너"/>
    <x v="0"/>
    <m/>
    <m/>
    <x v="1"/>
    <x v="0"/>
    <m/>
    <n v="4360284.545454545"/>
    <m/>
  </r>
  <r>
    <x v="238"/>
    <x v="5"/>
    <s v="네이버 배너"/>
    <x v="0"/>
    <m/>
    <m/>
    <x v="1"/>
    <x v="0"/>
    <m/>
    <n v="5118948.181818182"/>
    <m/>
  </r>
  <r>
    <x v="239"/>
    <x v="6"/>
    <s v="네이버 배너"/>
    <x v="0"/>
    <m/>
    <m/>
    <x v="1"/>
    <x v="0"/>
    <m/>
    <n v="3859507.272727272"/>
    <m/>
  </r>
  <r>
    <x v="240"/>
    <x v="2"/>
    <s v="네이버 배너"/>
    <x v="0"/>
    <m/>
    <m/>
    <x v="1"/>
    <x v="0"/>
    <m/>
    <n v="3073750.909090909"/>
    <m/>
  </r>
  <r>
    <x v="241"/>
    <x v="3"/>
    <s v="네이버 배너"/>
    <x v="0"/>
    <m/>
    <m/>
    <x v="1"/>
    <x v="0"/>
    <m/>
    <n v="3501659"/>
    <m/>
  </r>
  <r>
    <x v="242"/>
    <x v="4"/>
    <s v="네이버 배너"/>
    <x v="0"/>
    <m/>
    <m/>
    <x v="1"/>
    <x v="0"/>
    <m/>
    <n v="3065715.454545454"/>
    <m/>
  </r>
  <r>
    <x v="243"/>
    <x v="0"/>
    <s v="네이버 배너"/>
    <x v="0"/>
    <m/>
    <m/>
    <x v="1"/>
    <x v="0"/>
    <m/>
    <n v="3363036.363636363"/>
    <m/>
  </r>
  <r>
    <x v="244"/>
    <x v="1"/>
    <s v="네이버 배너"/>
    <x v="0"/>
    <m/>
    <m/>
    <x v="1"/>
    <x v="0"/>
    <m/>
    <n v="3341995.454545454"/>
    <m/>
  </r>
  <r>
    <x v="245"/>
    <x v="5"/>
    <s v="네이버 배너"/>
    <x v="0"/>
    <m/>
    <m/>
    <x v="1"/>
    <x v="0"/>
    <m/>
    <n v="3710585.454545454"/>
    <m/>
  </r>
  <r>
    <x v="246"/>
    <x v="6"/>
    <s v="네이버 배너"/>
    <x v="0"/>
    <m/>
    <m/>
    <x v="1"/>
    <x v="0"/>
    <m/>
    <n v="3245853.636363636"/>
    <m/>
  </r>
  <r>
    <x v="247"/>
    <x v="2"/>
    <s v="네이버 배너"/>
    <x v="0"/>
    <m/>
    <m/>
    <x v="1"/>
    <x v="0"/>
    <m/>
    <n v="2694652.727272727"/>
    <m/>
  </r>
  <r>
    <x v="248"/>
    <x v="3"/>
    <s v="네이버 배너"/>
    <x v="0"/>
    <m/>
    <m/>
    <x v="1"/>
    <x v="0"/>
    <m/>
    <n v="2360042.727272727"/>
    <m/>
  </r>
  <r>
    <x v="249"/>
    <x v="4"/>
    <s v="네이버 배너"/>
    <x v="0"/>
    <m/>
    <m/>
    <x v="1"/>
    <x v="0"/>
    <m/>
    <n v="2204744.545454545"/>
    <m/>
  </r>
  <r>
    <x v="250"/>
    <x v="0"/>
    <s v="네이버 배너"/>
    <x v="0"/>
    <m/>
    <m/>
    <x v="1"/>
    <x v="0"/>
    <m/>
    <n v="2188312.727272727"/>
    <m/>
  </r>
  <r>
    <x v="251"/>
    <x v="1"/>
    <s v="네이버 배너"/>
    <x v="0"/>
    <m/>
    <m/>
    <x v="1"/>
    <x v="0"/>
    <m/>
    <n v="2187204.545454545"/>
    <m/>
  </r>
  <r>
    <x v="252"/>
    <x v="5"/>
    <s v="네이버 배너"/>
    <x v="0"/>
    <m/>
    <m/>
    <x v="1"/>
    <x v="0"/>
    <m/>
    <n v="2212292.727272727"/>
    <m/>
  </r>
  <r>
    <x v="253"/>
    <x v="6"/>
    <s v="네이버 배너"/>
    <x v="0"/>
    <m/>
    <m/>
    <x v="1"/>
    <x v="0"/>
    <m/>
    <n v="2198214.545454545"/>
    <m/>
  </r>
  <r>
    <x v="254"/>
    <x v="2"/>
    <s v="네이버 배너"/>
    <x v="0"/>
    <m/>
    <m/>
    <x v="1"/>
    <x v="0"/>
    <m/>
    <n v="2150310"/>
    <m/>
  </r>
  <r>
    <x v="255"/>
    <x v="3"/>
    <s v="네이버 배너"/>
    <x v="0"/>
    <m/>
    <m/>
    <x v="1"/>
    <x v="0"/>
    <m/>
    <n v="2079590.909090909"/>
    <m/>
  </r>
  <r>
    <x v="256"/>
    <x v="4"/>
    <s v="네이버 배너"/>
    <x v="0"/>
    <m/>
    <m/>
    <x v="1"/>
    <x v="0"/>
    <m/>
    <n v="1127602.727272727"/>
    <m/>
  </r>
  <r>
    <x v="257"/>
    <x v="0"/>
    <s v="네이버 배너"/>
    <x v="0"/>
    <m/>
    <m/>
    <x v="1"/>
    <x v="0"/>
    <m/>
    <n v="1084431.818181818"/>
    <m/>
  </r>
  <r>
    <x v="258"/>
    <x v="1"/>
    <s v="네이버 배너"/>
    <x v="0"/>
    <m/>
    <m/>
    <x v="1"/>
    <x v="0"/>
    <m/>
    <n v="1127510.909090909"/>
    <m/>
  </r>
  <r>
    <x v="259"/>
    <x v="5"/>
    <s v="네이버 배너"/>
    <x v="0"/>
    <m/>
    <m/>
    <x v="1"/>
    <x v="0"/>
    <m/>
    <n v="1120517.272727273"/>
    <m/>
  </r>
  <r>
    <x v="260"/>
    <x v="6"/>
    <s v="네이버 배너"/>
    <x v="0"/>
    <m/>
    <m/>
    <x v="1"/>
    <x v="0"/>
    <m/>
    <n v="1078006.363636364"/>
    <m/>
  </r>
  <r>
    <x v="261"/>
    <x v="2"/>
    <s v="네이버 배너"/>
    <x v="0"/>
    <m/>
    <m/>
    <x v="1"/>
    <x v="0"/>
    <m/>
    <n v="1091459.090909091"/>
    <m/>
  </r>
  <r>
    <x v="165"/>
    <x v="4"/>
    <s v="카카오 배너"/>
    <x v="0"/>
    <m/>
    <m/>
    <x v="1"/>
    <x v="0"/>
    <m/>
    <n v="228430"/>
    <m/>
  </r>
  <r>
    <x v="166"/>
    <x v="0"/>
    <s v="카카오 배너"/>
    <x v="0"/>
    <m/>
    <m/>
    <x v="1"/>
    <x v="0"/>
    <m/>
    <n v="392649.9999999999"/>
    <m/>
  </r>
  <r>
    <x v="167"/>
    <x v="1"/>
    <s v="카카오 배너"/>
    <x v="0"/>
    <m/>
    <m/>
    <x v="1"/>
    <x v="0"/>
    <m/>
    <n v="43180"/>
    <m/>
  </r>
  <r>
    <x v="168"/>
    <x v="5"/>
    <s v="카카오 배너"/>
    <x v="0"/>
    <m/>
    <m/>
    <x v="1"/>
    <x v="0"/>
    <m/>
    <n v="0"/>
    <m/>
  </r>
  <r>
    <x v="169"/>
    <x v="6"/>
    <s v="카카오 배너"/>
    <x v="0"/>
    <m/>
    <m/>
    <x v="1"/>
    <x v="0"/>
    <m/>
    <n v="392199.9999999999"/>
    <m/>
  </r>
  <r>
    <x v="170"/>
    <x v="2"/>
    <s v="카카오 배너"/>
    <x v="0"/>
    <m/>
    <m/>
    <x v="1"/>
    <x v="0"/>
    <m/>
    <n v="391309.9999999999"/>
    <m/>
  </r>
  <r>
    <x v="171"/>
    <x v="3"/>
    <s v="카카오 배너"/>
    <x v="0"/>
    <m/>
    <m/>
    <x v="1"/>
    <x v="0"/>
    <m/>
    <n v="576840"/>
    <m/>
  </r>
  <r>
    <x v="172"/>
    <x v="4"/>
    <s v="카카오 배너"/>
    <x v="0"/>
    <m/>
    <m/>
    <x v="1"/>
    <x v="0"/>
    <m/>
    <n v="919619.9999999999"/>
    <m/>
  </r>
  <r>
    <x v="173"/>
    <x v="0"/>
    <s v="카카오 배너"/>
    <x v="0"/>
    <m/>
    <m/>
    <x v="1"/>
    <x v="0"/>
    <m/>
    <n v="910879.9999999999"/>
    <m/>
  </r>
  <r>
    <x v="174"/>
    <x v="1"/>
    <s v="카카오 배너"/>
    <x v="0"/>
    <m/>
    <m/>
    <x v="1"/>
    <x v="0"/>
    <m/>
    <n v="911119.9999999999"/>
    <m/>
  </r>
  <r>
    <x v="175"/>
    <x v="5"/>
    <s v="카카오 배너"/>
    <x v="0"/>
    <m/>
    <m/>
    <x v="1"/>
    <x v="0"/>
    <m/>
    <n v="910869.9999999999"/>
    <m/>
  </r>
  <r>
    <x v="176"/>
    <x v="6"/>
    <s v="카카오 배너"/>
    <x v="0"/>
    <m/>
    <m/>
    <x v="1"/>
    <x v="0"/>
    <m/>
    <n v="2114110"/>
    <m/>
  </r>
  <r>
    <x v="177"/>
    <x v="2"/>
    <s v="카카오 배너"/>
    <x v="0"/>
    <m/>
    <m/>
    <x v="1"/>
    <x v="0"/>
    <m/>
    <n v="2229090"/>
    <m/>
  </r>
  <r>
    <x v="178"/>
    <x v="3"/>
    <s v="카카오 배너"/>
    <x v="0"/>
    <m/>
    <m/>
    <x v="1"/>
    <x v="0"/>
    <m/>
    <n v="1956140"/>
    <m/>
  </r>
  <r>
    <x v="179"/>
    <x v="4"/>
    <s v="카카오 배너"/>
    <x v="0"/>
    <m/>
    <m/>
    <x v="1"/>
    <x v="0"/>
    <m/>
    <n v="2052330"/>
    <m/>
  </r>
  <r>
    <x v="180"/>
    <x v="0"/>
    <s v="카카오 배너"/>
    <x v="0"/>
    <m/>
    <m/>
    <x v="1"/>
    <x v="0"/>
    <m/>
    <n v="2231190"/>
    <m/>
  </r>
  <r>
    <x v="181"/>
    <x v="1"/>
    <s v="카카오 배너"/>
    <x v="0"/>
    <m/>
    <m/>
    <x v="1"/>
    <x v="0"/>
    <m/>
    <n v="2242650"/>
    <m/>
  </r>
  <r>
    <x v="182"/>
    <x v="5"/>
    <s v="카카오 배너"/>
    <x v="0"/>
    <m/>
    <m/>
    <x v="1"/>
    <x v="0"/>
    <m/>
    <n v="2238500"/>
    <m/>
  </r>
  <r>
    <x v="183"/>
    <x v="6"/>
    <s v="카카오 배너"/>
    <x v="0"/>
    <m/>
    <m/>
    <x v="1"/>
    <x v="0"/>
    <m/>
    <n v="2062510"/>
    <m/>
  </r>
  <r>
    <x v="184"/>
    <x v="2"/>
    <s v="카카오 배너"/>
    <x v="0"/>
    <m/>
    <m/>
    <x v="1"/>
    <x v="0"/>
    <m/>
    <n v="1926690"/>
    <m/>
  </r>
  <r>
    <x v="185"/>
    <x v="3"/>
    <s v="카카오 배너"/>
    <x v="0"/>
    <m/>
    <m/>
    <x v="1"/>
    <x v="0"/>
    <m/>
    <n v="1469790"/>
    <m/>
  </r>
  <r>
    <x v="186"/>
    <x v="4"/>
    <s v="카카오 배너"/>
    <x v="0"/>
    <m/>
    <m/>
    <x v="1"/>
    <x v="0"/>
    <m/>
    <n v="1959190"/>
    <m/>
  </r>
  <r>
    <x v="187"/>
    <x v="0"/>
    <s v="카카오 배너"/>
    <x v="0"/>
    <m/>
    <m/>
    <x v="1"/>
    <x v="0"/>
    <m/>
    <n v="1949540"/>
    <m/>
  </r>
  <r>
    <x v="188"/>
    <x v="1"/>
    <s v="카카오 배너"/>
    <x v="0"/>
    <m/>
    <m/>
    <x v="1"/>
    <x v="0"/>
    <m/>
    <n v="2041350"/>
    <m/>
  </r>
  <r>
    <x v="189"/>
    <x v="5"/>
    <s v="카카오 배너"/>
    <x v="0"/>
    <m/>
    <m/>
    <x v="1"/>
    <x v="0"/>
    <m/>
    <n v="2039640"/>
    <m/>
  </r>
  <r>
    <x v="190"/>
    <x v="6"/>
    <s v="카카오 배너"/>
    <x v="0"/>
    <m/>
    <m/>
    <x v="1"/>
    <x v="0"/>
    <m/>
    <n v="1580360"/>
    <m/>
  </r>
  <r>
    <x v="191"/>
    <x v="2"/>
    <s v="카카오 배너"/>
    <x v="0"/>
    <m/>
    <m/>
    <x v="1"/>
    <x v="0"/>
    <m/>
    <n v="1597780"/>
    <m/>
  </r>
  <r>
    <x v="192"/>
    <x v="3"/>
    <s v="카카오 배너"/>
    <x v="0"/>
    <m/>
    <m/>
    <x v="1"/>
    <x v="0"/>
    <m/>
    <n v="2040610"/>
    <m/>
  </r>
  <r>
    <x v="193"/>
    <x v="4"/>
    <s v="카카오 배너"/>
    <x v="0"/>
    <m/>
    <m/>
    <x v="1"/>
    <x v="0"/>
    <m/>
    <n v="2037680"/>
    <m/>
  </r>
  <r>
    <x v="194"/>
    <x v="0"/>
    <s v="카카오 배너"/>
    <x v="0"/>
    <m/>
    <m/>
    <x v="1"/>
    <x v="0"/>
    <m/>
    <n v="2039920"/>
    <m/>
  </r>
  <r>
    <x v="195"/>
    <x v="1"/>
    <s v="카카오 배너"/>
    <x v="0"/>
    <m/>
    <m/>
    <x v="1"/>
    <x v="0"/>
    <m/>
    <n v="2041460"/>
    <m/>
  </r>
  <r>
    <x v="196"/>
    <x v="5"/>
    <s v="카카오 배너"/>
    <x v="0"/>
    <m/>
    <m/>
    <x v="1"/>
    <x v="0"/>
    <m/>
    <n v="2040480"/>
    <m/>
  </r>
  <r>
    <x v="197"/>
    <x v="6"/>
    <s v="카카오 배너"/>
    <x v="0"/>
    <m/>
    <m/>
    <x v="1"/>
    <x v="0"/>
    <m/>
    <n v="2040320"/>
    <m/>
  </r>
  <r>
    <x v="198"/>
    <x v="2"/>
    <s v="카카오 배너"/>
    <x v="0"/>
    <m/>
    <m/>
    <x v="1"/>
    <x v="0"/>
    <m/>
    <n v="2047680"/>
    <m/>
  </r>
  <r>
    <x v="199"/>
    <x v="3"/>
    <s v="카카오 배너"/>
    <x v="0"/>
    <m/>
    <m/>
    <x v="1"/>
    <x v="0"/>
    <m/>
    <n v="2042210"/>
    <m/>
  </r>
  <r>
    <x v="200"/>
    <x v="4"/>
    <s v="카카오 배너"/>
    <x v="0"/>
    <m/>
    <m/>
    <x v="1"/>
    <x v="0"/>
    <m/>
    <n v="2005170"/>
    <m/>
  </r>
  <r>
    <x v="201"/>
    <x v="0"/>
    <s v="카카오 배너"/>
    <x v="0"/>
    <m/>
    <m/>
    <x v="1"/>
    <x v="0"/>
    <m/>
    <n v="2086380"/>
    <m/>
  </r>
  <r>
    <x v="202"/>
    <x v="1"/>
    <s v="카카오 배너"/>
    <x v="0"/>
    <m/>
    <m/>
    <x v="1"/>
    <x v="0"/>
    <m/>
    <n v="2083390"/>
    <m/>
  </r>
  <r>
    <x v="203"/>
    <x v="5"/>
    <s v="카카오 배너"/>
    <x v="0"/>
    <m/>
    <m/>
    <x v="1"/>
    <x v="0"/>
    <m/>
    <n v="2086780"/>
    <m/>
  </r>
  <r>
    <x v="204"/>
    <x v="6"/>
    <s v="카카오 배너"/>
    <x v="0"/>
    <m/>
    <m/>
    <x v="1"/>
    <x v="0"/>
    <m/>
    <n v="2175120"/>
    <m/>
  </r>
  <r>
    <x v="205"/>
    <x v="2"/>
    <s v="카카오 배너"/>
    <x v="0"/>
    <m/>
    <m/>
    <x v="1"/>
    <x v="0"/>
    <m/>
    <n v="2175950"/>
    <m/>
  </r>
  <r>
    <x v="206"/>
    <x v="3"/>
    <s v="카카오 배너"/>
    <x v="0"/>
    <m/>
    <m/>
    <x v="1"/>
    <x v="0"/>
    <m/>
    <n v="2083460"/>
    <m/>
  </r>
  <r>
    <x v="207"/>
    <x v="4"/>
    <s v="카카오 배너"/>
    <x v="0"/>
    <m/>
    <m/>
    <x v="1"/>
    <x v="0"/>
    <m/>
    <n v="4118060"/>
    <m/>
  </r>
  <r>
    <x v="208"/>
    <x v="0"/>
    <s v="카카오 배너"/>
    <x v="0"/>
    <m/>
    <m/>
    <x v="1"/>
    <x v="0"/>
    <m/>
    <n v="4163790"/>
    <m/>
  </r>
  <r>
    <x v="209"/>
    <x v="1"/>
    <s v="카카오 배너"/>
    <x v="0"/>
    <m/>
    <m/>
    <x v="1"/>
    <x v="0"/>
    <m/>
    <n v="4190098.181818182"/>
    <m/>
  </r>
  <r>
    <x v="210"/>
    <x v="5"/>
    <s v="카카오 배너"/>
    <x v="0"/>
    <m/>
    <m/>
    <x v="1"/>
    <x v="0"/>
    <m/>
    <n v="4105110"/>
    <m/>
  </r>
  <r>
    <x v="211"/>
    <x v="6"/>
    <s v="카카오 배너"/>
    <x v="0"/>
    <m/>
    <m/>
    <x v="1"/>
    <x v="0"/>
    <m/>
    <n v="3474710"/>
    <m/>
  </r>
  <r>
    <x v="212"/>
    <x v="2"/>
    <s v="카카오 배너"/>
    <x v="0"/>
    <m/>
    <m/>
    <x v="1"/>
    <x v="0"/>
    <m/>
    <n v="2794690"/>
    <m/>
  </r>
  <r>
    <x v="213"/>
    <x v="3"/>
    <s v="카카오 배너"/>
    <x v="0"/>
    <m/>
    <m/>
    <x v="1"/>
    <x v="0"/>
    <m/>
    <n v="1618200"/>
    <m/>
  </r>
  <r>
    <x v="214"/>
    <x v="4"/>
    <s v="카카오 배너"/>
    <x v="0"/>
    <m/>
    <m/>
    <x v="1"/>
    <x v="0"/>
    <m/>
    <n v="2722350"/>
    <m/>
  </r>
  <r>
    <x v="215"/>
    <x v="0"/>
    <s v="카카오 배너"/>
    <x v="0"/>
    <m/>
    <m/>
    <x v="1"/>
    <x v="0"/>
    <m/>
    <n v="3851100"/>
    <m/>
  </r>
  <r>
    <x v="216"/>
    <x v="1"/>
    <s v="카카오 배너"/>
    <x v="0"/>
    <m/>
    <m/>
    <x v="1"/>
    <x v="0"/>
    <m/>
    <n v="4020590"/>
    <m/>
  </r>
  <r>
    <x v="217"/>
    <x v="5"/>
    <s v="카카오 배너"/>
    <x v="0"/>
    <m/>
    <m/>
    <x v="1"/>
    <x v="0"/>
    <m/>
    <n v="3835830"/>
    <m/>
  </r>
  <r>
    <x v="218"/>
    <x v="6"/>
    <s v="카카오 배너"/>
    <x v="0"/>
    <m/>
    <m/>
    <x v="1"/>
    <x v="0"/>
    <m/>
    <n v="1966780"/>
    <m/>
  </r>
  <r>
    <x v="219"/>
    <x v="2"/>
    <s v="카카오 배너"/>
    <x v="0"/>
    <m/>
    <m/>
    <x v="1"/>
    <x v="0"/>
    <m/>
    <n v="1896820"/>
    <m/>
  </r>
  <r>
    <x v="220"/>
    <x v="3"/>
    <s v="카카오 배너"/>
    <x v="0"/>
    <m/>
    <m/>
    <x v="1"/>
    <x v="0"/>
    <m/>
    <n v="1805100"/>
    <m/>
  </r>
  <r>
    <x v="221"/>
    <x v="4"/>
    <s v="카카오 배너"/>
    <x v="0"/>
    <m/>
    <m/>
    <x v="1"/>
    <x v="0"/>
    <m/>
    <n v="2034870"/>
    <m/>
  </r>
  <r>
    <x v="222"/>
    <x v="0"/>
    <s v="카카오 배너"/>
    <x v="0"/>
    <m/>
    <m/>
    <x v="1"/>
    <x v="0"/>
    <m/>
    <n v="4853150"/>
    <m/>
  </r>
  <r>
    <x v="223"/>
    <x v="1"/>
    <s v="카카오 배너"/>
    <x v="0"/>
    <m/>
    <m/>
    <x v="1"/>
    <x v="0"/>
    <m/>
    <n v="4437110"/>
    <m/>
  </r>
  <r>
    <x v="224"/>
    <x v="5"/>
    <s v="카카오 배너"/>
    <x v="0"/>
    <m/>
    <m/>
    <x v="1"/>
    <x v="0"/>
    <m/>
    <n v="4097370"/>
    <m/>
  </r>
  <r>
    <x v="225"/>
    <x v="6"/>
    <s v="카카오 배너"/>
    <x v="0"/>
    <m/>
    <m/>
    <x v="1"/>
    <x v="0"/>
    <m/>
    <n v="2379120"/>
    <m/>
  </r>
  <r>
    <x v="226"/>
    <x v="2"/>
    <s v="카카오 배너"/>
    <x v="0"/>
    <m/>
    <m/>
    <x v="1"/>
    <x v="0"/>
    <m/>
    <n v="2135660"/>
    <m/>
  </r>
  <r>
    <x v="227"/>
    <x v="3"/>
    <s v="카카오 배너"/>
    <x v="0"/>
    <m/>
    <m/>
    <x v="1"/>
    <x v="0"/>
    <m/>
    <n v="1781840"/>
    <m/>
  </r>
  <r>
    <x v="228"/>
    <x v="4"/>
    <s v="카카오 배너"/>
    <x v="0"/>
    <m/>
    <m/>
    <x v="1"/>
    <x v="0"/>
    <m/>
    <n v="1514350"/>
    <m/>
  </r>
  <r>
    <x v="229"/>
    <x v="0"/>
    <s v="카카오 배너"/>
    <x v="0"/>
    <m/>
    <m/>
    <x v="1"/>
    <x v="0"/>
    <m/>
    <n v="1531150"/>
    <m/>
  </r>
  <r>
    <x v="230"/>
    <x v="1"/>
    <s v="카카오 배너"/>
    <x v="0"/>
    <m/>
    <m/>
    <x v="1"/>
    <x v="0"/>
    <m/>
    <n v="1957660"/>
    <m/>
  </r>
  <r>
    <x v="231"/>
    <x v="5"/>
    <s v="카카오 배너"/>
    <x v="0"/>
    <m/>
    <m/>
    <x v="1"/>
    <x v="0"/>
    <m/>
    <n v="1966950"/>
    <m/>
  </r>
  <r>
    <x v="232"/>
    <x v="6"/>
    <s v="카카오 배너"/>
    <x v="0"/>
    <m/>
    <m/>
    <x v="1"/>
    <x v="0"/>
    <m/>
    <n v="1579290"/>
    <m/>
  </r>
  <r>
    <x v="233"/>
    <x v="2"/>
    <s v="카카오 배너"/>
    <x v="0"/>
    <m/>
    <m/>
    <x v="1"/>
    <x v="0"/>
    <m/>
    <n v="1184970"/>
    <m/>
  </r>
  <r>
    <x v="234"/>
    <x v="3"/>
    <s v="카카오 배너"/>
    <x v="0"/>
    <m/>
    <m/>
    <x v="1"/>
    <x v="0"/>
    <m/>
    <n v="2486190"/>
    <m/>
  </r>
  <r>
    <x v="235"/>
    <x v="4"/>
    <s v="카카오 배너"/>
    <x v="0"/>
    <m/>
    <m/>
    <x v="1"/>
    <x v="0"/>
    <m/>
    <n v="1792250"/>
    <m/>
  </r>
  <r>
    <x v="236"/>
    <x v="0"/>
    <s v="카카오 배너"/>
    <x v="0"/>
    <m/>
    <m/>
    <x v="1"/>
    <x v="0"/>
    <m/>
    <n v="1777150"/>
    <m/>
  </r>
  <r>
    <x v="237"/>
    <x v="1"/>
    <s v="카카오 배너"/>
    <x v="0"/>
    <m/>
    <m/>
    <x v="1"/>
    <x v="0"/>
    <m/>
    <n v="1667510"/>
    <m/>
  </r>
  <r>
    <x v="238"/>
    <x v="5"/>
    <s v="카카오 배너"/>
    <x v="0"/>
    <m/>
    <m/>
    <x v="1"/>
    <x v="0"/>
    <m/>
    <n v="2299070"/>
    <m/>
  </r>
  <r>
    <x v="239"/>
    <x v="6"/>
    <s v="카카오 배너"/>
    <x v="0"/>
    <m/>
    <m/>
    <x v="1"/>
    <x v="0"/>
    <m/>
    <n v="1479260"/>
    <m/>
  </r>
  <r>
    <x v="240"/>
    <x v="2"/>
    <s v="카카오 배너"/>
    <x v="0"/>
    <m/>
    <m/>
    <x v="1"/>
    <x v="0"/>
    <m/>
    <n v="1259040"/>
    <m/>
  </r>
  <r>
    <x v="241"/>
    <x v="3"/>
    <s v="카카오 배너"/>
    <x v="0"/>
    <m/>
    <m/>
    <x v="1"/>
    <x v="0"/>
    <m/>
    <n v="1384460"/>
    <m/>
  </r>
  <r>
    <x v="242"/>
    <x v="4"/>
    <s v="카카오 배너"/>
    <x v="0"/>
    <m/>
    <m/>
    <x v="1"/>
    <x v="0"/>
    <m/>
    <n v="1597130"/>
    <m/>
  </r>
  <r>
    <x v="243"/>
    <x v="0"/>
    <s v="카카오 배너"/>
    <x v="0"/>
    <m/>
    <m/>
    <x v="1"/>
    <x v="0"/>
    <m/>
    <n v="1238020"/>
    <m/>
  </r>
  <r>
    <x v="244"/>
    <x v="1"/>
    <s v="카카오 배너"/>
    <x v="0"/>
    <m/>
    <m/>
    <x v="1"/>
    <x v="0"/>
    <m/>
    <n v="1593000"/>
    <m/>
  </r>
  <r>
    <x v="245"/>
    <x v="5"/>
    <s v="카카오 배너"/>
    <x v="0"/>
    <m/>
    <m/>
    <x v="1"/>
    <x v="0"/>
    <m/>
    <n v="1636920"/>
    <m/>
  </r>
  <r>
    <x v="246"/>
    <x v="6"/>
    <s v="카카오 배너"/>
    <x v="0"/>
    <m/>
    <m/>
    <x v="1"/>
    <x v="0"/>
    <m/>
    <n v="882589.9999999999"/>
    <m/>
  </r>
  <r>
    <x v="247"/>
    <x v="2"/>
    <s v="카카오 배너"/>
    <x v="0"/>
    <m/>
    <m/>
    <x v="1"/>
    <x v="0"/>
    <m/>
    <n v="880169.9999999999"/>
    <m/>
  </r>
  <r>
    <x v="248"/>
    <x v="3"/>
    <s v="카카오 배너"/>
    <x v="0"/>
    <m/>
    <m/>
    <x v="1"/>
    <x v="0"/>
    <m/>
    <n v="976299.9999999999"/>
    <m/>
  </r>
  <r>
    <x v="249"/>
    <x v="4"/>
    <s v="카카오 배너"/>
    <x v="0"/>
    <m/>
    <m/>
    <x v="1"/>
    <x v="0"/>
    <m/>
    <n v="1027860"/>
    <m/>
  </r>
  <r>
    <x v="250"/>
    <x v="0"/>
    <s v="카카오 배너"/>
    <x v="0"/>
    <m/>
    <m/>
    <x v="1"/>
    <x v="0"/>
    <m/>
    <n v="777819.9999999999"/>
    <m/>
  </r>
  <r>
    <x v="251"/>
    <x v="1"/>
    <s v="카카오 배너"/>
    <x v="0"/>
    <m/>
    <m/>
    <x v="1"/>
    <x v="0"/>
    <m/>
    <n v="830279.9999999999"/>
    <m/>
  </r>
  <r>
    <x v="252"/>
    <x v="5"/>
    <s v="카카오 배너"/>
    <x v="0"/>
    <m/>
    <m/>
    <x v="1"/>
    <x v="0"/>
    <m/>
    <n v="1085320"/>
    <m/>
  </r>
  <r>
    <x v="253"/>
    <x v="6"/>
    <s v="카카오 배너"/>
    <x v="0"/>
    <m/>
    <m/>
    <x v="1"/>
    <x v="0"/>
    <m/>
    <n v="882739.9999999999"/>
    <m/>
  </r>
  <r>
    <x v="254"/>
    <x v="2"/>
    <s v="카카오 배너"/>
    <x v="0"/>
    <m/>
    <m/>
    <x v="1"/>
    <x v="0"/>
    <m/>
    <n v="935359.9999999999"/>
    <m/>
  </r>
  <r>
    <x v="255"/>
    <x v="3"/>
    <s v="카카오 배너"/>
    <x v="0"/>
    <m/>
    <m/>
    <x v="1"/>
    <x v="0"/>
    <m/>
    <n v="652380"/>
    <m/>
  </r>
  <r>
    <x v="256"/>
    <x v="4"/>
    <s v="카카오 배너"/>
    <x v="0"/>
    <m/>
    <m/>
    <x v="1"/>
    <x v="0"/>
    <m/>
    <n v="788969.9999999999"/>
    <m/>
  </r>
  <r>
    <x v="257"/>
    <x v="0"/>
    <s v="카카오 배너"/>
    <x v="0"/>
    <m/>
    <m/>
    <x v="1"/>
    <x v="0"/>
    <m/>
    <n v="660140"/>
    <m/>
  </r>
  <r>
    <x v="258"/>
    <x v="1"/>
    <s v="카카오 배너"/>
    <x v="0"/>
    <m/>
    <m/>
    <x v="1"/>
    <x v="0"/>
    <m/>
    <n v="1000310"/>
    <m/>
  </r>
  <r>
    <x v="259"/>
    <x v="5"/>
    <s v="카카오 배너"/>
    <x v="0"/>
    <m/>
    <m/>
    <x v="1"/>
    <x v="0"/>
    <m/>
    <n v="1109200"/>
    <m/>
  </r>
  <r>
    <x v="260"/>
    <x v="6"/>
    <s v="카카오 배너"/>
    <x v="0"/>
    <m/>
    <m/>
    <x v="1"/>
    <x v="0"/>
    <m/>
    <n v="611590"/>
    <m/>
  </r>
  <r>
    <x v="261"/>
    <x v="2"/>
    <s v="카카오 배너"/>
    <x v="0"/>
    <m/>
    <m/>
    <x v="1"/>
    <x v="0"/>
    <m/>
    <n v="719600"/>
    <m/>
  </r>
  <r>
    <x v="205"/>
    <x v="2"/>
    <s v="카카오 메시지"/>
    <x v="0"/>
    <m/>
    <m/>
    <x v="1"/>
    <x v="0"/>
    <m/>
    <n v="371369.9999999999"/>
    <m/>
  </r>
  <r>
    <x v="206"/>
    <x v="3"/>
    <s v="카카오 메시지"/>
    <x v="0"/>
    <m/>
    <m/>
    <x v="1"/>
    <x v="0"/>
    <m/>
    <n v="556680"/>
    <m/>
  </r>
  <r>
    <x v="255"/>
    <x v="3"/>
    <s v="카카오 메시지"/>
    <x v="0"/>
    <m/>
    <m/>
    <x v="1"/>
    <x v="0"/>
    <m/>
    <n v="658860"/>
    <m/>
  </r>
  <r>
    <x v="227"/>
    <x v="3"/>
    <s v="유튜브 광고"/>
    <x v="0"/>
    <m/>
    <m/>
    <x v="1"/>
    <x v="0"/>
    <m/>
    <n v="103000"/>
    <m/>
  </r>
  <r>
    <x v="228"/>
    <x v="4"/>
    <s v="유튜브 광고"/>
    <x v="0"/>
    <m/>
    <m/>
    <x v="1"/>
    <x v="0"/>
    <m/>
    <n v="153214"/>
    <m/>
  </r>
  <r>
    <x v="229"/>
    <x v="0"/>
    <s v="유튜브 광고"/>
    <x v="0"/>
    <m/>
    <m/>
    <x v="1"/>
    <x v="0"/>
    <m/>
    <n v="176357"/>
    <m/>
  </r>
  <r>
    <x v="230"/>
    <x v="1"/>
    <s v="유튜브 광고"/>
    <x v="0"/>
    <m/>
    <m/>
    <x v="1"/>
    <x v="0"/>
    <m/>
    <n v="391660"/>
    <m/>
  </r>
  <r>
    <x v="231"/>
    <x v="5"/>
    <s v="유튜브 광고"/>
    <x v="0"/>
    <m/>
    <m/>
    <x v="1"/>
    <x v="0"/>
    <m/>
    <n v="254181"/>
    <m/>
  </r>
  <r>
    <x v="232"/>
    <x v="6"/>
    <s v="유튜브 광고"/>
    <x v="0"/>
    <m/>
    <m/>
    <x v="1"/>
    <x v="0"/>
    <m/>
    <n v="425895"/>
    <m/>
  </r>
  <r>
    <x v="233"/>
    <x v="2"/>
    <s v="유튜브 광고"/>
    <x v="0"/>
    <m/>
    <m/>
    <x v="1"/>
    <x v="0"/>
    <m/>
    <n v="241159"/>
    <m/>
  </r>
  <r>
    <x v="234"/>
    <x v="3"/>
    <s v="유튜브 광고"/>
    <x v="0"/>
    <m/>
    <m/>
    <x v="1"/>
    <x v="0"/>
    <m/>
    <n v="2250454"/>
    <m/>
  </r>
  <r>
    <x v="235"/>
    <x v="4"/>
    <s v="유튜브 광고"/>
    <x v="0"/>
    <m/>
    <m/>
    <x v="1"/>
    <x v="0"/>
    <m/>
    <n v="634289"/>
    <m/>
  </r>
  <r>
    <x v="236"/>
    <x v="0"/>
    <s v="유튜브 광고"/>
    <x v="0"/>
    <m/>
    <m/>
    <x v="1"/>
    <x v="0"/>
    <m/>
    <n v="711620"/>
    <m/>
  </r>
  <r>
    <x v="237"/>
    <x v="1"/>
    <s v="유튜브 광고"/>
    <x v="0"/>
    <m/>
    <m/>
    <x v="1"/>
    <x v="0"/>
    <m/>
    <n v="1040116"/>
    <m/>
  </r>
  <r>
    <x v="238"/>
    <x v="5"/>
    <s v="유튜브 광고"/>
    <x v="0"/>
    <m/>
    <m/>
    <x v="1"/>
    <x v="0"/>
    <m/>
    <n v="1039757"/>
    <m/>
  </r>
  <r>
    <x v="239"/>
    <x v="6"/>
    <s v="유튜브 광고"/>
    <x v="0"/>
    <m/>
    <m/>
    <x v="1"/>
    <x v="0"/>
    <m/>
    <n v="995070"/>
    <m/>
  </r>
  <r>
    <x v="240"/>
    <x v="2"/>
    <s v="유튜브 광고"/>
    <x v="0"/>
    <m/>
    <m/>
    <x v="1"/>
    <x v="0"/>
    <m/>
    <n v="1184823"/>
    <m/>
  </r>
  <r>
    <x v="241"/>
    <x v="3"/>
    <s v="유튜브 광고"/>
    <x v="0"/>
    <m/>
    <m/>
    <x v="1"/>
    <x v="0"/>
    <m/>
    <n v="1124987"/>
    <m/>
  </r>
  <r>
    <x v="242"/>
    <x v="4"/>
    <s v="유튜브 광고"/>
    <x v="0"/>
    <m/>
    <m/>
    <x v="1"/>
    <x v="0"/>
    <m/>
    <n v="998487"/>
    <m/>
  </r>
  <r>
    <x v="243"/>
    <x v="0"/>
    <s v="유튜브 광고"/>
    <x v="0"/>
    <m/>
    <m/>
    <x v="1"/>
    <x v="0"/>
    <m/>
    <n v="1090925"/>
    <m/>
  </r>
  <r>
    <x v="244"/>
    <x v="1"/>
    <s v="유튜브 광고"/>
    <x v="0"/>
    <m/>
    <m/>
    <x v="1"/>
    <x v="0"/>
    <m/>
    <n v="2721234"/>
    <m/>
  </r>
  <r>
    <x v="245"/>
    <x v="5"/>
    <s v="유튜브 광고"/>
    <x v="0"/>
    <m/>
    <m/>
    <x v="1"/>
    <x v="0"/>
    <m/>
    <n v="2278917"/>
    <m/>
  </r>
  <r>
    <x v="246"/>
    <x v="6"/>
    <s v="유튜브 광고"/>
    <x v="0"/>
    <m/>
    <m/>
    <x v="1"/>
    <x v="0"/>
    <m/>
    <n v="1545447"/>
    <m/>
  </r>
  <r>
    <x v="247"/>
    <x v="2"/>
    <s v="유튜브 광고"/>
    <x v="0"/>
    <m/>
    <m/>
    <x v="1"/>
    <x v="0"/>
    <m/>
    <n v="1490986"/>
    <m/>
  </r>
  <r>
    <x v="248"/>
    <x v="3"/>
    <s v="유튜브 광고"/>
    <x v="0"/>
    <m/>
    <m/>
    <x v="1"/>
    <x v="0"/>
    <m/>
    <n v="1554382"/>
    <m/>
  </r>
  <r>
    <x v="249"/>
    <x v="4"/>
    <s v="유튜브 광고"/>
    <x v="0"/>
    <m/>
    <m/>
    <x v="1"/>
    <x v="0"/>
    <m/>
    <n v="1611620"/>
    <m/>
  </r>
  <r>
    <x v="250"/>
    <x v="0"/>
    <s v="유튜브 광고"/>
    <x v="0"/>
    <m/>
    <m/>
    <x v="1"/>
    <x v="0"/>
    <m/>
    <n v="1517415"/>
    <m/>
  </r>
  <r>
    <x v="251"/>
    <x v="1"/>
    <s v="유튜브 광고"/>
    <x v="0"/>
    <m/>
    <m/>
    <x v="1"/>
    <x v="0"/>
    <m/>
    <n v="2105413"/>
    <m/>
  </r>
  <r>
    <x v="252"/>
    <x v="5"/>
    <s v="유튜브 광고"/>
    <x v="0"/>
    <m/>
    <m/>
    <x v="1"/>
    <x v="0"/>
    <m/>
    <n v="2267119"/>
    <m/>
  </r>
  <r>
    <x v="253"/>
    <x v="6"/>
    <s v="유튜브 광고"/>
    <x v="0"/>
    <m/>
    <m/>
    <x v="1"/>
    <x v="0"/>
    <m/>
    <n v="1839049"/>
    <m/>
  </r>
  <r>
    <x v="254"/>
    <x v="2"/>
    <s v="유튜브 광고"/>
    <x v="0"/>
    <m/>
    <m/>
    <x v="1"/>
    <x v="0"/>
    <m/>
    <n v="2112342"/>
    <m/>
  </r>
  <r>
    <x v="255"/>
    <x v="3"/>
    <s v="유튜브 광고"/>
    <x v="0"/>
    <m/>
    <m/>
    <x v="1"/>
    <x v="0"/>
    <m/>
    <n v="2251847"/>
    <m/>
  </r>
  <r>
    <x v="256"/>
    <x v="4"/>
    <s v="유튜브 광고"/>
    <x v="0"/>
    <m/>
    <m/>
    <x v="1"/>
    <x v="0"/>
    <m/>
    <n v="2137117"/>
    <m/>
  </r>
  <r>
    <x v="257"/>
    <x v="0"/>
    <s v="유튜브 광고"/>
    <x v="0"/>
    <m/>
    <m/>
    <x v="1"/>
    <x v="0"/>
    <m/>
    <n v="1917100"/>
    <m/>
  </r>
  <r>
    <x v="258"/>
    <x v="1"/>
    <s v="유튜브 광고"/>
    <x v="0"/>
    <m/>
    <m/>
    <x v="1"/>
    <x v="0"/>
    <m/>
    <n v="1957793"/>
    <m/>
  </r>
  <r>
    <x v="259"/>
    <x v="5"/>
    <s v="유튜브 광고"/>
    <x v="0"/>
    <m/>
    <m/>
    <x v="1"/>
    <x v="0"/>
    <m/>
    <n v="2237102"/>
    <m/>
  </r>
  <r>
    <x v="260"/>
    <x v="6"/>
    <s v="유튜브 광고"/>
    <x v="0"/>
    <m/>
    <m/>
    <x v="1"/>
    <x v="0"/>
    <m/>
    <n v="2052221"/>
    <m/>
  </r>
  <r>
    <x v="261"/>
    <x v="2"/>
    <s v="유튜브 광고"/>
    <x v="0"/>
    <m/>
    <m/>
    <x v="1"/>
    <x v="0"/>
    <m/>
    <n v="2208020"/>
    <m/>
  </r>
  <r>
    <x v="262"/>
    <x v="7"/>
    <m/>
    <x v="0"/>
    <m/>
    <m/>
    <x v="1"/>
    <x v="0"/>
    <m/>
    <m/>
    <m/>
  </r>
  <r>
    <x v="262"/>
    <x v="7"/>
    <m/>
    <x v="0"/>
    <m/>
    <m/>
    <x v="1"/>
    <x v="0"/>
    <m/>
    <m/>
    <m/>
  </r>
  <r>
    <x v="262"/>
    <x v="7"/>
    <m/>
    <x v="0"/>
    <m/>
    <m/>
    <x v="1"/>
    <x v="0"/>
    <m/>
    <m/>
    <m/>
  </r>
  <r>
    <x v="262"/>
    <x v="7"/>
    <m/>
    <x v="0"/>
    <m/>
    <m/>
    <x v="1"/>
    <x v="0"/>
    <m/>
    <m/>
    <m/>
  </r>
  <r>
    <x v="262"/>
    <x v="7"/>
    <m/>
    <x v="0"/>
    <m/>
    <m/>
    <x v="1"/>
    <x v="0"/>
    <m/>
    <m/>
    <m/>
  </r>
  <r>
    <x v="262"/>
    <x v="7"/>
    <m/>
    <x v="0"/>
    <m/>
    <m/>
    <x v="1"/>
    <x v="0"/>
    <m/>
    <m/>
    <m/>
  </r>
  <r>
    <x v="262"/>
    <x v="7"/>
    <m/>
    <x v="0"/>
    <m/>
    <m/>
    <x v="1"/>
    <x v="0"/>
    <m/>
    <m/>
    <m/>
  </r>
  <r>
    <x v="262"/>
    <x v="7"/>
    <m/>
    <x v="0"/>
    <m/>
    <m/>
    <x v="1"/>
    <x v="0"/>
    <m/>
    <m/>
    <m/>
  </r>
  <r>
    <x v="262"/>
    <x v="7"/>
    <m/>
    <x v="0"/>
    <m/>
    <m/>
    <x v="1"/>
    <x v="0"/>
    <m/>
    <m/>
    <m/>
  </r>
  <r>
    <x v="262"/>
    <x v="7"/>
    <m/>
    <x v="0"/>
    <m/>
    <m/>
    <x v="1"/>
    <x v="0"/>
    <m/>
    <m/>
    <m/>
  </r>
  <r>
    <x v="262"/>
    <x v="7"/>
    <m/>
    <x v="0"/>
    <m/>
    <m/>
    <x v="1"/>
    <x v="0"/>
    <m/>
    <m/>
    <m/>
  </r>
  <r>
    <x v="262"/>
    <x v="7"/>
    <m/>
    <x v="0"/>
    <m/>
    <m/>
    <x v="1"/>
    <x v="0"/>
    <m/>
    <m/>
    <m/>
  </r>
  <r>
    <x v="262"/>
    <x v="7"/>
    <m/>
    <x v="0"/>
    <m/>
    <m/>
    <x v="1"/>
    <x v="0"/>
    <m/>
    <m/>
    <m/>
  </r>
  <r>
    <x v="262"/>
    <x v="7"/>
    <m/>
    <x v="0"/>
    <m/>
    <m/>
    <x v="1"/>
    <x v="0"/>
    <m/>
    <m/>
    <m/>
  </r>
  <r>
    <x v="262"/>
    <x v="7"/>
    <m/>
    <x v="0"/>
    <m/>
    <m/>
    <x v="1"/>
    <x v="0"/>
    <m/>
    <m/>
    <m/>
  </r>
  <r>
    <x v="0"/>
    <x v="0"/>
    <m/>
    <x v="1"/>
    <m/>
    <n v="2"/>
    <x v="0"/>
    <x v="1"/>
    <n v="200520"/>
    <m/>
    <n v="76000"/>
  </r>
  <r>
    <x v="1"/>
    <x v="1"/>
    <m/>
    <x v="1"/>
    <m/>
    <n v="1"/>
    <x v="0"/>
    <x v="2"/>
    <n v="200520"/>
    <m/>
    <n v="38000"/>
  </r>
  <r>
    <x v="2"/>
    <x v="2"/>
    <m/>
    <x v="1"/>
    <m/>
    <n v="1"/>
    <x v="0"/>
    <x v="1"/>
    <n v="200520"/>
    <m/>
    <n v="38000"/>
  </r>
  <r>
    <x v="2"/>
    <x v="2"/>
    <m/>
    <x v="1"/>
    <m/>
    <n v="4"/>
    <x v="0"/>
    <x v="2"/>
    <n v="200520"/>
    <m/>
    <n v="152000"/>
  </r>
  <r>
    <x v="2"/>
    <x v="2"/>
    <m/>
    <x v="1"/>
    <m/>
    <n v="1"/>
    <x v="0"/>
    <x v="3"/>
    <n v="200520"/>
    <m/>
    <n v="69000"/>
  </r>
  <r>
    <x v="3"/>
    <x v="3"/>
    <m/>
    <x v="1"/>
    <m/>
    <n v="2"/>
    <x v="0"/>
    <x v="3"/>
    <n v="200520"/>
    <m/>
    <n v="138000"/>
  </r>
  <r>
    <x v="3"/>
    <x v="3"/>
    <m/>
    <x v="1"/>
    <m/>
    <n v="2"/>
    <x v="0"/>
    <x v="1"/>
    <n v="200520"/>
    <m/>
    <n v="76000"/>
  </r>
  <r>
    <x v="3"/>
    <x v="3"/>
    <m/>
    <x v="1"/>
    <m/>
    <n v="7"/>
    <x v="0"/>
    <x v="2"/>
    <n v="200520"/>
    <m/>
    <n v="266000"/>
  </r>
  <r>
    <x v="4"/>
    <x v="4"/>
    <m/>
    <x v="1"/>
    <m/>
    <n v="1"/>
    <x v="0"/>
    <x v="1"/>
    <n v="200520"/>
    <m/>
    <n v="38000"/>
  </r>
  <r>
    <x v="4"/>
    <x v="4"/>
    <m/>
    <x v="1"/>
    <m/>
    <n v="5"/>
    <x v="0"/>
    <x v="2"/>
    <n v="200520"/>
    <m/>
    <n v="190000"/>
  </r>
  <r>
    <x v="5"/>
    <x v="0"/>
    <m/>
    <x v="1"/>
    <m/>
    <n v="1"/>
    <x v="0"/>
    <x v="3"/>
    <n v="200520"/>
    <m/>
    <n v="69000"/>
  </r>
  <r>
    <x v="5"/>
    <x v="0"/>
    <m/>
    <x v="1"/>
    <m/>
    <n v="1"/>
    <x v="0"/>
    <x v="2"/>
    <n v="200520"/>
    <m/>
    <n v="38000"/>
  </r>
  <r>
    <x v="6"/>
    <x v="1"/>
    <m/>
    <x v="1"/>
    <m/>
    <n v="1"/>
    <x v="0"/>
    <x v="1"/>
    <n v="200520"/>
    <m/>
    <n v="38000"/>
  </r>
  <r>
    <x v="6"/>
    <x v="1"/>
    <m/>
    <x v="1"/>
    <m/>
    <n v="4"/>
    <x v="0"/>
    <x v="2"/>
    <n v="200520"/>
    <m/>
    <n v="152000"/>
  </r>
  <r>
    <x v="7"/>
    <x v="5"/>
    <m/>
    <x v="1"/>
    <m/>
    <n v="1"/>
    <x v="0"/>
    <x v="3"/>
    <n v="200520"/>
    <m/>
    <n v="69000"/>
  </r>
  <r>
    <x v="7"/>
    <x v="5"/>
    <m/>
    <x v="1"/>
    <m/>
    <n v="2"/>
    <x v="0"/>
    <x v="1"/>
    <n v="200520"/>
    <m/>
    <n v="76000"/>
  </r>
  <r>
    <x v="7"/>
    <x v="5"/>
    <m/>
    <x v="1"/>
    <m/>
    <n v="1"/>
    <x v="0"/>
    <x v="2"/>
    <n v="200520"/>
    <m/>
    <n v="38000"/>
  </r>
  <r>
    <x v="8"/>
    <x v="6"/>
    <m/>
    <x v="1"/>
    <m/>
    <n v="2"/>
    <x v="0"/>
    <x v="2"/>
    <n v="200520"/>
    <m/>
    <n v="76000"/>
  </r>
  <r>
    <x v="9"/>
    <x v="2"/>
    <m/>
    <x v="1"/>
    <m/>
    <n v="1"/>
    <x v="0"/>
    <x v="3"/>
    <n v="200520"/>
    <m/>
    <n v="69000"/>
  </r>
  <r>
    <x v="9"/>
    <x v="2"/>
    <m/>
    <x v="1"/>
    <m/>
    <n v="2"/>
    <x v="0"/>
    <x v="2"/>
    <n v="200520"/>
    <m/>
    <n v="76000"/>
  </r>
  <r>
    <x v="9"/>
    <x v="2"/>
    <m/>
    <x v="1"/>
    <m/>
    <n v="1"/>
    <x v="2"/>
    <x v="4"/>
    <n v="200520"/>
    <m/>
    <n v="2000"/>
  </r>
  <r>
    <x v="10"/>
    <x v="3"/>
    <m/>
    <x v="2"/>
    <m/>
    <n v="1"/>
    <x v="0"/>
    <x v="3"/>
    <n v="200520"/>
    <m/>
    <n v="0"/>
  </r>
  <r>
    <x v="10"/>
    <x v="3"/>
    <m/>
    <x v="1"/>
    <m/>
    <n v="2"/>
    <x v="0"/>
    <x v="2"/>
    <n v="200520"/>
    <m/>
    <n v="76000"/>
  </r>
  <r>
    <x v="10"/>
    <x v="3"/>
    <m/>
    <x v="1"/>
    <m/>
    <n v="1"/>
    <x v="0"/>
    <x v="1"/>
    <n v="200520"/>
    <m/>
    <n v="38000"/>
  </r>
  <r>
    <x v="11"/>
    <x v="4"/>
    <m/>
    <x v="1"/>
    <m/>
    <n v="1"/>
    <x v="0"/>
    <x v="3"/>
    <n v="200520"/>
    <m/>
    <n v="69000"/>
  </r>
  <r>
    <x v="11"/>
    <x v="4"/>
    <m/>
    <x v="1"/>
    <m/>
    <n v="25"/>
    <x v="0"/>
    <x v="2"/>
    <n v="200520"/>
    <m/>
    <n v="950000"/>
  </r>
  <r>
    <x v="12"/>
    <x v="0"/>
    <m/>
    <x v="1"/>
    <m/>
    <n v="12"/>
    <x v="0"/>
    <x v="2"/>
    <n v="200520"/>
    <m/>
    <n v="456000"/>
  </r>
  <r>
    <x v="12"/>
    <x v="0"/>
    <m/>
    <x v="2"/>
    <m/>
    <n v="12"/>
    <x v="0"/>
    <x v="2"/>
    <n v="200520"/>
    <m/>
    <n v="0"/>
  </r>
  <r>
    <x v="12"/>
    <x v="0"/>
    <m/>
    <x v="2"/>
    <m/>
    <n v="11"/>
    <x v="0"/>
    <x v="1"/>
    <n v="200520"/>
    <m/>
    <n v="0"/>
  </r>
  <r>
    <x v="12"/>
    <x v="0"/>
    <m/>
    <x v="2"/>
    <m/>
    <n v="1"/>
    <x v="2"/>
    <x v="4"/>
    <n v="200520"/>
    <m/>
    <n v="0"/>
  </r>
  <r>
    <x v="13"/>
    <x v="1"/>
    <m/>
    <x v="1"/>
    <m/>
    <n v="1"/>
    <x v="0"/>
    <x v="3"/>
    <n v="200520"/>
    <m/>
    <n v="69000"/>
  </r>
  <r>
    <x v="13"/>
    <x v="1"/>
    <m/>
    <x v="1"/>
    <m/>
    <n v="9"/>
    <x v="0"/>
    <x v="2"/>
    <n v="200520"/>
    <m/>
    <n v="342000"/>
  </r>
  <r>
    <x v="14"/>
    <x v="5"/>
    <m/>
    <x v="1"/>
    <m/>
    <n v="12"/>
    <x v="0"/>
    <x v="2"/>
    <n v="200520"/>
    <m/>
    <n v="456000"/>
  </r>
  <r>
    <x v="14"/>
    <x v="5"/>
    <m/>
    <x v="1"/>
    <m/>
    <n v="1"/>
    <x v="0"/>
    <x v="1"/>
    <n v="200520"/>
    <m/>
    <n v="38000"/>
  </r>
  <r>
    <x v="15"/>
    <x v="6"/>
    <m/>
    <x v="1"/>
    <m/>
    <n v="22"/>
    <x v="0"/>
    <x v="2"/>
    <n v="200520"/>
    <m/>
    <n v="836000"/>
  </r>
  <r>
    <x v="15"/>
    <x v="6"/>
    <m/>
    <x v="1"/>
    <m/>
    <n v="1"/>
    <x v="0"/>
    <x v="1"/>
    <n v="200520"/>
    <m/>
    <n v="38000"/>
  </r>
  <r>
    <x v="16"/>
    <x v="2"/>
    <m/>
    <x v="1"/>
    <m/>
    <n v="1"/>
    <x v="0"/>
    <x v="1"/>
    <n v="200520"/>
    <m/>
    <n v="38000"/>
  </r>
  <r>
    <x v="16"/>
    <x v="2"/>
    <m/>
    <x v="1"/>
    <m/>
    <n v="20"/>
    <x v="0"/>
    <x v="2"/>
    <n v="200520"/>
    <m/>
    <n v="760000"/>
  </r>
  <r>
    <x v="17"/>
    <x v="3"/>
    <m/>
    <x v="1"/>
    <m/>
    <n v="1"/>
    <x v="0"/>
    <x v="5"/>
    <n v="200520"/>
    <m/>
    <n v="50000"/>
  </r>
  <r>
    <x v="17"/>
    <x v="3"/>
    <m/>
    <x v="1"/>
    <m/>
    <n v="1"/>
    <x v="0"/>
    <x v="6"/>
    <n v="200520"/>
    <m/>
    <n v="28800"/>
  </r>
  <r>
    <x v="17"/>
    <x v="3"/>
    <m/>
    <x v="1"/>
    <m/>
    <n v="24"/>
    <x v="0"/>
    <x v="7"/>
    <n v="200520"/>
    <m/>
    <n v="691200"/>
  </r>
  <r>
    <x v="17"/>
    <x v="3"/>
    <m/>
    <x v="1"/>
    <m/>
    <n v="5"/>
    <x v="0"/>
    <x v="2"/>
    <n v="200520"/>
    <m/>
    <n v="190000"/>
  </r>
  <r>
    <x v="17"/>
    <x v="3"/>
    <m/>
    <x v="2"/>
    <m/>
    <n v="31"/>
    <x v="0"/>
    <x v="2"/>
    <n v="200520"/>
    <m/>
    <n v="0"/>
  </r>
  <r>
    <x v="17"/>
    <x v="3"/>
    <m/>
    <x v="2"/>
    <m/>
    <n v="31"/>
    <x v="0"/>
    <x v="1"/>
    <n v="200520"/>
    <m/>
    <n v="0"/>
  </r>
  <r>
    <x v="17"/>
    <x v="3"/>
    <m/>
    <x v="2"/>
    <m/>
    <n v="1"/>
    <x v="2"/>
    <x v="4"/>
    <n v="200520"/>
    <m/>
    <n v="0"/>
  </r>
  <r>
    <x v="18"/>
    <x v="4"/>
    <m/>
    <x v="1"/>
    <m/>
    <n v="1"/>
    <x v="0"/>
    <x v="5"/>
    <n v="200520"/>
    <m/>
    <n v="50000"/>
  </r>
  <r>
    <x v="18"/>
    <x v="4"/>
    <m/>
    <x v="1"/>
    <m/>
    <n v="19"/>
    <x v="0"/>
    <x v="7"/>
    <n v="200520"/>
    <m/>
    <n v="547200"/>
  </r>
  <r>
    <x v="18"/>
    <x v="4"/>
    <m/>
    <x v="2"/>
    <m/>
    <n v="1"/>
    <x v="0"/>
    <x v="2"/>
    <n v="200520"/>
    <m/>
    <n v="0"/>
  </r>
  <r>
    <x v="18"/>
    <x v="4"/>
    <m/>
    <x v="2"/>
    <m/>
    <n v="1"/>
    <x v="0"/>
    <x v="1"/>
    <n v="200520"/>
    <m/>
    <n v="0"/>
  </r>
  <r>
    <x v="19"/>
    <x v="0"/>
    <m/>
    <x v="1"/>
    <m/>
    <n v="3"/>
    <x v="0"/>
    <x v="7"/>
    <n v="200520"/>
    <m/>
    <n v="86400"/>
  </r>
  <r>
    <x v="19"/>
    <x v="0"/>
    <m/>
    <x v="1"/>
    <m/>
    <n v="14"/>
    <x v="0"/>
    <x v="7"/>
    <n v="200520"/>
    <m/>
    <n v="403200"/>
  </r>
  <r>
    <x v="20"/>
    <x v="1"/>
    <m/>
    <x v="1"/>
    <m/>
    <n v="1"/>
    <x v="0"/>
    <x v="5"/>
    <n v="200520"/>
    <m/>
    <n v="50000"/>
  </r>
  <r>
    <x v="20"/>
    <x v="1"/>
    <m/>
    <x v="1"/>
    <m/>
    <n v="1"/>
    <x v="0"/>
    <x v="7"/>
    <n v="200520"/>
    <m/>
    <n v="28800"/>
  </r>
  <r>
    <x v="20"/>
    <x v="1"/>
    <m/>
    <x v="1"/>
    <m/>
    <n v="32"/>
    <x v="0"/>
    <x v="7"/>
    <n v="200520"/>
    <m/>
    <n v="921600"/>
  </r>
  <r>
    <x v="20"/>
    <x v="1"/>
    <m/>
    <x v="1"/>
    <m/>
    <n v="3"/>
    <x v="0"/>
    <x v="6"/>
    <n v="200520"/>
    <m/>
    <n v="86400"/>
  </r>
  <r>
    <x v="21"/>
    <x v="5"/>
    <m/>
    <x v="1"/>
    <m/>
    <n v="1"/>
    <x v="0"/>
    <x v="5"/>
    <n v="200520"/>
    <m/>
    <n v="50000"/>
  </r>
  <r>
    <x v="21"/>
    <x v="5"/>
    <m/>
    <x v="1"/>
    <m/>
    <n v="25"/>
    <x v="0"/>
    <x v="7"/>
    <n v="200520"/>
    <m/>
    <n v="720000"/>
  </r>
  <r>
    <x v="22"/>
    <x v="6"/>
    <m/>
    <x v="1"/>
    <m/>
    <n v="1"/>
    <x v="0"/>
    <x v="5"/>
    <n v="200520"/>
    <m/>
    <n v="50000"/>
  </r>
  <r>
    <x v="22"/>
    <x v="6"/>
    <m/>
    <x v="1"/>
    <m/>
    <n v="24"/>
    <x v="0"/>
    <x v="7"/>
    <n v="200520"/>
    <m/>
    <n v="691200"/>
  </r>
  <r>
    <x v="22"/>
    <x v="6"/>
    <m/>
    <x v="2"/>
    <m/>
    <n v="1"/>
    <x v="0"/>
    <x v="1"/>
    <n v="200520"/>
    <m/>
    <n v="0"/>
  </r>
  <r>
    <x v="22"/>
    <x v="6"/>
    <m/>
    <x v="2"/>
    <m/>
    <n v="1"/>
    <x v="0"/>
    <x v="2"/>
    <n v="200520"/>
    <m/>
    <n v="0"/>
  </r>
  <r>
    <x v="23"/>
    <x v="2"/>
    <m/>
    <x v="1"/>
    <m/>
    <n v="1"/>
    <x v="0"/>
    <x v="5"/>
    <n v="200520"/>
    <m/>
    <n v="50000"/>
  </r>
  <r>
    <x v="23"/>
    <x v="2"/>
    <m/>
    <x v="1"/>
    <m/>
    <n v="23"/>
    <x v="0"/>
    <x v="7"/>
    <n v="200520"/>
    <m/>
    <n v="662400"/>
  </r>
  <r>
    <x v="24"/>
    <x v="3"/>
    <m/>
    <x v="1"/>
    <m/>
    <n v="3"/>
    <x v="0"/>
    <x v="5"/>
    <n v="200520"/>
    <m/>
    <n v="150000"/>
  </r>
  <r>
    <x v="24"/>
    <x v="3"/>
    <m/>
    <x v="1"/>
    <m/>
    <n v="24"/>
    <x v="0"/>
    <x v="7"/>
    <n v="200520"/>
    <m/>
    <n v="691200"/>
  </r>
  <r>
    <x v="24"/>
    <x v="3"/>
    <m/>
    <x v="1"/>
    <m/>
    <n v="3"/>
    <x v="0"/>
    <x v="6"/>
    <n v="200520"/>
    <m/>
    <n v="86400"/>
  </r>
  <r>
    <x v="25"/>
    <x v="4"/>
    <m/>
    <x v="1"/>
    <m/>
    <n v="41"/>
    <x v="0"/>
    <x v="7"/>
    <n v="200520"/>
    <m/>
    <n v="1180800"/>
  </r>
  <r>
    <x v="25"/>
    <x v="4"/>
    <m/>
    <x v="1"/>
    <m/>
    <n v="21"/>
    <x v="0"/>
    <x v="6"/>
    <n v="200520"/>
    <m/>
    <n v="604800"/>
  </r>
  <r>
    <x v="26"/>
    <x v="0"/>
    <m/>
    <x v="1"/>
    <m/>
    <n v="1"/>
    <x v="0"/>
    <x v="5"/>
    <n v="200520"/>
    <m/>
    <n v="50000"/>
  </r>
  <r>
    <x v="26"/>
    <x v="0"/>
    <m/>
    <x v="1"/>
    <m/>
    <n v="41"/>
    <x v="0"/>
    <x v="7"/>
    <n v="200520"/>
    <m/>
    <n v="1180800"/>
  </r>
  <r>
    <x v="26"/>
    <x v="0"/>
    <m/>
    <x v="1"/>
    <m/>
    <n v="23"/>
    <x v="0"/>
    <x v="6"/>
    <n v="200520"/>
    <m/>
    <n v="662400"/>
  </r>
  <r>
    <x v="26"/>
    <x v="0"/>
    <m/>
    <x v="2"/>
    <m/>
    <n v="1"/>
    <x v="0"/>
    <x v="2"/>
    <n v="200520"/>
    <m/>
    <n v="0"/>
  </r>
  <r>
    <x v="26"/>
    <x v="0"/>
    <m/>
    <x v="2"/>
    <m/>
    <n v="1"/>
    <x v="0"/>
    <x v="1"/>
    <n v="200520"/>
    <m/>
    <n v="0"/>
  </r>
  <r>
    <x v="26"/>
    <x v="0"/>
    <m/>
    <x v="2"/>
    <m/>
    <n v="1"/>
    <x v="2"/>
    <x v="4"/>
    <n v="200520"/>
    <m/>
    <n v="0"/>
  </r>
  <r>
    <x v="27"/>
    <x v="1"/>
    <m/>
    <x v="1"/>
    <m/>
    <n v="9"/>
    <x v="0"/>
    <x v="5"/>
    <n v="200520"/>
    <m/>
    <n v="450000"/>
  </r>
  <r>
    <x v="27"/>
    <x v="1"/>
    <m/>
    <x v="1"/>
    <m/>
    <n v="26"/>
    <x v="0"/>
    <x v="6"/>
    <n v="200520"/>
    <m/>
    <n v="748800"/>
  </r>
  <r>
    <x v="27"/>
    <x v="1"/>
    <m/>
    <x v="1"/>
    <m/>
    <n v="57"/>
    <x v="0"/>
    <x v="7"/>
    <n v="200520"/>
    <m/>
    <n v="1641600"/>
  </r>
  <r>
    <x v="28"/>
    <x v="5"/>
    <m/>
    <x v="1"/>
    <m/>
    <n v="24"/>
    <x v="0"/>
    <x v="7"/>
    <n v="200520"/>
    <m/>
    <n v="691200"/>
  </r>
  <r>
    <x v="28"/>
    <x v="5"/>
    <m/>
    <x v="1"/>
    <m/>
    <n v="1"/>
    <x v="0"/>
    <x v="3"/>
    <n v="200520"/>
    <m/>
    <n v="69000"/>
  </r>
  <r>
    <x v="28"/>
    <x v="5"/>
    <m/>
    <x v="1"/>
    <m/>
    <n v="17"/>
    <x v="0"/>
    <x v="1"/>
    <n v="200520"/>
    <m/>
    <n v="646000"/>
  </r>
  <r>
    <x v="28"/>
    <x v="5"/>
    <m/>
    <x v="1"/>
    <m/>
    <n v="46"/>
    <x v="0"/>
    <x v="2"/>
    <n v="200520"/>
    <m/>
    <n v="1748000"/>
  </r>
  <r>
    <x v="28"/>
    <x v="5"/>
    <m/>
    <x v="1"/>
    <m/>
    <n v="2"/>
    <x v="2"/>
    <x v="4"/>
    <n v="200520"/>
    <m/>
    <n v="4000"/>
  </r>
  <r>
    <x v="28"/>
    <x v="5"/>
    <m/>
    <x v="1"/>
    <m/>
    <n v="7"/>
    <x v="0"/>
    <x v="6"/>
    <n v="200520"/>
    <m/>
    <n v="201600"/>
  </r>
  <r>
    <x v="29"/>
    <x v="6"/>
    <m/>
    <x v="1"/>
    <m/>
    <n v="17"/>
    <x v="0"/>
    <x v="1"/>
    <n v="200622"/>
    <m/>
    <n v="578000"/>
  </r>
  <r>
    <x v="29"/>
    <x v="6"/>
    <m/>
    <x v="1"/>
    <m/>
    <n v="57"/>
    <x v="0"/>
    <x v="2"/>
    <n v="200622"/>
    <m/>
    <n v="1938000"/>
  </r>
  <r>
    <x v="29"/>
    <x v="6"/>
    <m/>
    <x v="1"/>
    <m/>
    <n v="2"/>
    <x v="0"/>
    <x v="6"/>
    <n v="200520"/>
    <m/>
    <n v="57600"/>
  </r>
  <r>
    <x v="30"/>
    <x v="2"/>
    <m/>
    <x v="1"/>
    <m/>
    <n v="1"/>
    <x v="0"/>
    <x v="3"/>
    <n v="200622"/>
    <m/>
    <n v="65000"/>
  </r>
  <r>
    <x v="30"/>
    <x v="2"/>
    <m/>
    <x v="1"/>
    <m/>
    <n v="29"/>
    <x v="0"/>
    <x v="1"/>
    <n v="200622"/>
    <m/>
    <n v="986000"/>
  </r>
  <r>
    <x v="30"/>
    <x v="2"/>
    <m/>
    <x v="1"/>
    <m/>
    <n v="59"/>
    <x v="0"/>
    <x v="2"/>
    <n v="200622"/>
    <m/>
    <n v="2006000"/>
  </r>
  <r>
    <x v="30"/>
    <x v="2"/>
    <m/>
    <x v="1"/>
    <m/>
    <n v="2"/>
    <x v="2"/>
    <x v="4"/>
    <n v="200622"/>
    <m/>
    <n v="4000"/>
  </r>
  <r>
    <x v="31"/>
    <x v="3"/>
    <m/>
    <x v="1"/>
    <m/>
    <n v="4"/>
    <x v="0"/>
    <x v="3"/>
    <n v="200622"/>
    <m/>
    <n v="260000"/>
  </r>
  <r>
    <x v="31"/>
    <x v="3"/>
    <m/>
    <x v="1"/>
    <m/>
    <n v="30"/>
    <x v="0"/>
    <x v="1"/>
    <n v="200622"/>
    <m/>
    <n v="1020000"/>
  </r>
  <r>
    <x v="31"/>
    <x v="3"/>
    <m/>
    <x v="1"/>
    <m/>
    <n v="54"/>
    <x v="0"/>
    <x v="2"/>
    <n v="200622"/>
    <m/>
    <n v="1836000"/>
  </r>
  <r>
    <x v="32"/>
    <x v="4"/>
    <m/>
    <x v="1"/>
    <m/>
    <n v="1"/>
    <x v="0"/>
    <x v="3"/>
    <n v="200622"/>
    <m/>
    <n v="65000"/>
  </r>
  <r>
    <x v="32"/>
    <x v="4"/>
    <m/>
    <x v="1"/>
    <m/>
    <n v="21"/>
    <x v="0"/>
    <x v="1"/>
    <n v="200622"/>
    <m/>
    <n v="714000"/>
  </r>
  <r>
    <x v="32"/>
    <x v="4"/>
    <m/>
    <x v="1"/>
    <m/>
    <n v="71"/>
    <x v="0"/>
    <x v="2"/>
    <n v="200622"/>
    <m/>
    <n v="2414000"/>
  </r>
  <r>
    <x v="32"/>
    <x v="4"/>
    <m/>
    <x v="1"/>
    <m/>
    <n v="1"/>
    <x v="2"/>
    <x v="4"/>
    <n v="200622"/>
    <m/>
    <n v="2000"/>
  </r>
  <r>
    <x v="33"/>
    <x v="0"/>
    <m/>
    <x v="1"/>
    <m/>
    <n v="2"/>
    <x v="0"/>
    <x v="3"/>
    <n v="200622"/>
    <m/>
    <n v="130000"/>
  </r>
  <r>
    <x v="33"/>
    <x v="0"/>
    <m/>
    <x v="1"/>
    <m/>
    <n v="20"/>
    <x v="0"/>
    <x v="1"/>
    <n v="200622"/>
    <m/>
    <n v="680000"/>
  </r>
  <r>
    <x v="33"/>
    <x v="0"/>
    <m/>
    <x v="1"/>
    <m/>
    <n v="53"/>
    <x v="0"/>
    <x v="2"/>
    <n v="200622"/>
    <m/>
    <n v="1802000"/>
  </r>
  <r>
    <x v="33"/>
    <x v="0"/>
    <m/>
    <x v="1"/>
    <m/>
    <n v="2"/>
    <x v="2"/>
    <x v="4"/>
    <n v="200622"/>
    <m/>
    <n v="4000"/>
  </r>
  <r>
    <x v="34"/>
    <x v="1"/>
    <m/>
    <x v="1"/>
    <m/>
    <n v="21"/>
    <x v="0"/>
    <x v="1"/>
    <n v="200622"/>
    <m/>
    <n v="714000"/>
  </r>
  <r>
    <x v="34"/>
    <x v="1"/>
    <m/>
    <x v="1"/>
    <m/>
    <n v="48"/>
    <x v="0"/>
    <x v="2"/>
    <n v="200622"/>
    <m/>
    <n v="1632000"/>
  </r>
  <r>
    <x v="34"/>
    <x v="1"/>
    <m/>
    <x v="1"/>
    <m/>
    <n v="1"/>
    <x v="2"/>
    <x v="4"/>
    <n v="200622"/>
    <m/>
    <n v="2000"/>
  </r>
  <r>
    <x v="35"/>
    <x v="5"/>
    <m/>
    <x v="1"/>
    <m/>
    <n v="2"/>
    <x v="0"/>
    <x v="3"/>
    <n v="200622"/>
    <m/>
    <n v="130000"/>
  </r>
  <r>
    <x v="35"/>
    <x v="5"/>
    <m/>
    <x v="1"/>
    <m/>
    <n v="15"/>
    <x v="0"/>
    <x v="1"/>
    <n v="200622"/>
    <m/>
    <n v="510000"/>
  </r>
  <r>
    <x v="35"/>
    <x v="5"/>
    <m/>
    <x v="1"/>
    <m/>
    <n v="65"/>
    <x v="0"/>
    <x v="2"/>
    <n v="200622"/>
    <m/>
    <n v="2210000"/>
  </r>
  <r>
    <x v="35"/>
    <x v="5"/>
    <m/>
    <x v="1"/>
    <m/>
    <n v="2"/>
    <x v="2"/>
    <x v="4"/>
    <n v="200622"/>
    <m/>
    <n v="4000"/>
  </r>
  <r>
    <x v="36"/>
    <x v="6"/>
    <m/>
    <x v="1"/>
    <m/>
    <n v="11"/>
    <x v="0"/>
    <x v="1"/>
    <n v="200622"/>
    <m/>
    <n v="374000"/>
  </r>
  <r>
    <x v="36"/>
    <x v="6"/>
    <m/>
    <x v="1"/>
    <m/>
    <n v="48"/>
    <x v="0"/>
    <x v="2"/>
    <n v="200622"/>
    <m/>
    <n v="1632000"/>
  </r>
  <r>
    <x v="36"/>
    <x v="6"/>
    <m/>
    <x v="1"/>
    <m/>
    <n v="1"/>
    <x v="2"/>
    <x v="4"/>
    <n v="200622"/>
    <m/>
    <n v="2000"/>
  </r>
  <r>
    <x v="37"/>
    <x v="2"/>
    <m/>
    <x v="1"/>
    <m/>
    <n v="1"/>
    <x v="0"/>
    <x v="3"/>
    <n v="200622"/>
    <m/>
    <n v="65000"/>
  </r>
  <r>
    <x v="37"/>
    <x v="2"/>
    <m/>
    <x v="1"/>
    <m/>
    <n v="13"/>
    <x v="0"/>
    <x v="1"/>
    <n v="200622"/>
    <m/>
    <n v="442000"/>
  </r>
  <r>
    <x v="37"/>
    <x v="2"/>
    <m/>
    <x v="1"/>
    <m/>
    <n v="49"/>
    <x v="0"/>
    <x v="2"/>
    <n v="200622"/>
    <m/>
    <n v="1666000"/>
  </r>
  <r>
    <x v="37"/>
    <x v="2"/>
    <m/>
    <x v="1"/>
    <m/>
    <n v="1"/>
    <x v="2"/>
    <x v="4"/>
    <n v="200622"/>
    <m/>
    <n v="2000"/>
  </r>
  <r>
    <x v="38"/>
    <x v="3"/>
    <m/>
    <x v="1"/>
    <m/>
    <n v="36"/>
    <x v="0"/>
    <x v="2"/>
    <n v="200622"/>
    <m/>
    <n v="1224000"/>
  </r>
  <r>
    <x v="38"/>
    <x v="3"/>
    <m/>
    <x v="1"/>
    <m/>
    <n v="21"/>
    <x v="0"/>
    <x v="1"/>
    <n v="200622"/>
    <m/>
    <n v="714000"/>
  </r>
  <r>
    <x v="39"/>
    <x v="4"/>
    <m/>
    <x v="1"/>
    <m/>
    <n v="24"/>
    <x v="0"/>
    <x v="2"/>
    <n v="200622"/>
    <m/>
    <n v="816000"/>
  </r>
  <r>
    <x v="39"/>
    <x v="4"/>
    <m/>
    <x v="1"/>
    <m/>
    <n v="11"/>
    <x v="0"/>
    <x v="1"/>
    <n v="200622"/>
    <m/>
    <n v="374000"/>
  </r>
  <r>
    <x v="39"/>
    <x v="4"/>
    <m/>
    <x v="1"/>
    <m/>
    <n v="1"/>
    <x v="2"/>
    <x v="4"/>
    <n v="200622"/>
    <m/>
    <n v="2000"/>
  </r>
  <r>
    <x v="40"/>
    <x v="0"/>
    <m/>
    <x v="1"/>
    <m/>
    <n v="19"/>
    <x v="0"/>
    <x v="2"/>
    <n v="200622"/>
    <m/>
    <n v="646000"/>
  </r>
  <r>
    <x v="40"/>
    <x v="0"/>
    <m/>
    <x v="1"/>
    <m/>
    <n v="1"/>
    <x v="2"/>
    <x v="4"/>
    <n v="200622"/>
    <m/>
    <n v="2000"/>
  </r>
  <r>
    <x v="40"/>
    <x v="0"/>
    <m/>
    <x v="1"/>
    <m/>
    <n v="2"/>
    <x v="0"/>
    <x v="1"/>
    <n v="200622"/>
    <m/>
    <n v="68000"/>
  </r>
  <r>
    <x v="41"/>
    <x v="1"/>
    <m/>
    <x v="1"/>
    <m/>
    <n v="7"/>
    <x v="0"/>
    <x v="2"/>
    <n v="200622"/>
    <m/>
    <n v="238000"/>
  </r>
  <r>
    <x v="42"/>
    <x v="5"/>
    <m/>
    <x v="1"/>
    <m/>
    <n v="2"/>
    <x v="0"/>
    <x v="1"/>
    <n v="200622"/>
    <m/>
    <n v="68000"/>
  </r>
  <r>
    <x v="42"/>
    <x v="5"/>
    <m/>
    <x v="1"/>
    <m/>
    <n v="13"/>
    <x v="0"/>
    <x v="2"/>
    <n v="200622"/>
    <m/>
    <n v="442000"/>
  </r>
  <r>
    <x v="42"/>
    <x v="5"/>
    <m/>
    <x v="1"/>
    <m/>
    <n v="1"/>
    <x v="2"/>
    <x v="4"/>
    <n v="200622"/>
    <m/>
    <n v="2000"/>
  </r>
  <r>
    <x v="43"/>
    <x v="6"/>
    <m/>
    <x v="1"/>
    <m/>
    <n v="24"/>
    <x v="0"/>
    <x v="2"/>
    <n v="200622"/>
    <m/>
    <n v="816000"/>
  </r>
  <r>
    <x v="43"/>
    <x v="6"/>
    <m/>
    <x v="1"/>
    <m/>
    <n v="7"/>
    <x v="0"/>
    <x v="1"/>
    <n v="200622"/>
    <m/>
    <n v="238000"/>
  </r>
  <r>
    <x v="44"/>
    <x v="2"/>
    <m/>
    <x v="1"/>
    <m/>
    <n v="3"/>
    <x v="0"/>
    <x v="3"/>
    <n v="200622"/>
    <m/>
    <n v="195000"/>
  </r>
  <r>
    <x v="44"/>
    <x v="2"/>
    <m/>
    <x v="1"/>
    <m/>
    <n v="36"/>
    <x v="0"/>
    <x v="2"/>
    <n v="200622"/>
    <m/>
    <n v="1224000"/>
  </r>
  <r>
    <x v="44"/>
    <x v="2"/>
    <m/>
    <x v="1"/>
    <m/>
    <n v="5"/>
    <x v="0"/>
    <x v="1"/>
    <n v="200622"/>
    <m/>
    <n v="170000"/>
  </r>
  <r>
    <x v="45"/>
    <x v="3"/>
    <m/>
    <x v="1"/>
    <m/>
    <n v="1"/>
    <x v="0"/>
    <x v="3"/>
    <n v="200622"/>
    <m/>
    <n v="65000"/>
  </r>
  <r>
    <x v="45"/>
    <x v="3"/>
    <m/>
    <x v="1"/>
    <m/>
    <n v="27"/>
    <x v="0"/>
    <x v="2"/>
    <n v="200622"/>
    <m/>
    <n v="918000"/>
  </r>
  <r>
    <x v="45"/>
    <x v="3"/>
    <m/>
    <x v="1"/>
    <m/>
    <n v="3"/>
    <x v="0"/>
    <x v="1"/>
    <n v="200622"/>
    <m/>
    <n v="102000"/>
  </r>
  <r>
    <x v="45"/>
    <x v="3"/>
    <m/>
    <x v="1"/>
    <m/>
    <n v="1"/>
    <x v="2"/>
    <x v="4"/>
    <n v="200622"/>
    <m/>
    <n v="2000"/>
  </r>
  <r>
    <x v="46"/>
    <x v="4"/>
    <m/>
    <x v="1"/>
    <m/>
    <n v="1"/>
    <x v="0"/>
    <x v="3"/>
    <n v="200622"/>
    <m/>
    <n v="65000"/>
  </r>
  <r>
    <x v="46"/>
    <x v="4"/>
    <m/>
    <x v="1"/>
    <m/>
    <n v="41"/>
    <x v="0"/>
    <x v="2"/>
    <n v="200622"/>
    <m/>
    <n v="1394000"/>
  </r>
  <r>
    <x v="47"/>
    <x v="0"/>
    <m/>
    <x v="1"/>
    <m/>
    <n v="29"/>
    <x v="0"/>
    <x v="2"/>
    <n v="200622"/>
    <m/>
    <n v="986000"/>
  </r>
  <r>
    <x v="47"/>
    <x v="0"/>
    <m/>
    <x v="1"/>
    <m/>
    <n v="1"/>
    <x v="2"/>
    <x v="4"/>
    <n v="200622"/>
    <m/>
    <n v="2000"/>
  </r>
  <r>
    <x v="47"/>
    <x v="0"/>
    <m/>
    <x v="1"/>
    <m/>
    <n v="1"/>
    <x v="0"/>
    <x v="1"/>
    <n v="200622"/>
    <m/>
    <n v="34000"/>
  </r>
  <r>
    <x v="48"/>
    <x v="1"/>
    <m/>
    <x v="1"/>
    <m/>
    <n v="29"/>
    <x v="0"/>
    <x v="2"/>
    <n v="200622"/>
    <m/>
    <n v="986000"/>
  </r>
  <r>
    <x v="48"/>
    <x v="1"/>
    <m/>
    <x v="1"/>
    <m/>
    <n v="1"/>
    <x v="2"/>
    <x v="4"/>
    <n v="200622"/>
    <m/>
    <n v="2000"/>
  </r>
  <r>
    <x v="48"/>
    <x v="1"/>
    <m/>
    <x v="1"/>
    <m/>
    <n v="7"/>
    <x v="0"/>
    <x v="1"/>
    <n v="200622"/>
    <m/>
    <n v="238000"/>
  </r>
  <r>
    <x v="49"/>
    <x v="5"/>
    <m/>
    <x v="1"/>
    <m/>
    <n v="3"/>
    <x v="0"/>
    <x v="1"/>
    <n v="200622"/>
    <m/>
    <n v="102000"/>
  </r>
  <r>
    <x v="49"/>
    <x v="5"/>
    <m/>
    <x v="1"/>
    <m/>
    <n v="65"/>
    <x v="0"/>
    <x v="2"/>
    <n v="200622"/>
    <m/>
    <n v="2210000"/>
  </r>
  <r>
    <x v="50"/>
    <x v="6"/>
    <m/>
    <x v="1"/>
    <m/>
    <n v="2"/>
    <x v="0"/>
    <x v="3"/>
    <n v="200622"/>
    <m/>
    <n v="130000"/>
  </r>
  <r>
    <x v="50"/>
    <x v="6"/>
    <m/>
    <x v="1"/>
    <m/>
    <n v="2"/>
    <x v="0"/>
    <x v="1"/>
    <n v="200622"/>
    <m/>
    <n v="68000"/>
  </r>
  <r>
    <x v="50"/>
    <x v="6"/>
    <m/>
    <x v="1"/>
    <m/>
    <n v="46"/>
    <x v="0"/>
    <x v="2"/>
    <n v="200622"/>
    <m/>
    <n v="1564000"/>
  </r>
  <r>
    <x v="51"/>
    <x v="2"/>
    <m/>
    <x v="1"/>
    <m/>
    <n v="3"/>
    <x v="0"/>
    <x v="3"/>
    <n v="200622"/>
    <m/>
    <n v="195000"/>
  </r>
  <r>
    <x v="51"/>
    <x v="2"/>
    <m/>
    <x v="1"/>
    <m/>
    <n v="77"/>
    <x v="0"/>
    <x v="2"/>
    <n v="200622"/>
    <m/>
    <n v="2618000"/>
  </r>
  <r>
    <x v="51"/>
    <x v="2"/>
    <m/>
    <x v="1"/>
    <m/>
    <n v="3"/>
    <x v="2"/>
    <x v="4"/>
    <n v="200622"/>
    <m/>
    <n v="6000"/>
  </r>
  <r>
    <x v="51"/>
    <x v="2"/>
    <m/>
    <x v="1"/>
    <m/>
    <n v="2"/>
    <x v="0"/>
    <x v="1"/>
    <n v="200622"/>
    <m/>
    <n v="68000"/>
  </r>
  <r>
    <x v="52"/>
    <x v="3"/>
    <m/>
    <x v="1"/>
    <m/>
    <n v="1"/>
    <x v="0"/>
    <x v="3"/>
    <n v="200622"/>
    <m/>
    <n v="65000"/>
  </r>
  <r>
    <x v="52"/>
    <x v="3"/>
    <m/>
    <x v="1"/>
    <m/>
    <n v="112"/>
    <x v="0"/>
    <x v="2"/>
    <n v="200622"/>
    <m/>
    <n v="3808000"/>
  </r>
  <r>
    <x v="52"/>
    <x v="3"/>
    <m/>
    <x v="1"/>
    <m/>
    <n v="1"/>
    <x v="2"/>
    <x v="4"/>
    <n v="200622"/>
    <m/>
    <n v="2000"/>
  </r>
  <r>
    <x v="52"/>
    <x v="3"/>
    <m/>
    <x v="1"/>
    <m/>
    <n v="3"/>
    <x v="0"/>
    <x v="1"/>
    <n v="200622"/>
    <m/>
    <n v="102000"/>
  </r>
  <r>
    <x v="53"/>
    <x v="4"/>
    <m/>
    <x v="2"/>
    <m/>
    <n v="1"/>
    <x v="0"/>
    <x v="1"/>
    <n v="200520"/>
    <m/>
    <n v="0"/>
  </r>
  <r>
    <x v="53"/>
    <x v="4"/>
    <m/>
    <x v="2"/>
    <m/>
    <n v="1"/>
    <x v="2"/>
    <x v="4"/>
    <n v="200520"/>
    <m/>
    <n v="0"/>
  </r>
  <r>
    <x v="53"/>
    <x v="4"/>
    <m/>
    <x v="1"/>
    <m/>
    <n v="51"/>
    <x v="0"/>
    <x v="2"/>
    <n v="200622"/>
    <m/>
    <n v="1734000"/>
  </r>
  <r>
    <x v="54"/>
    <x v="0"/>
    <m/>
    <x v="1"/>
    <m/>
    <n v="86"/>
    <x v="0"/>
    <x v="2"/>
    <n v="200622"/>
    <m/>
    <n v="2924000"/>
  </r>
  <r>
    <x v="54"/>
    <x v="0"/>
    <m/>
    <x v="1"/>
    <m/>
    <n v="2"/>
    <x v="2"/>
    <x v="4"/>
    <n v="200622"/>
    <m/>
    <n v="4000"/>
  </r>
  <r>
    <x v="54"/>
    <x v="0"/>
    <m/>
    <x v="1"/>
    <m/>
    <n v="3"/>
    <x v="0"/>
    <x v="1"/>
    <n v="200622"/>
    <m/>
    <n v="102000"/>
  </r>
  <r>
    <x v="55"/>
    <x v="1"/>
    <m/>
    <x v="1"/>
    <m/>
    <n v="41"/>
    <x v="0"/>
    <x v="2"/>
    <n v="200622"/>
    <m/>
    <n v="1394000"/>
  </r>
  <r>
    <x v="55"/>
    <x v="1"/>
    <m/>
    <x v="1"/>
    <m/>
    <n v="1"/>
    <x v="0"/>
    <x v="1"/>
    <n v="200622"/>
    <m/>
    <n v="34000"/>
  </r>
  <r>
    <x v="56"/>
    <x v="5"/>
    <m/>
    <x v="1"/>
    <m/>
    <n v="46"/>
    <x v="0"/>
    <x v="2"/>
    <n v="200622"/>
    <m/>
    <n v="1564000"/>
  </r>
  <r>
    <x v="56"/>
    <x v="5"/>
    <m/>
    <x v="1"/>
    <m/>
    <n v="1"/>
    <x v="2"/>
    <x v="4"/>
    <n v="200622"/>
    <m/>
    <n v="2000"/>
  </r>
  <r>
    <x v="57"/>
    <x v="6"/>
    <m/>
    <x v="1"/>
    <m/>
    <n v="1"/>
    <x v="0"/>
    <x v="3"/>
    <n v="200622"/>
    <m/>
    <n v="65000"/>
  </r>
  <r>
    <x v="57"/>
    <x v="6"/>
    <m/>
    <x v="1"/>
    <m/>
    <n v="3"/>
    <x v="0"/>
    <x v="1"/>
    <n v="200622"/>
    <m/>
    <n v="102000"/>
  </r>
  <r>
    <x v="57"/>
    <x v="6"/>
    <m/>
    <x v="1"/>
    <m/>
    <n v="59"/>
    <x v="0"/>
    <x v="2"/>
    <n v="200622"/>
    <m/>
    <n v="2006000"/>
  </r>
  <r>
    <x v="57"/>
    <x v="6"/>
    <m/>
    <x v="1"/>
    <m/>
    <n v="4"/>
    <x v="0"/>
    <x v="8"/>
    <n v="200622"/>
    <m/>
    <n v="235200"/>
  </r>
  <r>
    <x v="58"/>
    <x v="2"/>
    <m/>
    <x v="1"/>
    <m/>
    <n v="2"/>
    <x v="0"/>
    <x v="3"/>
    <n v="200622"/>
    <m/>
    <n v="130000"/>
  </r>
  <r>
    <x v="58"/>
    <x v="2"/>
    <m/>
    <x v="1"/>
    <m/>
    <n v="9"/>
    <x v="0"/>
    <x v="1"/>
    <n v="200622"/>
    <m/>
    <n v="306000"/>
  </r>
  <r>
    <x v="58"/>
    <x v="2"/>
    <m/>
    <x v="1"/>
    <m/>
    <n v="77"/>
    <x v="0"/>
    <x v="2"/>
    <n v="200622"/>
    <m/>
    <n v="2618000"/>
  </r>
  <r>
    <x v="58"/>
    <x v="2"/>
    <m/>
    <x v="1"/>
    <m/>
    <n v="8"/>
    <x v="0"/>
    <x v="8"/>
    <n v="200622"/>
    <m/>
    <n v="470400"/>
  </r>
  <r>
    <x v="58"/>
    <x v="2"/>
    <m/>
    <x v="1"/>
    <m/>
    <n v="2"/>
    <x v="0"/>
    <x v="9"/>
    <n v="200622"/>
    <m/>
    <n v="117600"/>
  </r>
  <r>
    <x v="58"/>
    <x v="2"/>
    <m/>
    <x v="1"/>
    <m/>
    <n v="1"/>
    <x v="2"/>
    <x v="4"/>
    <n v="200622"/>
    <m/>
    <n v="2000"/>
  </r>
  <r>
    <x v="59"/>
    <x v="3"/>
    <m/>
    <x v="1"/>
    <m/>
    <n v="4"/>
    <x v="0"/>
    <x v="3"/>
    <n v="200622"/>
    <m/>
    <n v="260000"/>
  </r>
  <r>
    <x v="59"/>
    <x v="3"/>
    <m/>
    <x v="1"/>
    <m/>
    <n v="90"/>
    <x v="0"/>
    <x v="2"/>
    <n v="200622"/>
    <m/>
    <n v="3060000"/>
  </r>
  <r>
    <x v="59"/>
    <x v="3"/>
    <m/>
    <x v="1"/>
    <m/>
    <n v="10"/>
    <x v="0"/>
    <x v="8"/>
    <n v="200622"/>
    <m/>
    <n v="588000"/>
  </r>
  <r>
    <x v="59"/>
    <x v="3"/>
    <m/>
    <x v="1"/>
    <m/>
    <n v="1"/>
    <x v="2"/>
    <x v="4"/>
    <n v="200622"/>
    <m/>
    <n v="2000"/>
  </r>
  <r>
    <x v="59"/>
    <x v="3"/>
    <m/>
    <x v="1"/>
    <m/>
    <n v="1"/>
    <x v="0"/>
    <x v="1"/>
    <n v="200622"/>
    <m/>
    <n v="34000"/>
  </r>
  <r>
    <x v="60"/>
    <x v="4"/>
    <m/>
    <x v="1"/>
    <m/>
    <n v="1"/>
    <x v="0"/>
    <x v="3"/>
    <n v="200622"/>
    <m/>
    <n v="65000"/>
  </r>
  <r>
    <x v="60"/>
    <x v="4"/>
    <m/>
    <x v="1"/>
    <m/>
    <n v="2"/>
    <x v="0"/>
    <x v="1"/>
    <n v="200622"/>
    <m/>
    <n v="68000"/>
  </r>
  <r>
    <x v="60"/>
    <x v="4"/>
    <m/>
    <x v="1"/>
    <m/>
    <n v="16"/>
    <x v="0"/>
    <x v="8"/>
    <n v="200622"/>
    <m/>
    <n v="940800"/>
  </r>
  <r>
    <x v="60"/>
    <x v="4"/>
    <m/>
    <x v="1"/>
    <m/>
    <n v="97"/>
    <x v="0"/>
    <x v="2"/>
    <n v="200622"/>
    <m/>
    <n v="3298000"/>
  </r>
  <r>
    <x v="60"/>
    <x v="4"/>
    <m/>
    <x v="1"/>
    <m/>
    <n v="3"/>
    <x v="2"/>
    <x v="4"/>
    <n v="200622"/>
    <m/>
    <n v="6000"/>
  </r>
  <r>
    <x v="61"/>
    <x v="0"/>
    <m/>
    <x v="1"/>
    <m/>
    <n v="2"/>
    <x v="0"/>
    <x v="3"/>
    <n v="200622"/>
    <m/>
    <n v="130000"/>
  </r>
  <r>
    <x v="61"/>
    <x v="0"/>
    <m/>
    <x v="1"/>
    <m/>
    <n v="108"/>
    <x v="0"/>
    <x v="2"/>
    <n v="200622"/>
    <m/>
    <n v="3672000"/>
  </r>
  <r>
    <x v="61"/>
    <x v="0"/>
    <m/>
    <x v="1"/>
    <m/>
    <n v="12"/>
    <x v="0"/>
    <x v="8"/>
    <n v="200622"/>
    <m/>
    <n v="705600"/>
  </r>
  <r>
    <x v="61"/>
    <x v="0"/>
    <m/>
    <x v="1"/>
    <m/>
    <n v="2"/>
    <x v="2"/>
    <x v="4"/>
    <n v="200622"/>
    <m/>
    <n v="4000"/>
  </r>
  <r>
    <x v="61"/>
    <x v="0"/>
    <m/>
    <x v="1"/>
    <m/>
    <n v="5"/>
    <x v="0"/>
    <x v="1"/>
    <n v="200622"/>
    <m/>
    <n v="170000"/>
  </r>
  <r>
    <x v="62"/>
    <x v="1"/>
    <m/>
    <x v="1"/>
    <m/>
    <n v="3"/>
    <x v="0"/>
    <x v="3"/>
    <n v="200622"/>
    <m/>
    <n v="195000"/>
  </r>
  <r>
    <x v="62"/>
    <x v="1"/>
    <m/>
    <x v="1"/>
    <m/>
    <n v="88"/>
    <x v="0"/>
    <x v="2"/>
    <n v="200622"/>
    <m/>
    <n v="2992000"/>
  </r>
  <r>
    <x v="62"/>
    <x v="1"/>
    <m/>
    <x v="1"/>
    <m/>
    <n v="15"/>
    <x v="0"/>
    <x v="8"/>
    <n v="200622"/>
    <m/>
    <n v="882000"/>
  </r>
  <r>
    <x v="62"/>
    <x v="1"/>
    <m/>
    <x v="1"/>
    <m/>
    <n v="2"/>
    <x v="2"/>
    <x v="4"/>
    <n v="200622"/>
    <m/>
    <n v="4000"/>
  </r>
  <r>
    <x v="62"/>
    <x v="1"/>
    <m/>
    <x v="1"/>
    <m/>
    <n v="1"/>
    <x v="0"/>
    <x v="1"/>
    <n v="200622"/>
    <m/>
    <n v="34000"/>
  </r>
  <r>
    <x v="63"/>
    <x v="5"/>
    <m/>
    <x v="1"/>
    <m/>
    <n v="3"/>
    <x v="0"/>
    <x v="3"/>
    <n v="200622"/>
    <m/>
    <n v="195000"/>
  </r>
  <r>
    <x v="63"/>
    <x v="5"/>
    <m/>
    <x v="1"/>
    <m/>
    <n v="124"/>
    <x v="0"/>
    <x v="2"/>
    <n v="200622"/>
    <m/>
    <n v="4216000"/>
  </r>
  <r>
    <x v="63"/>
    <x v="5"/>
    <m/>
    <x v="1"/>
    <m/>
    <n v="21"/>
    <x v="0"/>
    <x v="8"/>
    <n v="200622"/>
    <m/>
    <n v="1234800"/>
  </r>
  <r>
    <x v="63"/>
    <x v="5"/>
    <m/>
    <x v="1"/>
    <m/>
    <n v="1"/>
    <x v="2"/>
    <x v="4"/>
    <n v="200622"/>
    <m/>
    <n v="2000"/>
  </r>
  <r>
    <x v="63"/>
    <x v="5"/>
    <m/>
    <x v="1"/>
    <m/>
    <n v="4"/>
    <x v="0"/>
    <x v="1"/>
    <n v="200622"/>
    <m/>
    <n v="136000"/>
  </r>
  <r>
    <x v="64"/>
    <x v="6"/>
    <m/>
    <x v="1"/>
    <m/>
    <n v="3"/>
    <x v="0"/>
    <x v="3"/>
    <n v="200622"/>
    <m/>
    <n v="195000"/>
  </r>
  <r>
    <x v="64"/>
    <x v="6"/>
    <m/>
    <x v="1"/>
    <m/>
    <n v="84"/>
    <x v="0"/>
    <x v="2"/>
    <n v="200622"/>
    <m/>
    <n v="2856000"/>
  </r>
  <r>
    <x v="64"/>
    <x v="6"/>
    <m/>
    <x v="1"/>
    <m/>
    <n v="17"/>
    <x v="0"/>
    <x v="8"/>
    <n v="200622"/>
    <m/>
    <n v="999600"/>
  </r>
  <r>
    <x v="64"/>
    <x v="6"/>
    <m/>
    <x v="1"/>
    <m/>
    <n v="1"/>
    <x v="2"/>
    <x v="4"/>
    <n v="200622"/>
    <m/>
    <n v="2000"/>
  </r>
  <r>
    <x v="64"/>
    <x v="6"/>
    <m/>
    <x v="1"/>
    <m/>
    <n v="6"/>
    <x v="0"/>
    <x v="1"/>
    <n v="200622"/>
    <m/>
    <n v="204000"/>
  </r>
  <r>
    <x v="65"/>
    <x v="2"/>
    <m/>
    <x v="1"/>
    <m/>
    <n v="103"/>
    <x v="0"/>
    <x v="2"/>
    <n v="200622"/>
    <m/>
    <n v="3502000"/>
  </r>
  <r>
    <x v="65"/>
    <x v="2"/>
    <m/>
    <x v="1"/>
    <m/>
    <n v="17"/>
    <x v="0"/>
    <x v="8"/>
    <n v="200622"/>
    <m/>
    <n v="999600"/>
  </r>
  <r>
    <x v="65"/>
    <x v="2"/>
    <m/>
    <x v="1"/>
    <m/>
    <n v="5"/>
    <x v="0"/>
    <x v="1"/>
    <n v="200622"/>
    <m/>
    <n v="170000"/>
  </r>
  <r>
    <x v="65"/>
    <x v="2"/>
    <m/>
    <x v="1"/>
    <m/>
    <n v="1"/>
    <x v="0"/>
    <x v="9"/>
    <n v="200622"/>
    <m/>
    <n v="58800"/>
  </r>
  <r>
    <x v="65"/>
    <x v="2"/>
    <m/>
    <x v="1"/>
    <m/>
    <n v="2"/>
    <x v="2"/>
    <x v="4"/>
    <n v="200622"/>
    <m/>
    <n v="4000"/>
  </r>
  <r>
    <x v="66"/>
    <x v="3"/>
    <m/>
    <x v="1"/>
    <m/>
    <n v="3"/>
    <x v="0"/>
    <x v="3"/>
    <n v="200622"/>
    <m/>
    <n v="195000"/>
  </r>
  <r>
    <x v="66"/>
    <x v="3"/>
    <m/>
    <x v="1"/>
    <m/>
    <n v="85"/>
    <x v="0"/>
    <x v="2"/>
    <n v="200622"/>
    <m/>
    <n v="2890000"/>
  </r>
  <r>
    <x v="66"/>
    <x v="3"/>
    <m/>
    <x v="1"/>
    <m/>
    <n v="11"/>
    <x v="0"/>
    <x v="8"/>
    <n v="200622"/>
    <m/>
    <n v="646800"/>
  </r>
  <r>
    <x v="66"/>
    <x v="3"/>
    <m/>
    <x v="1"/>
    <m/>
    <n v="4"/>
    <x v="0"/>
    <x v="1"/>
    <n v="200622"/>
    <m/>
    <n v="136000"/>
  </r>
  <r>
    <x v="66"/>
    <x v="3"/>
    <m/>
    <x v="1"/>
    <m/>
    <n v="1"/>
    <x v="2"/>
    <x v="4"/>
    <n v="200622"/>
    <m/>
    <n v="2000"/>
  </r>
  <r>
    <x v="67"/>
    <x v="4"/>
    <m/>
    <x v="1"/>
    <m/>
    <n v="2"/>
    <x v="0"/>
    <x v="3"/>
    <n v="200622"/>
    <m/>
    <n v="130000"/>
  </r>
  <r>
    <x v="67"/>
    <x v="4"/>
    <m/>
    <x v="1"/>
    <m/>
    <n v="49"/>
    <x v="0"/>
    <x v="2"/>
    <n v="200622"/>
    <m/>
    <n v="1666000"/>
  </r>
  <r>
    <x v="67"/>
    <x v="4"/>
    <m/>
    <x v="1"/>
    <m/>
    <n v="9"/>
    <x v="0"/>
    <x v="8"/>
    <n v="200622"/>
    <m/>
    <n v="529200"/>
  </r>
  <r>
    <x v="67"/>
    <x v="4"/>
    <m/>
    <x v="1"/>
    <m/>
    <n v="5"/>
    <x v="0"/>
    <x v="1"/>
    <n v="200622"/>
    <m/>
    <n v="170000"/>
  </r>
  <r>
    <x v="67"/>
    <x v="4"/>
    <m/>
    <x v="1"/>
    <m/>
    <n v="1"/>
    <x v="0"/>
    <x v="9"/>
    <n v="200622"/>
    <m/>
    <n v="58800"/>
  </r>
  <r>
    <x v="68"/>
    <x v="0"/>
    <m/>
    <x v="1"/>
    <m/>
    <n v="52"/>
    <x v="0"/>
    <x v="2"/>
    <n v="200622"/>
    <m/>
    <n v="1768000"/>
  </r>
  <r>
    <x v="68"/>
    <x v="0"/>
    <m/>
    <x v="1"/>
    <m/>
    <n v="8"/>
    <x v="0"/>
    <x v="8"/>
    <n v="200622"/>
    <m/>
    <n v="470400"/>
  </r>
  <r>
    <x v="68"/>
    <x v="0"/>
    <m/>
    <x v="1"/>
    <m/>
    <n v="3"/>
    <x v="0"/>
    <x v="1"/>
    <n v="200622"/>
    <m/>
    <n v="102000"/>
  </r>
  <r>
    <x v="69"/>
    <x v="1"/>
    <m/>
    <x v="1"/>
    <m/>
    <n v="50"/>
    <x v="0"/>
    <x v="2"/>
    <n v="200720"/>
    <m/>
    <n v="1700000"/>
  </r>
  <r>
    <x v="69"/>
    <x v="1"/>
    <m/>
    <x v="1"/>
    <m/>
    <n v="11"/>
    <x v="0"/>
    <x v="8"/>
    <n v="200720"/>
    <m/>
    <n v="646800"/>
  </r>
  <r>
    <x v="69"/>
    <x v="1"/>
    <m/>
    <x v="1"/>
    <m/>
    <n v="2"/>
    <x v="0"/>
    <x v="1"/>
    <n v="200720"/>
    <m/>
    <n v="68000"/>
  </r>
  <r>
    <x v="69"/>
    <x v="1"/>
    <m/>
    <x v="1"/>
    <m/>
    <n v="2"/>
    <x v="0"/>
    <x v="9"/>
    <n v="200720"/>
    <m/>
    <n v="117600"/>
  </r>
  <r>
    <x v="70"/>
    <x v="5"/>
    <m/>
    <x v="1"/>
    <m/>
    <n v="55"/>
    <x v="0"/>
    <x v="2"/>
    <n v="200720"/>
    <m/>
    <n v="1870000"/>
  </r>
  <r>
    <x v="70"/>
    <x v="5"/>
    <m/>
    <x v="1"/>
    <m/>
    <n v="9"/>
    <x v="0"/>
    <x v="8"/>
    <n v="200720"/>
    <m/>
    <n v="529200"/>
  </r>
  <r>
    <x v="70"/>
    <x v="5"/>
    <m/>
    <x v="1"/>
    <m/>
    <n v="2"/>
    <x v="0"/>
    <x v="1"/>
    <n v="200720"/>
    <m/>
    <n v="68000"/>
  </r>
  <r>
    <x v="70"/>
    <x v="5"/>
    <m/>
    <x v="1"/>
    <m/>
    <n v="1"/>
    <x v="2"/>
    <x v="4"/>
    <n v="200720"/>
    <m/>
    <n v="2000"/>
  </r>
  <r>
    <x v="71"/>
    <x v="6"/>
    <m/>
    <x v="1"/>
    <m/>
    <n v="2"/>
    <x v="0"/>
    <x v="3"/>
    <n v="200720"/>
    <m/>
    <n v="117600"/>
  </r>
  <r>
    <x v="71"/>
    <x v="6"/>
    <m/>
    <x v="1"/>
    <m/>
    <n v="61"/>
    <x v="0"/>
    <x v="2"/>
    <n v="200720"/>
    <m/>
    <n v="2074000"/>
  </r>
  <r>
    <x v="71"/>
    <x v="6"/>
    <m/>
    <x v="1"/>
    <m/>
    <n v="14"/>
    <x v="0"/>
    <x v="8"/>
    <n v="200720"/>
    <m/>
    <n v="823200"/>
  </r>
  <r>
    <x v="71"/>
    <x v="6"/>
    <m/>
    <x v="1"/>
    <m/>
    <n v="5"/>
    <x v="0"/>
    <x v="1"/>
    <n v="200720"/>
    <m/>
    <n v="170000"/>
  </r>
  <r>
    <x v="72"/>
    <x v="2"/>
    <m/>
    <x v="1"/>
    <m/>
    <n v="4"/>
    <x v="0"/>
    <x v="3"/>
    <n v="200720"/>
    <m/>
    <n v="235200"/>
  </r>
  <r>
    <x v="72"/>
    <x v="2"/>
    <m/>
    <x v="1"/>
    <m/>
    <n v="69"/>
    <x v="0"/>
    <x v="2"/>
    <n v="200720"/>
    <m/>
    <n v="2346000"/>
  </r>
  <r>
    <x v="72"/>
    <x v="2"/>
    <m/>
    <x v="1"/>
    <m/>
    <n v="12"/>
    <x v="0"/>
    <x v="8"/>
    <n v="200720"/>
    <m/>
    <n v="705600"/>
  </r>
  <r>
    <x v="72"/>
    <x v="2"/>
    <m/>
    <x v="1"/>
    <m/>
    <n v="1"/>
    <x v="0"/>
    <x v="1"/>
    <n v="200720"/>
    <m/>
    <n v="34000"/>
  </r>
  <r>
    <x v="72"/>
    <x v="2"/>
    <m/>
    <x v="1"/>
    <m/>
    <n v="1"/>
    <x v="2"/>
    <x v="4"/>
    <n v="200720"/>
    <m/>
    <n v="2000"/>
  </r>
  <r>
    <x v="73"/>
    <x v="3"/>
    <m/>
    <x v="1"/>
    <m/>
    <n v="2"/>
    <x v="0"/>
    <x v="3"/>
    <n v="200720"/>
    <m/>
    <n v="117600"/>
  </r>
  <r>
    <x v="73"/>
    <x v="3"/>
    <m/>
    <x v="1"/>
    <m/>
    <n v="70"/>
    <x v="0"/>
    <x v="2"/>
    <n v="200720"/>
    <m/>
    <n v="2380000"/>
  </r>
  <r>
    <x v="73"/>
    <x v="3"/>
    <m/>
    <x v="1"/>
    <m/>
    <n v="6"/>
    <x v="0"/>
    <x v="8"/>
    <n v="200720"/>
    <m/>
    <n v="352800"/>
  </r>
  <r>
    <x v="73"/>
    <x v="3"/>
    <m/>
    <x v="1"/>
    <m/>
    <n v="2"/>
    <x v="0"/>
    <x v="1"/>
    <n v="200720"/>
    <m/>
    <n v="68000"/>
  </r>
  <r>
    <x v="73"/>
    <x v="3"/>
    <m/>
    <x v="1"/>
    <m/>
    <n v="3"/>
    <x v="2"/>
    <x v="4"/>
    <n v="200720"/>
    <m/>
    <n v="6000"/>
  </r>
  <r>
    <x v="74"/>
    <x v="4"/>
    <m/>
    <x v="1"/>
    <m/>
    <n v="2"/>
    <x v="0"/>
    <x v="3"/>
    <n v="200720"/>
    <m/>
    <n v="117600"/>
  </r>
  <r>
    <x v="74"/>
    <x v="4"/>
    <m/>
    <x v="1"/>
    <m/>
    <n v="54"/>
    <x v="0"/>
    <x v="2"/>
    <n v="200720"/>
    <m/>
    <n v="1836000"/>
  </r>
  <r>
    <x v="74"/>
    <x v="4"/>
    <m/>
    <x v="1"/>
    <m/>
    <n v="11"/>
    <x v="0"/>
    <x v="8"/>
    <n v="200720"/>
    <m/>
    <n v="646800"/>
  </r>
  <r>
    <x v="74"/>
    <x v="4"/>
    <m/>
    <x v="1"/>
    <m/>
    <n v="2"/>
    <x v="2"/>
    <x v="4"/>
    <n v="200720"/>
    <m/>
    <n v="4000"/>
  </r>
  <r>
    <x v="75"/>
    <x v="0"/>
    <m/>
    <x v="1"/>
    <m/>
    <n v="2"/>
    <x v="0"/>
    <x v="3"/>
    <n v="200720"/>
    <m/>
    <n v="117600"/>
  </r>
  <r>
    <x v="75"/>
    <x v="0"/>
    <m/>
    <x v="1"/>
    <m/>
    <n v="68"/>
    <x v="0"/>
    <x v="2"/>
    <n v="200720"/>
    <m/>
    <n v="2312000"/>
  </r>
  <r>
    <x v="75"/>
    <x v="0"/>
    <m/>
    <x v="1"/>
    <m/>
    <n v="8"/>
    <x v="0"/>
    <x v="8"/>
    <n v="200720"/>
    <m/>
    <n v="470400"/>
  </r>
  <r>
    <x v="75"/>
    <x v="0"/>
    <m/>
    <x v="1"/>
    <m/>
    <n v="1"/>
    <x v="0"/>
    <x v="1"/>
    <n v="200720"/>
    <m/>
    <n v="34000"/>
  </r>
  <r>
    <x v="75"/>
    <x v="0"/>
    <m/>
    <x v="1"/>
    <m/>
    <n v="1"/>
    <x v="2"/>
    <x v="4"/>
    <n v="200720"/>
    <m/>
    <n v="2000"/>
  </r>
  <r>
    <x v="76"/>
    <x v="1"/>
    <m/>
    <x v="1"/>
    <m/>
    <n v="2"/>
    <x v="0"/>
    <x v="3"/>
    <n v="200720"/>
    <m/>
    <n v="117600"/>
  </r>
  <r>
    <x v="76"/>
    <x v="1"/>
    <m/>
    <x v="1"/>
    <m/>
    <n v="65"/>
    <x v="0"/>
    <x v="2"/>
    <n v="200720"/>
    <m/>
    <n v="2210000"/>
  </r>
  <r>
    <x v="76"/>
    <x v="1"/>
    <m/>
    <x v="1"/>
    <m/>
    <n v="8"/>
    <x v="0"/>
    <x v="8"/>
    <n v="200720"/>
    <m/>
    <n v="470400"/>
  </r>
  <r>
    <x v="76"/>
    <x v="1"/>
    <m/>
    <x v="1"/>
    <m/>
    <n v="1"/>
    <x v="0"/>
    <x v="1"/>
    <n v="200720"/>
    <m/>
    <n v="34000"/>
  </r>
  <r>
    <x v="77"/>
    <x v="5"/>
    <m/>
    <x v="1"/>
    <m/>
    <n v="2"/>
    <x v="0"/>
    <x v="3"/>
    <n v="200720"/>
    <m/>
    <n v="117600"/>
  </r>
  <r>
    <x v="77"/>
    <x v="5"/>
    <m/>
    <x v="1"/>
    <m/>
    <n v="76"/>
    <x v="0"/>
    <x v="2"/>
    <n v="200720"/>
    <m/>
    <n v="2584000"/>
  </r>
  <r>
    <x v="77"/>
    <x v="5"/>
    <m/>
    <x v="1"/>
    <m/>
    <n v="12"/>
    <x v="0"/>
    <x v="8"/>
    <n v="200720"/>
    <m/>
    <n v="705600"/>
  </r>
  <r>
    <x v="77"/>
    <x v="5"/>
    <m/>
    <x v="1"/>
    <m/>
    <n v="1"/>
    <x v="0"/>
    <x v="1"/>
    <n v="200720"/>
    <m/>
    <n v="34000"/>
  </r>
  <r>
    <x v="78"/>
    <x v="6"/>
    <m/>
    <x v="1"/>
    <m/>
    <n v="2"/>
    <x v="0"/>
    <x v="3"/>
    <n v="200720"/>
    <m/>
    <n v="117600"/>
  </r>
  <r>
    <x v="78"/>
    <x v="6"/>
    <m/>
    <x v="1"/>
    <m/>
    <n v="69"/>
    <x v="0"/>
    <x v="2"/>
    <n v="200720"/>
    <m/>
    <n v="2346000"/>
  </r>
  <r>
    <x v="78"/>
    <x v="6"/>
    <m/>
    <x v="1"/>
    <m/>
    <n v="14"/>
    <x v="0"/>
    <x v="8"/>
    <n v="200720"/>
    <m/>
    <n v="823200"/>
  </r>
  <r>
    <x v="78"/>
    <x v="6"/>
    <m/>
    <x v="1"/>
    <m/>
    <n v="1"/>
    <x v="0"/>
    <x v="1"/>
    <n v="200720"/>
    <m/>
    <n v="34000"/>
  </r>
  <r>
    <x v="78"/>
    <x v="6"/>
    <m/>
    <x v="1"/>
    <m/>
    <n v="1"/>
    <x v="2"/>
    <x v="4"/>
    <n v="200720"/>
    <m/>
    <n v="2000"/>
  </r>
  <r>
    <x v="79"/>
    <x v="2"/>
    <m/>
    <x v="2"/>
    <m/>
    <n v="1"/>
    <x v="0"/>
    <x v="1"/>
    <n v="200520"/>
    <m/>
    <n v="0"/>
  </r>
  <r>
    <x v="79"/>
    <x v="2"/>
    <m/>
    <x v="1"/>
    <m/>
    <n v="2"/>
    <x v="0"/>
    <x v="3"/>
    <n v="200720"/>
    <m/>
    <n v="117600"/>
  </r>
  <r>
    <x v="79"/>
    <x v="2"/>
    <m/>
    <x v="1"/>
    <m/>
    <n v="64"/>
    <x v="0"/>
    <x v="2"/>
    <n v="200720"/>
    <m/>
    <n v="2176000"/>
  </r>
  <r>
    <x v="79"/>
    <x v="2"/>
    <m/>
    <x v="1"/>
    <m/>
    <n v="7"/>
    <x v="0"/>
    <x v="8"/>
    <n v="200720"/>
    <m/>
    <n v="411600"/>
  </r>
  <r>
    <x v="79"/>
    <x v="2"/>
    <m/>
    <x v="1"/>
    <m/>
    <n v="2"/>
    <x v="2"/>
    <x v="4"/>
    <n v="200720"/>
    <m/>
    <n v="4000"/>
  </r>
  <r>
    <x v="80"/>
    <x v="3"/>
    <m/>
    <x v="1"/>
    <m/>
    <n v="7"/>
    <x v="0"/>
    <x v="3"/>
    <n v="200720"/>
    <m/>
    <n v="411600"/>
  </r>
  <r>
    <x v="80"/>
    <x v="3"/>
    <m/>
    <x v="1"/>
    <m/>
    <n v="59"/>
    <x v="0"/>
    <x v="2"/>
    <n v="200720"/>
    <m/>
    <n v="2006000"/>
  </r>
  <r>
    <x v="80"/>
    <x v="3"/>
    <m/>
    <x v="1"/>
    <m/>
    <n v="8"/>
    <x v="0"/>
    <x v="8"/>
    <n v="200720"/>
    <m/>
    <n v="470400"/>
  </r>
  <r>
    <x v="80"/>
    <x v="3"/>
    <m/>
    <x v="1"/>
    <m/>
    <n v="1"/>
    <x v="0"/>
    <x v="1"/>
    <n v="200720"/>
    <m/>
    <n v="34000"/>
  </r>
  <r>
    <x v="80"/>
    <x v="3"/>
    <m/>
    <x v="1"/>
    <m/>
    <n v="1"/>
    <x v="0"/>
    <x v="9"/>
    <n v="200720"/>
    <m/>
    <n v="58800"/>
  </r>
  <r>
    <x v="80"/>
    <x v="3"/>
    <m/>
    <x v="1"/>
    <m/>
    <n v="2"/>
    <x v="2"/>
    <x v="4"/>
    <n v="200720"/>
    <m/>
    <n v="4000"/>
  </r>
  <r>
    <x v="81"/>
    <x v="4"/>
    <m/>
    <x v="1"/>
    <m/>
    <n v="2"/>
    <x v="0"/>
    <x v="3"/>
    <n v="200720"/>
    <m/>
    <n v="117600"/>
  </r>
  <r>
    <x v="81"/>
    <x v="4"/>
    <m/>
    <x v="1"/>
    <m/>
    <n v="49"/>
    <x v="0"/>
    <x v="2"/>
    <n v="200720"/>
    <m/>
    <n v="1666000"/>
  </r>
  <r>
    <x v="81"/>
    <x v="4"/>
    <m/>
    <x v="1"/>
    <m/>
    <n v="10"/>
    <x v="0"/>
    <x v="8"/>
    <n v="200720"/>
    <m/>
    <n v="588000"/>
  </r>
  <r>
    <x v="81"/>
    <x v="4"/>
    <m/>
    <x v="1"/>
    <m/>
    <n v="1"/>
    <x v="0"/>
    <x v="1"/>
    <n v="200720"/>
    <m/>
    <n v="34000"/>
  </r>
  <r>
    <x v="82"/>
    <x v="0"/>
    <m/>
    <x v="1"/>
    <m/>
    <n v="3"/>
    <x v="0"/>
    <x v="3"/>
    <n v="200720"/>
    <m/>
    <n v="176400"/>
  </r>
  <r>
    <x v="82"/>
    <x v="0"/>
    <m/>
    <x v="1"/>
    <m/>
    <n v="37"/>
    <x v="0"/>
    <x v="2"/>
    <n v="200720"/>
    <m/>
    <n v="1258000"/>
  </r>
  <r>
    <x v="82"/>
    <x v="0"/>
    <m/>
    <x v="1"/>
    <m/>
    <n v="10"/>
    <x v="0"/>
    <x v="8"/>
    <n v="200720"/>
    <m/>
    <n v="588000"/>
  </r>
  <r>
    <x v="82"/>
    <x v="0"/>
    <m/>
    <x v="1"/>
    <m/>
    <n v="1"/>
    <x v="0"/>
    <x v="1"/>
    <n v="200720"/>
    <m/>
    <n v="34000"/>
  </r>
  <r>
    <x v="82"/>
    <x v="0"/>
    <m/>
    <x v="1"/>
    <m/>
    <n v="3"/>
    <x v="2"/>
    <x v="4"/>
    <n v="200720"/>
    <m/>
    <n v="6000"/>
  </r>
  <r>
    <x v="83"/>
    <x v="1"/>
    <m/>
    <x v="1"/>
    <m/>
    <n v="6"/>
    <x v="0"/>
    <x v="3"/>
    <n v="200720"/>
    <m/>
    <n v="352800"/>
  </r>
  <r>
    <x v="83"/>
    <x v="1"/>
    <m/>
    <x v="1"/>
    <m/>
    <n v="35"/>
    <x v="0"/>
    <x v="2"/>
    <n v="200720"/>
    <m/>
    <n v="1190000"/>
  </r>
  <r>
    <x v="83"/>
    <x v="1"/>
    <m/>
    <x v="1"/>
    <m/>
    <n v="3"/>
    <x v="0"/>
    <x v="8"/>
    <n v="200720"/>
    <m/>
    <n v="176400"/>
  </r>
  <r>
    <x v="83"/>
    <x v="1"/>
    <m/>
    <x v="1"/>
    <m/>
    <n v="2"/>
    <x v="2"/>
    <x v="4"/>
    <n v="200720"/>
    <m/>
    <n v="4000"/>
  </r>
  <r>
    <x v="84"/>
    <x v="5"/>
    <m/>
    <x v="1"/>
    <m/>
    <n v="1"/>
    <x v="0"/>
    <x v="3"/>
    <n v="200720"/>
    <m/>
    <n v="58800"/>
  </r>
  <r>
    <x v="84"/>
    <x v="5"/>
    <m/>
    <x v="1"/>
    <m/>
    <n v="38"/>
    <x v="0"/>
    <x v="2"/>
    <n v="200720"/>
    <m/>
    <n v="1292000"/>
  </r>
  <r>
    <x v="84"/>
    <x v="5"/>
    <m/>
    <x v="1"/>
    <m/>
    <n v="7"/>
    <x v="0"/>
    <x v="8"/>
    <n v="200720"/>
    <m/>
    <n v="411600"/>
  </r>
  <r>
    <x v="84"/>
    <x v="5"/>
    <m/>
    <x v="1"/>
    <m/>
    <n v="2"/>
    <x v="0"/>
    <x v="1"/>
    <n v="200720"/>
    <m/>
    <n v="68000"/>
  </r>
  <r>
    <x v="84"/>
    <x v="5"/>
    <m/>
    <x v="1"/>
    <m/>
    <n v="2"/>
    <x v="2"/>
    <x v="4"/>
    <n v="200720"/>
    <m/>
    <n v="4000"/>
  </r>
  <r>
    <x v="85"/>
    <x v="6"/>
    <m/>
    <x v="1"/>
    <m/>
    <n v="51"/>
    <x v="0"/>
    <x v="2"/>
    <n v="200720"/>
    <m/>
    <n v="1734000"/>
  </r>
  <r>
    <x v="85"/>
    <x v="6"/>
    <m/>
    <x v="1"/>
    <m/>
    <n v="9"/>
    <x v="0"/>
    <x v="8"/>
    <n v="200720"/>
    <m/>
    <n v="529200"/>
  </r>
  <r>
    <x v="85"/>
    <x v="6"/>
    <m/>
    <x v="1"/>
    <m/>
    <n v="2"/>
    <x v="0"/>
    <x v="1"/>
    <n v="200720"/>
    <m/>
    <n v="68000"/>
  </r>
  <r>
    <x v="85"/>
    <x v="6"/>
    <m/>
    <x v="1"/>
    <m/>
    <n v="5"/>
    <x v="2"/>
    <x v="4"/>
    <n v="200720"/>
    <m/>
    <n v="10000"/>
  </r>
  <r>
    <x v="86"/>
    <x v="2"/>
    <m/>
    <x v="1"/>
    <m/>
    <n v="60"/>
    <x v="0"/>
    <x v="2"/>
    <n v="200720"/>
    <m/>
    <n v="2040000"/>
  </r>
  <r>
    <x v="86"/>
    <x v="2"/>
    <m/>
    <x v="1"/>
    <m/>
    <n v="13"/>
    <x v="0"/>
    <x v="8"/>
    <n v="200720"/>
    <m/>
    <n v="764400"/>
  </r>
  <r>
    <x v="86"/>
    <x v="2"/>
    <m/>
    <x v="1"/>
    <m/>
    <n v="2"/>
    <x v="0"/>
    <x v="1"/>
    <n v="200720"/>
    <m/>
    <n v="68000"/>
  </r>
  <r>
    <x v="86"/>
    <x v="2"/>
    <m/>
    <x v="1"/>
    <m/>
    <n v="1"/>
    <x v="2"/>
    <x v="4"/>
    <n v="200720"/>
    <m/>
    <n v="2000"/>
  </r>
  <r>
    <x v="87"/>
    <x v="3"/>
    <m/>
    <x v="1"/>
    <m/>
    <n v="3"/>
    <x v="0"/>
    <x v="3"/>
    <n v="200720"/>
    <m/>
    <n v="176400"/>
  </r>
  <r>
    <x v="87"/>
    <x v="3"/>
    <m/>
    <x v="1"/>
    <m/>
    <n v="65"/>
    <x v="0"/>
    <x v="2"/>
    <n v="200720"/>
    <m/>
    <n v="2210000"/>
  </r>
  <r>
    <x v="87"/>
    <x v="3"/>
    <m/>
    <x v="1"/>
    <m/>
    <n v="14"/>
    <x v="0"/>
    <x v="8"/>
    <n v="200720"/>
    <m/>
    <n v="823200"/>
  </r>
  <r>
    <x v="87"/>
    <x v="3"/>
    <m/>
    <x v="1"/>
    <m/>
    <n v="4"/>
    <x v="0"/>
    <x v="1"/>
    <n v="200720"/>
    <m/>
    <n v="136000"/>
  </r>
  <r>
    <x v="87"/>
    <x v="3"/>
    <m/>
    <x v="1"/>
    <m/>
    <n v="1"/>
    <x v="2"/>
    <x v="4"/>
    <n v="200720"/>
    <m/>
    <n v="2000"/>
  </r>
  <r>
    <x v="88"/>
    <x v="4"/>
    <m/>
    <x v="1"/>
    <m/>
    <n v="2"/>
    <x v="0"/>
    <x v="3"/>
    <n v="200720"/>
    <m/>
    <n v="117600"/>
  </r>
  <r>
    <x v="88"/>
    <x v="4"/>
    <m/>
    <x v="1"/>
    <m/>
    <n v="69"/>
    <x v="0"/>
    <x v="2"/>
    <n v="200720"/>
    <m/>
    <n v="2346000"/>
  </r>
  <r>
    <x v="88"/>
    <x v="4"/>
    <m/>
    <x v="1"/>
    <m/>
    <n v="11"/>
    <x v="0"/>
    <x v="8"/>
    <n v="200720"/>
    <m/>
    <n v="646800"/>
  </r>
  <r>
    <x v="88"/>
    <x v="4"/>
    <m/>
    <x v="1"/>
    <m/>
    <n v="1"/>
    <x v="0"/>
    <x v="1"/>
    <n v="200720"/>
    <m/>
    <n v="34000"/>
  </r>
  <r>
    <x v="88"/>
    <x v="4"/>
    <m/>
    <x v="1"/>
    <m/>
    <n v="1"/>
    <x v="2"/>
    <x v="4"/>
    <n v="200720"/>
    <m/>
    <n v="2000"/>
  </r>
  <r>
    <x v="89"/>
    <x v="0"/>
    <m/>
    <x v="1"/>
    <m/>
    <n v="1"/>
    <x v="0"/>
    <x v="3"/>
    <n v="200720"/>
    <m/>
    <n v="58800"/>
  </r>
  <r>
    <x v="89"/>
    <x v="0"/>
    <m/>
    <x v="1"/>
    <m/>
    <n v="54"/>
    <x v="0"/>
    <x v="2"/>
    <n v="200720"/>
    <m/>
    <n v="1836000"/>
  </r>
  <r>
    <x v="89"/>
    <x v="0"/>
    <m/>
    <x v="1"/>
    <m/>
    <n v="10"/>
    <x v="0"/>
    <x v="8"/>
    <n v="200720"/>
    <m/>
    <n v="588000"/>
  </r>
  <r>
    <x v="89"/>
    <x v="0"/>
    <m/>
    <x v="1"/>
    <m/>
    <n v="1"/>
    <x v="0"/>
    <x v="9"/>
    <n v="200720"/>
    <m/>
    <n v="58800"/>
  </r>
  <r>
    <x v="89"/>
    <x v="0"/>
    <m/>
    <x v="1"/>
    <m/>
    <n v="3"/>
    <x v="2"/>
    <x v="4"/>
    <n v="200720"/>
    <m/>
    <n v="6000"/>
  </r>
  <r>
    <x v="90"/>
    <x v="1"/>
    <m/>
    <x v="1"/>
    <m/>
    <n v="2"/>
    <x v="0"/>
    <x v="3"/>
    <n v="200720"/>
    <m/>
    <n v="117600"/>
  </r>
  <r>
    <x v="90"/>
    <x v="1"/>
    <m/>
    <x v="1"/>
    <m/>
    <n v="49"/>
    <x v="0"/>
    <x v="2"/>
    <n v="200720"/>
    <m/>
    <n v="1666000"/>
  </r>
  <r>
    <x v="90"/>
    <x v="1"/>
    <m/>
    <x v="1"/>
    <m/>
    <n v="13"/>
    <x v="0"/>
    <x v="8"/>
    <n v="200720"/>
    <m/>
    <n v="764400"/>
  </r>
  <r>
    <x v="90"/>
    <x v="1"/>
    <m/>
    <x v="1"/>
    <m/>
    <n v="3"/>
    <x v="0"/>
    <x v="1"/>
    <n v="200720"/>
    <m/>
    <n v="102000"/>
  </r>
  <r>
    <x v="90"/>
    <x v="1"/>
    <m/>
    <x v="1"/>
    <m/>
    <n v="1"/>
    <x v="0"/>
    <x v="9"/>
    <n v="200720"/>
    <m/>
    <n v="58800"/>
  </r>
  <r>
    <x v="90"/>
    <x v="1"/>
    <m/>
    <x v="1"/>
    <m/>
    <n v="2"/>
    <x v="2"/>
    <x v="4"/>
    <n v="200720"/>
    <m/>
    <n v="4000"/>
  </r>
  <r>
    <x v="91"/>
    <x v="5"/>
    <m/>
    <x v="1"/>
    <m/>
    <n v="1"/>
    <x v="0"/>
    <x v="3"/>
    <n v="200720"/>
    <m/>
    <n v="58800"/>
  </r>
  <r>
    <x v="91"/>
    <x v="5"/>
    <m/>
    <x v="1"/>
    <m/>
    <n v="68"/>
    <x v="0"/>
    <x v="2"/>
    <n v="200720"/>
    <m/>
    <n v="2312000"/>
  </r>
  <r>
    <x v="91"/>
    <x v="5"/>
    <m/>
    <x v="1"/>
    <m/>
    <n v="21"/>
    <x v="0"/>
    <x v="8"/>
    <n v="200720"/>
    <m/>
    <n v="1234800"/>
  </r>
  <r>
    <x v="91"/>
    <x v="5"/>
    <m/>
    <x v="1"/>
    <m/>
    <n v="2"/>
    <x v="0"/>
    <x v="1"/>
    <n v="200720"/>
    <m/>
    <n v="68000"/>
  </r>
  <r>
    <x v="91"/>
    <x v="5"/>
    <m/>
    <x v="1"/>
    <m/>
    <n v="1"/>
    <x v="2"/>
    <x v="4"/>
    <n v="200720"/>
    <m/>
    <n v="2000"/>
  </r>
  <r>
    <x v="92"/>
    <x v="6"/>
    <m/>
    <x v="1"/>
    <m/>
    <n v="4"/>
    <x v="0"/>
    <x v="3"/>
    <n v="200720"/>
    <m/>
    <n v="235200"/>
  </r>
  <r>
    <x v="92"/>
    <x v="6"/>
    <m/>
    <x v="1"/>
    <m/>
    <n v="58"/>
    <x v="0"/>
    <x v="2"/>
    <n v="200720"/>
    <m/>
    <n v="1972000"/>
  </r>
  <r>
    <x v="92"/>
    <x v="6"/>
    <m/>
    <x v="1"/>
    <m/>
    <n v="13"/>
    <x v="0"/>
    <x v="8"/>
    <n v="200720"/>
    <m/>
    <n v="764400"/>
  </r>
  <r>
    <x v="92"/>
    <x v="6"/>
    <m/>
    <x v="1"/>
    <m/>
    <n v="1"/>
    <x v="0"/>
    <x v="1"/>
    <n v="200720"/>
    <m/>
    <n v="34000"/>
  </r>
  <r>
    <x v="92"/>
    <x v="6"/>
    <m/>
    <x v="1"/>
    <m/>
    <n v="2"/>
    <x v="2"/>
    <x v="4"/>
    <n v="200720"/>
    <m/>
    <n v="4000"/>
  </r>
  <r>
    <x v="93"/>
    <x v="2"/>
    <m/>
    <x v="1"/>
    <m/>
    <n v="1"/>
    <x v="0"/>
    <x v="3"/>
    <n v="200720"/>
    <m/>
    <n v="58800"/>
  </r>
  <r>
    <x v="93"/>
    <x v="2"/>
    <m/>
    <x v="1"/>
    <m/>
    <n v="66"/>
    <x v="0"/>
    <x v="2"/>
    <n v="200720"/>
    <m/>
    <n v="2244000"/>
  </r>
  <r>
    <x v="93"/>
    <x v="2"/>
    <m/>
    <x v="1"/>
    <m/>
    <n v="7"/>
    <x v="0"/>
    <x v="8"/>
    <n v="200720"/>
    <m/>
    <n v="411600"/>
  </r>
  <r>
    <x v="93"/>
    <x v="2"/>
    <m/>
    <x v="1"/>
    <m/>
    <n v="3"/>
    <x v="2"/>
    <x v="4"/>
    <n v="200720"/>
    <m/>
    <n v="6000"/>
  </r>
  <r>
    <x v="94"/>
    <x v="3"/>
    <m/>
    <x v="1"/>
    <m/>
    <n v="3"/>
    <x v="0"/>
    <x v="3"/>
    <n v="200720"/>
    <m/>
    <n v="176400"/>
  </r>
  <r>
    <x v="94"/>
    <x v="3"/>
    <m/>
    <x v="1"/>
    <m/>
    <n v="71"/>
    <x v="0"/>
    <x v="2"/>
    <n v="200720"/>
    <m/>
    <n v="2414000"/>
  </r>
  <r>
    <x v="94"/>
    <x v="3"/>
    <m/>
    <x v="1"/>
    <m/>
    <n v="13"/>
    <x v="0"/>
    <x v="8"/>
    <n v="200720"/>
    <m/>
    <n v="764400"/>
  </r>
  <r>
    <x v="94"/>
    <x v="3"/>
    <m/>
    <x v="1"/>
    <m/>
    <n v="2"/>
    <x v="0"/>
    <x v="1"/>
    <n v="200720"/>
    <m/>
    <n v="68000"/>
  </r>
  <r>
    <x v="94"/>
    <x v="3"/>
    <m/>
    <x v="1"/>
    <m/>
    <n v="1"/>
    <x v="2"/>
    <x v="4"/>
    <n v="200720"/>
    <m/>
    <n v="2000"/>
  </r>
  <r>
    <x v="95"/>
    <x v="4"/>
    <m/>
    <x v="1"/>
    <m/>
    <n v="75"/>
    <x v="0"/>
    <x v="2"/>
    <n v="200720"/>
    <m/>
    <n v="2550000"/>
  </r>
  <r>
    <x v="95"/>
    <x v="4"/>
    <m/>
    <x v="1"/>
    <m/>
    <n v="18"/>
    <x v="0"/>
    <x v="8"/>
    <n v="200720"/>
    <m/>
    <n v="1058400"/>
  </r>
  <r>
    <x v="95"/>
    <x v="4"/>
    <m/>
    <x v="1"/>
    <m/>
    <n v="1"/>
    <x v="0"/>
    <x v="1"/>
    <n v="200720"/>
    <m/>
    <n v="34000"/>
  </r>
  <r>
    <x v="95"/>
    <x v="4"/>
    <m/>
    <x v="1"/>
    <m/>
    <n v="1"/>
    <x v="2"/>
    <x v="4"/>
    <n v="200720"/>
    <m/>
    <n v="2000"/>
  </r>
  <r>
    <x v="96"/>
    <x v="0"/>
    <m/>
    <x v="2"/>
    <m/>
    <n v="50"/>
    <x v="2"/>
    <x v="4"/>
    <n v="200520"/>
    <m/>
    <n v="0"/>
  </r>
  <r>
    <x v="96"/>
    <x v="0"/>
    <m/>
    <x v="1"/>
    <m/>
    <n v="1"/>
    <x v="0"/>
    <x v="3"/>
    <n v="200720"/>
    <m/>
    <n v="58800"/>
  </r>
  <r>
    <x v="96"/>
    <x v="0"/>
    <m/>
    <x v="1"/>
    <m/>
    <n v="62"/>
    <x v="0"/>
    <x v="2"/>
    <n v="200720"/>
    <m/>
    <n v="2108000"/>
  </r>
  <r>
    <x v="96"/>
    <x v="0"/>
    <m/>
    <x v="1"/>
    <m/>
    <n v="16"/>
    <x v="0"/>
    <x v="8"/>
    <n v="200720"/>
    <m/>
    <n v="940800"/>
  </r>
  <r>
    <x v="96"/>
    <x v="0"/>
    <m/>
    <x v="1"/>
    <m/>
    <n v="1"/>
    <x v="0"/>
    <x v="9"/>
    <n v="200720"/>
    <m/>
    <n v="58800"/>
  </r>
  <r>
    <x v="97"/>
    <x v="1"/>
    <m/>
    <x v="1"/>
    <m/>
    <n v="1"/>
    <x v="0"/>
    <x v="3"/>
    <n v="200720"/>
    <m/>
    <n v="58800"/>
  </r>
  <r>
    <x v="97"/>
    <x v="1"/>
    <m/>
    <x v="1"/>
    <m/>
    <n v="68"/>
    <x v="0"/>
    <x v="2"/>
    <n v="200720"/>
    <m/>
    <n v="2312000"/>
  </r>
  <r>
    <x v="97"/>
    <x v="1"/>
    <m/>
    <x v="1"/>
    <m/>
    <n v="11"/>
    <x v="0"/>
    <x v="8"/>
    <n v="200720"/>
    <m/>
    <n v="646800"/>
  </r>
  <r>
    <x v="97"/>
    <x v="1"/>
    <m/>
    <x v="1"/>
    <m/>
    <n v="1"/>
    <x v="2"/>
    <x v="4"/>
    <n v="200720"/>
    <m/>
    <n v="2000"/>
  </r>
  <r>
    <x v="98"/>
    <x v="5"/>
    <m/>
    <x v="1"/>
    <m/>
    <n v="4"/>
    <x v="0"/>
    <x v="3"/>
    <n v="200720"/>
    <m/>
    <n v="235200"/>
  </r>
  <r>
    <x v="98"/>
    <x v="5"/>
    <m/>
    <x v="1"/>
    <m/>
    <n v="74"/>
    <x v="0"/>
    <x v="2"/>
    <n v="200720"/>
    <m/>
    <n v="2516000"/>
  </r>
  <r>
    <x v="98"/>
    <x v="5"/>
    <m/>
    <x v="1"/>
    <m/>
    <n v="15"/>
    <x v="0"/>
    <x v="8"/>
    <n v="200720"/>
    <m/>
    <n v="882000"/>
  </r>
  <r>
    <x v="98"/>
    <x v="5"/>
    <m/>
    <x v="1"/>
    <m/>
    <n v="2"/>
    <x v="0"/>
    <x v="1"/>
    <n v="200720"/>
    <m/>
    <n v="68000"/>
  </r>
  <r>
    <x v="98"/>
    <x v="5"/>
    <m/>
    <x v="1"/>
    <m/>
    <n v="1"/>
    <x v="0"/>
    <x v="9"/>
    <n v="200720"/>
    <m/>
    <n v="58800"/>
  </r>
  <r>
    <x v="98"/>
    <x v="5"/>
    <m/>
    <x v="1"/>
    <m/>
    <n v="2"/>
    <x v="2"/>
    <x v="4"/>
    <n v="200720"/>
    <m/>
    <n v="4000"/>
  </r>
  <r>
    <x v="99"/>
    <x v="6"/>
    <m/>
    <x v="1"/>
    <m/>
    <n v="2"/>
    <x v="0"/>
    <x v="3"/>
    <n v="200720"/>
    <m/>
    <n v="117600"/>
  </r>
  <r>
    <x v="99"/>
    <x v="6"/>
    <m/>
    <x v="1"/>
    <m/>
    <n v="83"/>
    <x v="0"/>
    <x v="2"/>
    <n v="200720"/>
    <m/>
    <n v="2822000"/>
  </r>
  <r>
    <x v="99"/>
    <x v="6"/>
    <m/>
    <x v="1"/>
    <m/>
    <n v="10"/>
    <x v="0"/>
    <x v="8"/>
    <n v="200720"/>
    <m/>
    <n v="588000"/>
  </r>
  <r>
    <x v="99"/>
    <x v="6"/>
    <m/>
    <x v="1"/>
    <m/>
    <n v="1"/>
    <x v="0"/>
    <x v="1"/>
    <n v="200720"/>
    <m/>
    <n v="34000"/>
  </r>
  <r>
    <x v="99"/>
    <x v="6"/>
    <m/>
    <x v="1"/>
    <m/>
    <n v="1"/>
    <x v="0"/>
    <x v="9"/>
    <n v="200720"/>
    <m/>
    <n v="58800"/>
  </r>
  <r>
    <x v="99"/>
    <x v="6"/>
    <m/>
    <x v="1"/>
    <m/>
    <n v="1"/>
    <x v="2"/>
    <x v="4"/>
    <n v="200720"/>
    <m/>
    <n v="2000"/>
  </r>
  <r>
    <x v="100"/>
    <x v="2"/>
    <m/>
    <x v="1"/>
    <m/>
    <n v="1"/>
    <x v="0"/>
    <x v="3"/>
    <n v="200720"/>
    <m/>
    <n v="58800"/>
  </r>
  <r>
    <x v="100"/>
    <x v="2"/>
    <m/>
    <x v="1"/>
    <m/>
    <n v="85"/>
    <x v="0"/>
    <x v="2"/>
    <n v="200720"/>
    <m/>
    <n v="2890000"/>
  </r>
  <r>
    <x v="100"/>
    <x v="2"/>
    <m/>
    <x v="1"/>
    <m/>
    <n v="17"/>
    <x v="0"/>
    <x v="8"/>
    <n v="200720"/>
    <m/>
    <n v="999600"/>
  </r>
  <r>
    <x v="100"/>
    <x v="2"/>
    <m/>
    <x v="1"/>
    <m/>
    <n v="5"/>
    <x v="0"/>
    <x v="1"/>
    <n v="200720"/>
    <m/>
    <n v="170000"/>
  </r>
  <r>
    <x v="100"/>
    <x v="2"/>
    <m/>
    <x v="1"/>
    <m/>
    <n v="1"/>
    <x v="0"/>
    <x v="9"/>
    <n v="200720"/>
    <m/>
    <n v="58800"/>
  </r>
  <r>
    <x v="100"/>
    <x v="2"/>
    <m/>
    <x v="1"/>
    <m/>
    <n v="2"/>
    <x v="2"/>
    <x v="4"/>
    <n v="200720"/>
    <m/>
    <n v="4000"/>
  </r>
  <r>
    <x v="101"/>
    <x v="3"/>
    <m/>
    <x v="1"/>
    <m/>
    <n v="3"/>
    <x v="0"/>
    <x v="3"/>
    <n v="200720"/>
    <m/>
    <n v="176400"/>
  </r>
  <r>
    <x v="101"/>
    <x v="3"/>
    <m/>
    <x v="1"/>
    <m/>
    <n v="88"/>
    <x v="0"/>
    <x v="2"/>
    <n v="200720"/>
    <m/>
    <n v="2992000"/>
  </r>
  <r>
    <x v="101"/>
    <x v="3"/>
    <m/>
    <x v="1"/>
    <m/>
    <n v="10"/>
    <x v="0"/>
    <x v="8"/>
    <n v="200720"/>
    <m/>
    <n v="588000"/>
  </r>
  <r>
    <x v="101"/>
    <x v="3"/>
    <m/>
    <x v="1"/>
    <m/>
    <n v="2"/>
    <x v="0"/>
    <x v="1"/>
    <n v="200720"/>
    <m/>
    <n v="68000"/>
  </r>
  <r>
    <x v="101"/>
    <x v="3"/>
    <m/>
    <x v="1"/>
    <m/>
    <n v="3"/>
    <x v="0"/>
    <x v="9"/>
    <n v="200720"/>
    <m/>
    <n v="176400"/>
  </r>
  <r>
    <x v="101"/>
    <x v="3"/>
    <m/>
    <x v="1"/>
    <m/>
    <n v="3"/>
    <x v="2"/>
    <x v="4"/>
    <n v="200720"/>
    <m/>
    <n v="6000"/>
  </r>
  <r>
    <x v="102"/>
    <x v="4"/>
    <m/>
    <x v="1"/>
    <m/>
    <n v="3"/>
    <x v="0"/>
    <x v="3"/>
    <n v="200720"/>
    <m/>
    <n v="176400"/>
  </r>
  <r>
    <x v="102"/>
    <x v="4"/>
    <m/>
    <x v="1"/>
    <m/>
    <n v="66"/>
    <x v="0"/>
    <x v="2"/>
    <n v="200720"/>
    <m/>
    <n v="2244000"/>
  </r>
  <r>
    <x v="102"/>
    <x v="4"/>
    <m/>
    <x v="1"/>
    <m/>
    <n v="16"/>
    <x v="0"/>
    <x v="8"/>
    <n v="200720"/>
    <m/>
    <n v="940800"/>
  </r>
  <r>
    <x v="102"/>
    <x v="4"/>
    <m/>
    <x v="1"/>
    <m/>
    <n v="1"/>
    <x v="0"/>
    <x v="1"/>
    <n v="200720"/>
    <m/>
    <n v="34000"/>
  </r>
  <r>
    <x v="102"/>
    <x v="4"/>
    <m/>
    <x v="1"/>
    <m/>
    <n v="1"/>
    <x v="0"/>
    <x v="9"/>
    <n v="200720"/>
    <m/>
    <n v="58800"/>
  </r>
  <r>
    <x v="102"/>
    <x v="4"/>
    <m/>
    <x v="1"/>
    <m/>
    <n v="2"/>
    <x v="2"/>
    <x v="4"/>
    <n v="200720"/>
    <m/>
    <n v="4000"/>
  </r>
  <r>
    <x v="103"/>
    <x v="0"/>
    <m/>
    <x v="1"/>
    <m/>
    <n v="4"/>
    <x v="0"/>
    <x v="3"/>
    <n v="200720"/>
    <m/>
    <n v="235200"/>
  </r>
  <r>
    <x v="103"/>
    <x v="0"/>
    <m/>
    <x v="1"/>
    <m/>
    <n v="79"/>
    <x v="0"/>
    <x v="2"/>
    <n v="200720"/>
    <m/>
    <n v="2686000"/>
  </r>
  <r>
    <x v="103"/>
    <x v="0"/>
    <m/>
    <x v="1"/>
    <m/>
    <n v="13"/>
    <x v="0"/>
    <x v="8"/>
    <n v="200720"/>
    <m/>
    <n v="764400"/>
  </r>
  <r>
    <x v="103"/>
    <x v="0"/>
    <m/>
    <x v="1"/>
    <m/>
    <n v="1"/>
    <x v="0"/>
    <x v="9"/>
    <n v="200720"/>
    <m/>
    <n v="58800"/>
  </r>
  <r>
    <x v="104"/>
    <x v="1"/>
    <m/>
    <x v="1"/>
    <m/>
    <n v="4"/>
    <x v="0"/>
    <x v="3"/>
    <n v="200720"/>
    <m/>
    <n v="235200"/>
  </r>
  <r>
    <x v="104"/>
    <x v="1"/>
    <m/>
    <x v="1"/>
    <m/>
    <n v="67"/>
    <x v="0"/>
    <x v="2"/>
    <n v="200720"/>
    <m/>
    <n v="2278000"/>
  </r>
  <r>
    <x v="104"/>
    <x v="1"/>
    <m/>
    <x v="1"/>
    <m/>
    <n v="9"/>
    <x v="0"/>
    <x v="8"/>
    <n v="200720"/>
    <m/>
    <n v="529200"/>
  </r>
  <r>
    <x v="104"/>
    <x v="1"/>
    <m/>
    <x v="1"/>
    <m/>
    <n v="2"/>
    <x v="2"/>
    <x v="4"/>
    <n v="200720"/>
    <m/>
    <n v="4000"/>
  </r>
  <r>
    <x v="105"/>
    <x v="5"/>
    <m/>
    <x v="1"/>
    <m/>
    <n v="3"/>
    <x v="0"/>
    <x v="3"/>
    <n v="200720"/>
    <m/>
    <n v="176400"/>
  </r>
  <r>
    <x v="105"/>
    <x v="5"/>
    <m/>
    <x v="1"/>
    <m/>
    <n v="1"/>
    <x v="0"/>
    <x v="10"/>
    <n v="200720"/>
    <m/>
    <n v="94800"/>
  </r>
  <r>
    <x v="105"/>
    <x v="5"/>
    <m/>
    <x v="1"/>
    <m/>
    <n v="72"/>
    <x v="0"/>
    <x v="2"/>
    <n v="200720"/>
    <m/>
    <n v="2448000"/>
  </r>
  <r>
    <x v="105"/>
    <x v="5"/>
    <m/>
    <x v="1"/>
    <m/>
    <n v="7"/>
    <x v="0"/>
    <x v="8"/>
    <n v="200720"/>
    <m/>
    <n v="411600"/>
  </r>
  <r>
    <x v="105"/>
    <x v="5"/>
    <m/>
    <x v="1"/>
    <m/>
    <n v="1"/>
    <x v="2"/>
    <x v="4"/>
    <n v="200720"/>
    <m/>
    <n v="2000"/>
  </r>
  <r>
    <x v="106"/>
    <x v="6"/>
    <m/>
    <x v="2"/>
    <m/>
    <n v="1"/>
    <x v="0"/>
    <x v="2"/>
    <n v="200520"/>
    <m/>
    <n v="0"/>
  </r>
  <r>
    <x v="106"/>
    <x v="6"/>
    <m/>
    <x v="1"/>
    <m/>
    <n v="3"/>
    <x v="0"/>
    <x v="3"/>
    <n v="200720"/>
    <m/>
    <n v="176400"/>
  </r>
  <r>
    <x v="106"/>
    <x v="6"/>
    <m/>
    <x v="1"/>
    <m/>
    <n v="71"/>
    <x v="0"/>
    <x v="2"/>
    <n v="200720"/>
    <m/>
    <n v="2414000"/>
  </r>
  <r>
    <x v="106"/>
    <x v="6"/>
    <m/>
    <x v="1"/>
    <m/>
    <n v="8"/>
    <x v="0"/>
    <x v="8"/>
    <n v="200720"/>
    <m/>
    <n v="470400"/>
  </r>
  <r>
    <x v="106"/>
    <x v="6"/>
    <m/>
    <x v="1"/>
    <m/>
    <n v="1"/>
    <x v="0"/>
    <x v="1"/>
    <n v="200720"/>
    <m/>
    <n v="34000"/>
  </r>
  <r>
    <x v="106"/>
    <x v="6"/>
    <m/>
    <x v="1"/>
    <m/>
    <n v="4"/>
    <x v="2"/>
    <x v="4"/>
    <n v="200720"/>
    <m/>
    <n v="8000"/>
  </r>
  <r>
    <x v="107"/>
    <x v="2"/>
    <m/>
    <x v="2"/>
    <m/>
    <n v="3"/>
    <x v="0"/>
    <x v="2"/>
    <n v="200520"/>
    <m/>
    <n v="0"/>
  </r>
  <r>
    <x v="107"/>
    <x v="2"/>
    <m/>
    <x v="2"/>
    <m/>
    <n v="3"/>
    <x v="0"/>
    <x v="1"/>
    <n v="200520"/>
    <m/>
    <n v="0"/>
  </r>
  <r>
    <x v="107"/>
    <x v="2"/>
    <m/>
    <x v="1"/>
    <m/>
    <n v="9"/>
    <x v="0"/>
    <x v="3"/>
    <n v="200720"/>
    <m/>
    <n v="529200"/>
  </r>
  <r>
    <x v="107"/>
    <x v="2"/>
    <m/>
    <x v="1"/>
    <m/>
    <n v="60"/>
    <x v="0"/>
    <x v="2"/>
    <n v="200720"/>
    <m/>
    <n v="2040000"/>
  </r>
  <r>
    <x v="107"/>
    <x v="2"/>
    <m/>
    <x v="1"/>
    <m/>
    <n v="8"/>
    <x v="0"/>
    <x v="8"/>
    <n v="200720"/>
    <m/>
    <n v="470400"/>
  </r>
  <r>
    <x v="107"/>
    <x v="2"/>
    <m/>
    <x v="1"/>
    <m/>
    <n v="1"/>
    <x v="0"/>
    <x v="9"/>
    <n v="200720"/>
    <m/>
    <n v="58800"/>
  </r>
  <r>
    <x v="107"/>
    <x v="2"/>
    <m/>
    <x v="1"/>
    <m/>
    <n v="7"/>
    <x v="2"/>
    <x v="4"/>
    <n v="200720"/>
    <m/>
    <n v="14000"/>
  </r>
  <r>
    <x v="108"/>
    <x v="3"/>
    <m/>
    <x v="2"/>
    <m/>
    <n v="11"/>
    <x v="0"/>
    <x v="2"/>
    <n v="200520"/>
    <m/>
    <n v="0"/>
  </r>
  <r>
    <x v="108"/>
    <x v="3"/>
    <m/>
    <x v="2"/>
    <m/>
    <n v="1"/>
    <x v="0"/>
    <x v="1"/>
    <n v="200520"/>
    <m/>
    <n v="0"/>
  </r>
  <r>
    <x v="108"/>
    <x v="3"/>
    <m/>
    <x v="1"/>
    <m/>
    <n v="6"/>
    <x v="0"/>
    <x v="3"/>
    <n v="200720"/>
    <m/>
    <n v="352800"/>
  </r>
  <r>
    <x v="108"/>
    <x v="3"/>
    <m/>
    <x v="1"/>
    <m/>
    <n v="69"/>
    <x v="0"/>
    <x v="2"/>
    <n v="200720"/>
    <m/>
    <n v="2346000"/>
  </r>
  <r>
    <x v="108"/>
    <x v="3"/>
    <m/>
    <x v="1"/>
    <m/>
    <n v="13"/>
    <x v="0"/>
    <x v="8"/>
    <n v="200720"/>
    <m/>
    <n v="764400"/>
  </r>
  <r>
    <x v="108"/>
    <x v="3"/>
    <m/>
    <x v="1"/>
    <m/>
    <n v="1"/>
    <x v="0"/>
    <x v="1"/>
    <n v="200720"/>
    <m/>
    <n v="34000"/>
  </r>
  <r>
    <x v="108"/>
    <x v="3"/>
    <m/>
    <x v="1"/>
    <m/>
    <n v="2"/>
    <x v="2"/>
    <x v="4"/>
    <n v="200720"/>
    <m/>
    <n v="4000"/>
  </r>
  <r>
    <x v="109"/>
    <x v="4"/>
    <m/>
    <x v="2"/>
    <m/>
    <n v="9"/>
    <x v="0"/>
    <x v="2"/>
    <n v="200520"/>
    <m/>
    <n v="0"/>
  </r>
  <r>
    <x v="109"/>
    <x v="4"/>
    <m/>
    <x v="2"/>
    <m/>
    <n v="1"/>
    <x v="0"/>
    <x v="1"/>
    <n v="200520"/>
    <m/>
    <n v="0"/>
  </r>
  <r>
    <x v="109"/>
    <x v="4"/>
    <m/>
    <x v="1"/>
    <m/>
    <n v="3"/>
    <x v="0"/>
    <x v="3"/>
    <n v="200720"/>
    <m/>
    <n v="176400"/>
  </r>
  <r>
    <x v="109"/>
    <x v="4"/>
    <m/>
    <x v="1"/>
    <m/>
    <n v="66"/>
    <x v="0"/>
    <x v="2"/>
    <n v="200720"/>
    <m/>
    <n v="2244000"/>
  </r>
  <r>
    <x v="109"/>
    <x v="4"/>
    <m/>
    <x v="1"/>
    <m/>
    <n v="8"/>
    <x v="0"/>
    <x v="8"/>
    <n v="200720"/>
    <m/>
    <n v="470400"/>
  </r>
  <r>
    <x v="109"/>
    <x v="4"/>
    <m/>
    <x v="1"/>
    <m/>
    <n v="3"/>
    <x v="0"/>
    <x v="1"/>
    <n v="200720"/>
    <m/>
    <n v="102000"/>
  </r>
  <r>
    <x v="109"/>
    <x v="4"/>
    <m/>
    <x v="1"/>
    <m/>
    <n v="1"/>
    <x v="2"/>
    <x v="4"/>
    <n v="200720"/>
    <m/>
    <n v="2000"/>
  </r>
  <r>
    <x v="110"/>
    <x v="0"/>
    <m/>
    <x v="1"/>
    <m/>
    <n v="5"/>
    <x v="0"/>
    <x v="3"/>
    <n v="200720"/>
    <m/>
    <n v="294000"/>
  </r>
  <r>
    <x v="110"/>
    <x v="0"/>
    <m/>
    <x v="1"/>
    <m/>
    <n v="66"/>
    <x v="0"/>
    <x v="2"/>
    <n v="200720"/>
    <m/>
    <n v="2244000"/>
  </r>
  <r>
    <x v="110"/>
    <x v="0"/>
    <m/>
    <x v="1"/>
    <m/>
    <n v="15"/>
    <x v="0"/>
    <x v="8"/>
    <n v="200720"/>
    <m/>
    <n v="882000"/>
  </r>
  <r>
    <x v="110"/>
    <x v="0"/>
    <m/>
    <x v="1"/>
    <m/>
    <n v="1"/>
    <x v="0"/>
    <x v="1"/>
    <n v="200720"/>
    <m/>
    <n v="34000"/>
  </r>
  <r>
    <x v="110"/>
    <x v="0"/>
    <m/>
    <x v="1"/>
    <m/>
    <n v="3"/>
    <x v="2"/>
    <x v="4"/>
    <n v="200720"/>
    <m/>
    <n v="6000"/>
  </r>
  <r>
    <x v="111"/>
    <x v="1"/>
    <m/>
    <x v="1"/>
    <m/>
    <n v="5"/>
    <x v="0"/>
    <x v="3"/>
    <n v="200720"/>
    <m/>
    <n v="294000"/>
  </r>
  <r>
    <x v="111"/>
    <x v="1"/>
    <m/>
    <x v="1"/>
    <m/>
    <n v="64"/>
    <x v="0"/>
    <x v="2"/>
    <n v="200720"/>
    <m/>
    <n v="2176000"/>
  </r>
  <r>
    <x v="111"/>
    <x v="1"/>
    <m/>
    <x v="1"/>
    <m/>
    <n v="8"/>
    <x v="0"/>
    <x v="8"/>
    <n v="200720"/>
    <m/>
    <n v="470400"/>
  </r>
  <r>
    <x v="111"/>
    <x v="1"/>
    <m/>
    <x v="1"/>
    <m/>
    <n v="2"/>
    <x v="2"/>
    <x v="4"/>
    <n v="200720"/>
    <m/>
    <n v="4000"/>
  </r>
  <r>
    <x v="112"/>
    <x v="5"/>
    <m/>
    <x v="1"/>
    <m/>
    <n v="4"/>
    <x v="0"/>
    <x v="3"/>
    <n v="200720"/>
    <m/>
    <n v="235200"/>
  </r>
  <r>
    <x v="112"/>
    <x v="5"/>
    <m/>
    <x v="1"/>
    <m/>
    <n v="59"/>
    <x v="0"/>
    <x v="2"/>
    <n v="200720"/>
    <m/>
    <n v="2006000"/>
  </r>
  <r>
    <x v="112"/>
    <x v="5"/>
    <m/>
    <x v="1"/>
    <m/>
    <n v="16"/>
    <x v="0"/>
    <x v="8"/>
    <n v="200720"/>
    <m/>
    <n v="940800"/>
  </r>
  <r>
    <x v="112"/>
    <x v="5"/>
    <m/>
    <x v="1"/>
    <m/>
    <n v="3"/>
    <x v="0"/>
    <x v="1"/>
    <n v="200720"/>
    <m/>
    <n v="102000"/>
  </r>
  <r>
    <x v="112"/>
    <x v="5"/>
    <m/>
    <x v="1"/>
    <m/>
    <n v="3"/>
    <x v="2"/>
    <x v="4"/>
    <n v="200720"/>
    <m/>
    <n v="6000"/>
  </r>
  <r>
    <x v="113"/>
    <x v="6"/>
    <m/>
    <x v="2"/>
    <m/>
    <n v="4"/>
    <x v="0"/>
    <x v="2"/>
    <n v="200520"/>
    <m/>
    <n v="0"/>
  </r>
  <r>
    <x v="113"/>
    <x v="6"/>
    <m/>
    <x v="1"/>
    <m/>
    <n v="4"/>
    <x v="0"/>
    <x v="3"/>
    <n v="200720"/>
    <m/>
    <n v="235200"/>
  </r>
  <r>
    <x v="113"/>
    <x v="6"/>
    <m/>
    <x v="1"/>
    <m/>
    <n v="1"/>
    <x v="0"/>
    <x v="10"/>
    <n v="200720"/>
    <m/>
    <n v="94800"/>
  </r>
  <r>
    <x v="113"/>
    <x v="6"/>
    <m/>
    <x v="1"/>
    <m/>
    <n v="73"/>
    <x v="0"/>
    <x v="2"/>
    <n v="200720"/>
    <m/>
    <n v="2482000"/>
  </r>
  <r>
    <x v="113"/>
    <x v="6"/>
    <m/>
    <x v="1"/>
    <m/>
    <n v="13"/>
    <x v="0"/>
    <x v="8"/>
    <n v="200720"/>
    <m/>
    <n v="764400"/>
  </r>
  <r>
    <x v="113"/>
    <x v="6"/>
    <m/>
    <x v="1"/>
    <m/>
    <n v="1"/>
    <x v="0"/>
    <x v="1"/>
    <n v="200720"/>
    <m/>
    <n v="34000"/>
  </r>
  <r>
    <x v="113"/>
    <x v="6"/>
    <m/>
    <x v="1"/>
    <m/>
    <n v="3"/>
    <x v="2"/>
    <x v="4"/>
    <n v="200720"/>
    <m/>
    <n v="6000"/>
  </r>
  <r>
    <x v="114"/>
    <x v="2"/>
    <m/>
    <x v="1"/>
    <m/>
    <n v="5"/>
    <x v="0"/>
    <x v="3"/>
    <n v="200720"/>
    <m/>
    <n v="294000"/>
  </r>
  <r>
    <x v="114"/>
    <x v="2"/>
    <m/>
    <x v="1"/>
    <m/>
    <n v="72"/>
    <x v="0"/>
    <x v="2"/>
    <n v="200720"/>
    <m/>
    <n v="2448000"/>
  </r>
  <r>
    <x v="114"/>
    <x v="2"/>
    <m/>
    <x v="1"/>
    <m/>
    <n v="18"/>
    <x v="0"/>
    <x v="8"/>
    <n v="200720"/>
    <m/>
    <n v="1058400"/>
  </r>
  <r>
    <x v="114"/>
    <x v="2"/>
    <m/>
    <x v="1"/>
    <m/>
    <n v="3"/>
    <x v="0"/>
    <x v="1"/>
    <n v="200720"/>
    <m/>
    <n v="102000"/>
  </r>
  <r>
    <x v="114"/>
    <x v="2"/>
    <m/>
    <x v="1"/>
    <m/>
    <n v="1"/>
    <x v="2"/>
    <x v="4"/>
    <n v="200720"/>
    <m/>
    <n v="2000"/>
  </r>
  <r>
    <x v="115"/>
    <x v="3"/>
    <m/>
    <x v="1"/>
    <m/>
    <n v="1"/>
    <x v="0"/>
    <x v="3"/>
    <n v="200720"/>
    <m/>
    <n v="58800"/>
  </r>
  <r>
    <x v="115"/>
    <x v="3"/>
    <m/>
    <x v="1"/>
    <m/>
    <n v="63"/>
    <x v="0"/>
    <x v="2"/>
    <n v="200720"/>
    <m/>
    <n v="2142000"/>
  </r>
  <r>
    <x v="115"/>
    <x v="3"/>
    <m/>
    <x v="1"/>
    <m/>
    <n v="12"/>
    <x v="0"/>
    <x v="8"/>
    <n v="200720"/>
    <m/>
    <n v="705600"/>
  </r>
  <r>
    <x v="115"/>
    <x v="3"/>
    <m/>
    <x v="1"/>
    <m/>
    <n v="1"/>
    <x v="0"/>
    <x v="9"/>
    <n v="200720"/>
    <m/>
    <n v="58800"/>
  </r>
  <r>
    <x v="115"/>
    <x v="3"/>
    <m/>
    <x v="1"/>
    <m/>
    <n v="1"/>
    <x v="2"/>
    <x v="4"/>
    <n v="200720"/>
    <m/>
    <n v="2000"/>
  </r>
  <r>
    <x v="116"/>
    <x v="4"/>
    <m/>
    <x v="1"/>
    <m/>
    <n v="5"/>
    <x v="0"/>
    <x v="3"/>
    <n v="200720"/>
    <m/>
    <n v="294000"/>
  </r>
  <r>
    <x v="116"/>
    <x v="4"/>
    <m/>
    <x v="1"/>
    <m/>
    <n v="69"/>
    <x v="0"/>
    <x v="2"/>
    <n v="200720"/>
    <m/>
    <n v="2346000"/>
  </r>
  <r>
    <x v="116"/>
    <x v="4"/>
    <m/>
    <x v="1"/>
    <m/>
    <n v="13"/>
    <x v="0"/>
    <x v="8"/>
    <n v="200720"/>
    <m/>
    <n v="764400"/>
  </r>
  <r>
    <x v="116"/>
    <x v="4"/>
    <m/>
    <x v="1"/>
    <m/>
    <n v="1"/>
    <x v="0"/>
    <x v="9"/>
    <n v="200720"/>
    <m/>
    <n v="58800"/>
  </r>
  <r>
    <x v="116"/>
    <x v="4"/>
    <m/>
    <x v="1"/>
    <m/>
    <n v="1"/>
    <x v="2"/>
    <x v="4"/>
    <n v="200720"/>
    <m/>
    <n v="2000"/>
  </r>
  <r>
    <x v="117"/>
    <x v="0"/>
    <m/>
    <x v="1"/>
    <m/>
    <n v="3"/>
    <x v="0"/>
    <x v="3"/>
    <n v="200720"/>
    <m/>
    <n v="176400"/>
  </r>
  <r>
    <x v="117"/>
    <x v="0"/>
    <m/>
    <x v="1"/>
    <m/>
    <n v="57"/>
    <x v="0"/>
    <x v="2"/>
    <n v="200720"/>
    <m/>
    <n v="1938000"/>
  </r>
  <r>
    <x v="117"/>
    <x v="0"/>
    <m/>
    <x v="1"/>
    <m/>
    <n v="23"/>
    <x v="0"/>
    <x v="8"/>
    <n v="200720"/>
    <m/>
    <n v="1352400"/>
  </r>
  <r>
    <x v="117"/>
    <x v="0"/>
    <m/>
    <x v="1"/>
    <m/>
    <n v="3"/>
    <x v="0"/>
    <x v="1"/>
    <n v="200720"/>
    <m/>
    <n v="102000"/>
  </r>
  <r>
    <x v="118"/>
    <x v="1"/>
    <m/>
    <x v="1"/>
    <m/>
    <n v="6"/>
    <x v="0"/>
    <x v="3"/>
    <n v="200720"/>
    <m/>
    <n v="352800"/>
  </r>
  <r>
    <x v="118"/>
    <x v="1"/>
    <m/>
    <x v="1"/>
    <m/>
    <n v="60"/>
    <x v="0"/>
    <x v="2"/>
    <n v="200720"/>
    <m/>
    <n v="2040000"/>
  </r>
  <r>
    <x v="118"/>
    <x v="1"/>
    <m/>
    <x v="1"/>
    <m/>
    <n v="17"/>
    <x v="0"/>
    <x v="8"/>
    <n v="200720"/>
    <m/>
    <n v="999600"/>
  </r>
  <r>
    <x v="118"/>
    <x v="1"/>
    <m/>
    <x v="1"/>
    <m/>
    <n v="1"/>
    <x v="0"/>
    <x v="1"/>
    <n v="200720"/>
    <m/>
    <n v="34000"/>
  </r>
  <r>
    <x v="118"/>
    <x v="1"/>
    <m/>
    <x v="1"/>
    <m/>
    <n v="4"/>
    <x v="2"/>
    <x v="4"/>
    <n v="200720"/>
    <m/>
    <n v="8000"/>
  </r>
  <r>
    <x v="119"/>
    <x v="5"/>
    <m/>
    <x v="1"/>
    <m/>
    <n v="5"/>
    <x v="0"/>
    <x v="3"/>
    <n v="200720"/>
    <m/>
    <n v="294000"/>
  </r>
  <r>
    <x v="119"/>
    <x v="5"/>
    <m/>
    <x v="1"/>
    <m/>
    <n v="81"/>
    <x v="0"/>
    <x v="2"/>
    <n v="200720"/>
    <m/>
    <n v="2754000"/>
  </r>
  <r>
    <x v="119"/>
    <x v="5"/>
    <m/>
    <x v="1"/>
    <m/>
    <n v="13"/>
    <x v="0"/>
    <x v="8"/>
    <n v="200720"/>
    <m/>
    <n v="764400"/>
  </r>
  <r>
    <x v="119"/>
    <x v="5"/>
    <m/>
    <x v="1"/>
    <m/>
    <n v="2"/>
    <x v="0"/>
    <x v="1"/>
    <n v="200720"/>
    <m/>
    <n v="68000"/>
  </r>
  <r>
    <x v="119"/>
    <x v="5"/>
    <m/>
    <x v="1"/>
    <m/>
    <n v="2"/>
    <x v="2"/>
    <x v="4"/>
    <n v="200720"/>
    <m/>
    <n v="4000"/>
  </r>
  <r>
    <x v="120"/>
    <x v="6"/>
    <m/>
    <x v="1"/>
    <m/>
    <n v="9"/>
    <x v="0"/>
    <x v="3"/>
    <n v="200720"/>
    <m/>
    <n v="529200"/>
  </r>
  <r>
    <x v="120"/>
    <x v="6"/>
    <m/>
    <x v="1"/>
    <m/>
    <n v="63"/>
    <x v="0"/>
    <x v="2"/>
    <n v="200720"/>
    <m/>
    <n v="2142000"/>
  </r>
  <r>
    <x v="120"/>
    <x v="6"/>
    <m/>
    <x v="1"/>
    <m/>
    <n v="12"/>
    <x v="0"/>
    <x v="8"/>
    <n v="200720"/>
    <m/>
    <n v="705600"/>
  </r>
  <r>
    <x v="120"/>
    <x v="6"/>
    <m/>
    <x v="1"/>
    <m/>
    <n v="5"/>
    <x v="0"/>
    <x v="1"/>
    <n v="200720"/>
    <m/>
    <n v="170000"/>
  </r>
  <r>
    <x v="120"/>
    <x v="6"/>
    <m/>
    <x v="1"/>
    <m/>
    <n v="2"/>
    <x v="2"/>
    <x v="4"/>
    <n v="200720"/>
    <m/>
    <n v="4000"/>
  </r>
  <r>
    <x v="120"/>
    <x v="6"/>
    <m/>
    <x v="2"/>
    <m/>
    <n v="1"/>
    <x v="0"/>
    <x v="2"/>
    <n v="200520"/>
    <m/>
    <n v="0"/>
  </r>
  <r>
    <x v="121"/>
    <x v="2"/>
    <m/>
    <x v="1"/>
    <m/>
    <n v="5"/>
    <x v="0"/>
    <x v="3"/>
    <n v="200720"/>
    <m/>
    <n v="294000"/>
  </r>
  <r>
    <x v="121"/>
    <x v="2"/>
    <m/>
    <x v="1"/>
    <m/>
    <n v="76"/>
    <x v="0"/>
    <x v="2"/>
    <n v="200720"/>
    <m/>
    <n v="2584000"/>
  </r>
  <r>
    <x v="121"/>
    <x v="2"/>
    <m/>
    <x v="1"/>
    <m/>
    <n v="15"/>
    <x v="0"/>
    <x v="8"/>
    <n v="200720"/>
    <m/>
    <n v="882000"/>
  </r>
  <r>
    <x v="121"/>
    <x v="2"/>
    <m/>
    <x v="1"/>
    <m/>
    <n v="1"/>
    <x v="0"/>
    <x v="1"/>
    <n v="200720"/>
    <m/>
    <n v="34000"/>
  </r>
  <r>
    <x v="121"/>
    <x v="2"/>
    <m/>
    <x v="1"/>
    <m/>
    <n v="1"/>
    <x v="2"/>
    <x v="4"/>
    <n v="200720"/>
    <m/>
    <n v="2000"/>
  </r>
  <r>
    <x v="122"/>
    <x v="3"/>
    <m/>
    <x v="1"/>
    <m/>
    <n v="4"/>
    <x v="0"/>
    <x v="3"/>
    <n v="200720"/>
    <m/>
    <n v="235200"/>
  </r>
  <r>
    <x v="122"/>
    <x v="3"/>
    <m/>
    <x v="1"/>
    <m/>
    <n v="77"/>
    <x v="0"/>
    <x v="2"/>
    <n v="200720"/>
    <m/>
    <n v="2618000"/>
  </r>
  <r>
    <x v="122"/>
    <x v="3"/>
    <m/>
    <x v="1"/>
    <m/>
    <n v="21"/>
    <x v="0"/>
    <x v="8"/>
    <n v="200720"/>
    <m/>
    <n v="1234800"/>
  </r>
  <r>
    <x v="122"/>
    <x v="3"/>
    <m/>
    <x v="1"/>
    <m/>
    <n v="1"/>
    <x v="0"/>
    <x v="1"/>
    <n v="200720"/>
    <m/>
    <n v="34000"/>
  </r>
  <r>
    <x v="122"/>
    <x v="3"/>
    <m/>
    <x v="1"/>
    <m/>
    <n v="2"/>
    <x v="2"/>
    <x v="4"/>
    <n v="200720"/>
    <m/>
    <n v="4000"/>
  </r>
  <r>
    <x v="123"/>
    <x v="4"/>
    <m/>
    <x v="1"/>
    <m/>
    <n v="3"/>
    <x v="0"/>
    <x v="3"/>
    <n v="200720"/>
    <m/>
    <n v="176400"/>
  </r>
  <r>
    <x v="123"/>
    <x v="4"/>
    <m/>
    <x v="1"/>
    <m/>
    <n v="83"/>
    <x v="0"/>
    <x v="2"/>
    <n v="200720"/>
    <m/>
    <n v="2822000"/>
  </r>
  <r>
    <x v="123"/>
    <x v="4"/>
    <m/>
    <x v="1"/>
    <m/>
    <n v="19"/>
    <x v="0"/>
    <x v="8"/>
    <n v="200720"/>
    <m/>
    <n v="1117200"/>
  </r>
  <r>
    <x v="123"/>
    <x v="4"/>
    <m/>
    <x v="1"/>
    <m/>
    <n v="1"/>
    <x v="0"/>
    <x v="9"/>
    <n v="200720"/>
    <m/>
    <n v="58800"/>
  </r>
  <r>
    <x v="123"/>
    <x v="4"/>
    <m/>
    <x v="1"/>
    <m/>
    <n v="4"/>
    <x v="2"/>
    <x v="4"/>
    <n v="200720"/>
    <m/>
    <n v="8000"/>
  </r>
  <r>
    <x v="124"/>
    <x v="0"/>
    <m/>
    <x v="1"/>
    <m/>
    <n v="6"/>
    <x v="0"/>
    <x v="3"/>
    <n v="200720"/>
    <m/>
    <n v="352800"/>
  </r>
  <r>
    <x v="124"/>
    <x v="0"/>
    <m/>
    <x v="1"/>
    <m/>
    <n v="85"/>
    <x v="0"/>
    <x v="2"/>
    <n v="200720"/>
    <m/>
    <n v="2890000"/>
  </r>
  <r>
    <x v="124"/>
    <x v="0"/>
    <m/>
    <x v="1"/>
    <m/>
    <n v="15"/>
    <x v="0"/>
    <x v="8"/>
    <n v="200720"/>
    <m/>
    <n v="882000"/>
  </r>
  <r>
    <x v="124"/>
    <x v="0"/>
    <m/>
    <x v="1"/>
    <m/>
    <n v="1"/>
    <x v="0"/>
    <x v="1"/>
    <n v="200720"/>
    <m/>
    <n v="34000"/>
  </r>
  <r>
    <x v="124"/>
    <x v="0"/>
    <m/>
    <x v="1"/>
    <m/>
    <n v="1"/>
    <x v="2"/>
    <x v="4"/>
    <n v="200720"/>
    <m/>
    <n v="2000"/>
  </r>
  <r>
    <x v="125"/>
    <x v="1"/>
    <m/>
    <x v="1"/>
    <m/>
    <n v="9"/>
    <x v="0"/>
    <x v="3"/>
    <n v="200720"/>
    <m/>
    <n v="529200"/>
  </r>
  <r>
    <x v="125"/>
    <x v="1"/>
    <m/>
    <x v="1"/>
    <m/>
    <n v="108"/>
    <x v="0"/>
    <x v="2"/>
    <n v="200720"/>
    <m/>
    <n v="3672000"/>
  </r>
  <r>
    <x v="125"/>
    <x v="1"/>
    <m/>
    <x v="1"/>
    <m/>
    <n v="18"/>
    <x v="0"/>
    <x v="8"/>
    <n v="200720"/>
    <m/>
    <n v="1058400"/>
  </r>
  <r>
    <x v="125"/>
    <x v="1"/>
    <m/>
    <x v="1"/>
    <m/>
    <n v="4"/>
    <x v="0"/>
    <x v="1"/>
    <n v="200720"/>
    <m/>
    <n v="136000"/>
  </r>
  <r>
    <x v="125"/>
    <x v="1"/>
    <m/>
    <x v="1"/>
    <m/>
    <n v="1"/>
    <x v="0"/>
    <x v="9"/>
    <n v="200720"/>
    <m/>
    <n v="58800"/>
  </r>
  <r>
    <x v="125"/>
    <x v="1"/>
    <m/>
    <x v="1"/>
    <m/>
    <n v="2"/>
    <x v="2"/>
    <x v="4"/>
    <n v="200720"/>
    <m/>
    <n v="4000"/>
  </r>
  <r>
    <x v="126"/>
    <x v="5"/>
    <m/>
    <x v="1"/>
    <m/>
    <n v="13"/>
    <x v="0"/>
    <x v="3"/>
    <n v="200720"/>
    <m/>
    <n v="764400"/>
  </r>
  <r>
    <x v="126"/>
    <x v="5"/>
    <m/>
    <x v="1"/>
    <m/>
    <n v="131"/>
    <x v="0"/>
    <x v="2"/>
    <n v="200720"/>
    <m/>
    <n v="4454000"/>
  </r>
  <r>
    <x v="126"/>
    <x v="5"/>
    <m/>
    <x v="1"/>
    <m/>
    <n v="29"/>
    <x v="0"/>
    <x v="8"/>
    <n v="200720"/>
    <m/>
    <n v="1705200"/>
  </r>
  <r>
    <x v="126"/>
    <x v="5"/>
    <m/>
    <x v="1"/>
    <m/>
    <n v="2"/>
    <x v="0"/>
    <x v="1"/>
    <n v="200720"/>
    <m/>
    <n v="68000"/>
  </r>
  <r>
    <x v="126"/>
    <x v="5"/>
    <m/>
    <x v="1"/>
    <m/>
    <n v="2"/>
    <x v="0"/>
    <x v="9"/>
    <n v="200720"/>
    <m/>
    <n v="117600"/>
  </r>
  <r>
    <x v="126"/>
    <x v="5"/>
    <m/>
    <x v="1"/>
    <m/>
    <n v="5"/>
    <x v="2"/>
    <x v="4"/>
    <n v="200720"/>
    <m/>
    <n v="10000"/>
  </r>
  <r>
    <x v="127"/>
    <x v="6"/>
    <m/>
    <x v="1"/>
    <m/>
    <n v="13"/>
    <x v="0"/>
    <x v="3"/>
    <n v="200720"/>
    <m/>
    <n v="764400"/>
  </r>
  <r>
    <x v="127"/>
    <x v="6"/>
    <m/>
    <x v="1"/>
    <m/>
    <n v="126"/>
    <x v="0"/>
    <x v="2"/>
    <n v="200720"/>
    <m/>
    <n v="4284000"/>
  </r>
  <r>
    <x v="127"/>
    <x v="6"/>
    <m/>
    <x v="1"/>
    <m/>
    <n v="26"/>
    <x v="0"/>
    <x v="8"/>
    <n v="200720"/>
    <m/>
    <n v="1528800"/>
  </r>
  <r>
    <x v="127"/>
    <x v="6"/>
    <m/>
    <x v="1"/>
    <m/>
    <n v="1"/>
    <x v="2"/>
    <x v="4"/>
    <n v="200720"/>
    <m/>
    <n v="2000"/>
  </r>
  <r>
    <x v="128"/>
    <x v="2"/>
    <m/>
    <x v="1"/>
    <m/>
    <n v="12"/>
    <x v="0"/>
    <x v="3"/>
    <n v="200720"/>
    <m/>
    <n v="705600"/>
  </r>
  <r>
    <x v="128"/>
    <x v="2"/>
    <m/>
    <x v="1"/>
    <m/>
    <n v="2"/>
    <x v="0"/>
    <x v="10"/>
    <n v="200720"/>
    <m/>
    <n v="189600"/>
  </r>
  <r>
    <x v="128"/>
    <x v="2"/>
    <m/>
    <x v="1"/>
    <m/>
    <n v="164"/>
    <x v="0"/>
    <x v="2"/>
    <n v="200720"/>
    <m/>
    <n v="5576000"/>
  </r>
  <r>
    <x v="128"/>
    <x v="2"/>
    <m/>
    <x v="1"/>
    <m/>
    <n v="45"/>
    <x v="0"/>
    <x v="8"/>
    <n v="200720"/>
    <m/>
    <n v="2646000"/>
  </r>
  <r>
    <x v="128"/>
    <x v="2"/>
    <m/>
    <x v="1"/>
    <m/>
    <n v="2"/>
    <x v="2"/>
    <x v="4"/>
    <n v="200720"/>
    <m/>
    <n v="4000"/>
  </r>
  <r>
    <x v="129"/>
    <x v="3"/>
    <m/>
    <x v="1"/>
    <m/>
    <n v="15"/>
    <x v="0"/>
    <x v="3"/>
    <n v="200720"/>
    <m/>
    <n v="882000"/>
  </r>
  <r>
    <x v="129"/>
    <x v="3"/>
    <m/>
    <x v="1"/>
    <m/>
    <n v="245"/>
    <x v="0"/>
    <x v="2"/>
    <n v="200720"/>
    <m/>
    <n v="8330000"/>
  </r>
  <r>
    <x v="129"/>
    <x v="3"/>
    <m/>
    <x v="1"/>
    <m/>
    <n v="67"/>
    <x v="0"/>
    <x v="8"/>
    <n v="200720"/>
    <m/>
    <n v="3939600"/>
  </r>
  <r>
    <x v="129"/>
    <x v="3"/>
    <m/>
    <x v="1"/>
    <m/>
    <n v="3"/>
    <x v="2"/>
    <x v="4"/>
    <n v="200720"/>
    <m/>
    <n v="6000"/>
  </r>
  <r>
    <x v="130"/>
    <x v="4"/>
    <m/>
    <x v="1"/>
    <m/>
    <n v="24"/>
    <x v="0"/>
    <x v="3"/>
    <n v="200720"/>
    <m/>
    <n v="1411200"/>
  </r>
  <r>
    <x v="130"/>
    <x v="4"/>
    <m/>
    <x v="1"/>
    <m/>
    <n v="259"/>
    <x v="0"/>
    <x v="2"/>
    <n v="200720"/>
    <m/>
    <n v="8806000"/>
  </r>
  <r>
    <x v="130"/>
    <x v="4"/>
    <m/>
    <x v="1"/>
    <m/>
    <n v="57"/>
    <x v="0"/>
    <x v="8"/>
    <n v="200720"/>
    <m/>
    <n v="3351600"/>
  </r>
  <r>
    <x v="130"/>
    <x v="4"/>
    <m/>
    <x v="1"/>
    <m/>
    <n v="3"/>
    <x v="0"/>
    <x v="1"/>
    <n v="200720"/>
    <m/>
    <n v="102000"/>
  </r>
  <r>
    <x v="130"/>
    <x v="4"/>
    <m/>
    <x v="1"/>
    <m/>
    <n v="4"/>
    <x v="2"/>
    <x v="4"/>
    <n v="200720"/>
    <m/>
    <n v="8000"/>
  </r>
  <r>
    <x v="131"/>
    <x v="0"/>
    <m/>
    <x v="1"/>
    <m/>
    <n v="16"/>
    <x v="0"/>
    <x v="3"/>
    <n v="200720"/>
    <m/>
    <n v="940800"/>
  </r>
  <r>
    <x v="131"/>
    <x v="0"/>
    <m/>
    <x v="1"/>
    <m/>
    <n v="1"/>
    <x v="0"/>
    <x v="10"/>
    <n v="200720"/>
    <m/>
    <n v="94800"/>
  </r>
  <r>
    <x v="131"/>
    <x v="0"/>
    <m/>
    <x v="1"/>
    <m/>
    <n v="243"/>
    <x v="0"/>
    <x v="2"/>
    <n v="200720"/>
    <m/>
    <n v="8262000"/>
  </r>
  <r>
    <x v="131"/>
    <x v="0"/>
    <m/>
    <x v="1"/>
    <m/>
    <n v="58"/>
    <x v="0"/>
    <x v="8"/>
    <n v="200720"/>
    <m/>
    <n v="3410400"/>
  </r>
  <r>
    <x v="131"/>
    <x v="0"/>
    <m/>
    <x v="1"/>
    <m/>
    <n v="2"/>
    <x v="0"/>
    <x v="1"/>
    <n v="200720"/>
    <m/>
    <n v="68000"/>
  </r>
  <r>
    <x v="131"/>
    <x v="0"/>
    <m/>
    <x v="1"/>
    <m/>
    <n v="7"/>
    <x v="2"/>
    <x v="4"/>
    <n v="200720"/>
    <m/>
    <n v="14000"/>
  </r>
  <r>
    <x v="132"/>
    <x v="1"/>
    <m/>
    <x v="1"/>
    <m/>
    <n v="17"/>
    <x v="0"/>
    <x v="3"/>
    <n v="200720"/>
    <m/>
    <n v="999600"/>
  </r>
  <r>
    <x v="132"/>
    <x v="1"/>
    <m/>
    <x v="1"/>
    <m/>
    <n v="272"/>
    <x v="0"/>
    <x v="2"/>
    <n v="200720"/>
    <m/>
    <n v="9248000"/>
  </r>
  <r>
    <x v="132"/>
    <x v="1"/>
    <m/>
    <x v="1"/>
    <m/>
    <n v="51"/>
    <x v="0"/>
    <x v="8"/>
    <n v="200720"/>
    <m/>
    <n v="2998800"/>
  </r>
  <r>
    <x v="132"/>
    <x v="1"/>
    <m/>
    <x v="1"/>
    <m/>
    <n v="2"/>
    <x v="0"/>
    <x v="1"/>
    <n v="200720"/>
    <m/>
    <n v="68000"/>
  </r>
  <r>
    <x v="132"/>
    <x v="1"/>
    <m/>
    <x v="1"/>
    <m/>
    <n v="9"/>
    <x v="2"/>
    <x v="4"/>
    <n v="200720"/>
    <m/>
    <n v="18000"/>
  </r>
  <r>
    <x v="133"/>
    <x v="5"/>
    <m/>
    <x v="1"/>
    <m/>
    <n v="19"/>
    <x v="0"/>
    <x v="3"/>
    <n v="200720"/>
    <m/>
    <n v="1117200"/>
  </r>
  <r>
    <x v="133"/>
    <x v="5"/>
    <m/>
    <x v="1"/>
    <m/>
    <n v="236"/>
    <x v="0"/>
    <x v="2"/>
    <n v="200720"/>
    <m/>
    <n v="8024000"/>
  </r>
  <r>
    <x v="133"/>
    <x v="5"/>
    <m/>
    <x v="1"/>
    <m/>
    <n v="54"/>
    <x v="0"/>
    <x v="8"/>
    <n v="200720"/>
    <m/>
    <n v="3175200"/>
  </r>
  <r>
    <x v="133"/>
    <x v="5"/>
    <m/>
    <x v="1"/>
    <m/>
    <n v="1"/>
    <x v="0"/>
    <x v="1"/>
    <n v="200720"/>
    <m/>
    <n v="34000"/>
  </r>
  <r>
    <x v="133"/>
    <x v="5"/>
    <m/>
    <x v="1"/>
    <m/>
    <n v="1"/>
    <x v="0"/>
    <x v="9"/>
    <n v="200720"/>
    <m/>
    <n v="58800"/>
  </r>
  <r>
    <x v="133"/>
    <x v="5"/>
    <m/>
    <x v="1"/>
    <m/>
    <n v="4"/>
    <x v="2"/>
    <x v="4"/>
    <n v="200720"/>
    <m/>
    <n v="8000"/>
  </r>
  <r>
    <x v="134"/>
    <x v="6"/>
    <m/>
    <x v="1"/>
    <m/>
    <n v="17"/>
    <x v="0"/>
    <x v="3"/>
    <n v="200720"/>
    <m/>
    <n v="999600"/>
  </r>
  <r>
    <x v="134"/>
    <x v="6"/>
    <m/>
    <x v="1"/>
    <m/>
    <n v="200"/>
    <x v="0"/>
    <x v="2"/>
    <n v="200720"/>
    <m/>
    <n v="6800000"/>
  </r>
  <r>
    <x v="134"/>
    <x v="6"/>
    <m/>
    <x v="1"/>
    <m/>
    <n v="54"/>
    <x v="0"/>
    <x v="8"/>
    <n v="200720"/>
    <m/>
    <n v="3175200"/>
  </r>
  <r>
    <x v="134"/>
    <x v="6"/>
    <m/>
    <x v="1"/>
    <m/>
    <n v="1"/>
    <x v="0"/>
    <x v="1"/>
    <n v="200720"/>
    <m/>
    <n v="34000"/>
  </r>
  <r>
    <x v="134"/>
    <x v="6"/>
    <m/>
    <x v="1"/>
    <m/>
    <n v="6"/>
    <x v="2"/>
    <x v="4"/>
    <n v="200720"/>
    <m/>
    <n v="12000"/>
  </r>
  <r>
    <x v="135"/>
    <x v="2"/>
    <m/>
    <x v="1"/>
    <m/>
    <n v="22"/>
    <x v="0"/>
    <x v="3"/>
    <n v="200720"/>
    <m/>
    <n v="1293600"/>
  </r>
  <r>
    <x v="135"/>
    <x v="2"/>
    <m/>
    <x v="1"/>
    <m/>
    <n v="181"/>
    <x v="0"/>
    <x v="2"/>
    <n v="200720"/>
    <m/>
    <n v="6154000"/>
  </r>
  <r>
    <x v="135"/>
    <x v="2"/>
    <m/>
    <x v="1"/>
    <m/>
    <n v="54"/>
    <x v="0"/>
    <x v="8"/>
    <n v="200720"/>
    <m/>
    <n v="3175200"/>
  </r>
  <r>
    <x v="135"/>
    <x v="2"/>
    <m/>
    <x v="1"/>
    <m/>
    <n v="2"/>
    <x v="0"/>
    <x v="9"/>
    <n v="200720"/>
    <m/>
    <n v="117600"/>
  </r>
  <r>
    <x v="135"/>
    <x v="2"/>
    <m/>
    <x v="1"/>
    <m/>
    <n v="6"/>
    <x v="2"/>
    <x v="4"/>
    <n v="200720"/>
    <m/>
    <n v="12000"/>
  </r>
  <r>
    <x v="136"/>
    <x v="3"/>
    <m/>
    <x v="2"/>
    <m/>
    <n v="1"/>
    <x v="0"/>
    <x v="2"/>
    <n v="200520"/>
    <m/>
    <n v="0"/>
  </r>
  <r>
    <x v="136"/>
    <x v="3"/>
    <m/>
    <x v="1"/>
    <m/>
    <n v="10"/>
    <x v="0"/>
    <x v="3"/>
    <n v="200720"/>
    <m/>
    <n v="588000"/>
  </r>
  <r>
    <x v="136"/>
    <x v="3"/>
    <m/>
    <x v="1"/>
    <m/>
    <n v="1"/>
    <x v="0"/>
    <x v="10"/>
    <n v="200720"/>
    <m/>
    <n v="94800"/>
  </r>
  <r>
    <x v="136"/>
    <x v="3"/>
    <m/>
    <x v="1"/>
    <m/>
    <n v="189"/>
    <x v="0"/>
    <x v="2"/>
    <n v="200720"/>
    <m/>
    <n v="6426000"/>
  </r>
  <r>
    <x v="136"/>
    <x v="3"/>
    <m/>
    <x v="1"/>
    <m/>
    <n v="63"/>
    <x v="0"/>
    <x v="8"/>
    <n v="200720"/>
    <m/>
    <n v="3704400"/>
  </r>
  <r>
    <x v="136"/>
    <x v="3"/>
    <m/>
    <x v="1"/>
    <m/>
    <n v="2"/>
    <x v="0"/>
    <x v="1"/>
    <n v="200720"/>
    <m/>
    <n v="68000"/>
  </r>
  <r>
    <x v="136"/>
    <x v="3"/>
    <m/>
    <x v="1"/>
    <m/>
    <n v="1"/>
    <x v="0"/>
    <x v="9"/>
    <n v="200720"/>
    <m/>
    <n v="58800"/>
  </r>
  <r>
    <x v="136"/>
    <x v="3"/>
    <m/>
    <x v="1"/>
    <m/>
    <n v="4"/>
    <x v="2"/>
    <x v="4"/>
    <n v="200720"/>
    <m/>
    <n v="8000"/>
  </r>
  <r>
    <x v="137"/>
    <x v="4"/>
    <m/>
    <x v="1"/>
    <m/>
    <n v="15"/>
    <x v="0"/>
    <x v="3"/>
    <n v="200720"/>
    <m/>
    <n v="882000"/>
  </r>
  <r>
    <x v="137"/>
    <x v="4"/>
    <m/>
    <x v="1"/>
    <m/>
    <n v="143"/>
    <x v="0"/>
    <x v="2"/>
    <n v="200720"/>
    <m/>
    <n v="4862000"/>
  </r>
  <r>
    <x v="137"/>
    <x v="4"/>
    <m/>
    <x v="1"/>
    <m/>
    <n v="36"/>
    <x v="0"/>
    <x v="8"/>
    <n v="200720"/>
    <m/>
    <n v="2116800"/>
  </r>
  <r>
    <x v="137"/>
    <x v="4"/>
    <m/>
    <x v="1"/>
    <m/>
    <n v="4"/>
    <x v="2"/>
    <x v="4"/>
    <n v="200720"/>
    <m/>
    <n v="8000"/>
  </r>
  <r>
    <x v="138"/>
    <x v="0"/>
    <m/>
    <x v="1"/>
    <m/>
    <n v="20"/>
    <x v="0"/>
    <x v="3"/>
    <n v="200720"/>
    <m/>
    <n v="1176000"/>
  </r>
  <r>
    <x v="138"/>
    <x v="0"/>
    <m/>
    <x v="1"/>
    <m/>
    <n v="201"/>
    <x v="0"/>
    <x v="2"/>
    <n v="200720"/>
    <m/>
    <n v="6834000"/>
  </r>
  <r>
    <x v="138"/>
    <x v="0"/>
    <m/>
    <x v="1"/>
    <m/>
    <n v="49"/>
    <x v="0"/>
    <x v="8"/>
    <n v="200720"/>
    <m/>
    <n v="2881200"/>
  </r>
  <r>
    <x v="138"/>
    <x v="0"/>
    <m/>
    <x v="1"/>
    <m/>
    <n v="2"/>
    <x v="0"/>
    <x v="1"/>
    <n v="200720"/>
    <m/>
    <n v="68000"/>
  </r>
  <r>
    <x v="138"/>
    <x v="0"/>
    <m/>
    <x v="1"/>
    <m/>
    <n v="1"/>
    <x v="0"/>
    <x v="9"/>
    <n v="200720"/>
    <m/>
    <n v="58800"/>
  </r>
  <r>
    <x v="138"/>
    <x v="0"/>
    <m/>
    <x v="1"/>
    <m/>
    <n v="5"/>
    <x v="2"/>
    <x v="4"/>
    <n v="200720"/>
    <m/>
    <n v="10000"/>
  </r>
  <r>
    <x v="139"/>
    <x v="1"/>
    <m/>
    <x v="1"/>
    <m/>
    <n v="11"/>
    <x v="0"/>
    <x v="3"/>
    <n v="200720"/>
    <m/>
    <n v="646800"/>
  </r>
  <r>
    <x v="139"/>
    <x v="1"/>
    <m/>
    <x v="1"/>
    <m/>
    <n v="212"/>
    <x v="0"/>
    <x v="2"/>
    <n v="200720"/>
    <m/>
    <n v="7208000"/>
  </r>
  <r>
    <x v="139"/>
    <x v="1"/>
    <m/>
    <x v="1"/>
    <m/>
    <n v="54"/>
    <x v="0"/>
    <x v="8"/>
    <n v="200720"/>
    <m/>
    <n v="3175200"/>
  </r>
  <r>
    <x v="139"/>
    <x v="1"/>
    <m/>
    <x v="1"/>
    <m/>
    <n v="1"/>
    <x v="0"/>
    <x v="1"/>
    <n v="200720"/>
    <m/>
    <n v="34000"/>
  </r>
  <r>
    <x v="139"/>
    <x v="1"/>
    <m/>
    <x v="1"/>
    <m/>
    <n v="1"/>
    <x v="0"/>
    <x v="9"/>
    <n v="200720"/>
    <m/>
    <n v="58800"/>
  </r>
  <r>
    <x v="139"/>
    <x v="1"/>
    <m/>
    <x v="1"/>
    <m/>
    <n v="4"/>
    <x v="2"/>
    <x v="4"/>
    <n v="200720"/>
    <m/>
    <n v="8000"/>
  </r>
  <r>
    <x v="140"/>
    <x v="5"/>
    <m/>
    <x v="1"/>
    <m/>
    <n v="19"/>
    <x v="0"/>
    <x v="3"/>
    <n v="200720"/>
    <m/>
    <n v="1117200"/>
  </r>
  <r>
    <x v="140"/>
    <x v="5"/>
    <m/>
    <x v="1"/>
    <m/>
    <n v="257"/>
    <x v="0"/>
    <x v="2"/>
    <n v="200720"/>
    <m/>
    <n v="8738000"/>
  </r>
  <r>
    <x v="140"/>
    <x v="5"/>
    <m/>
    <x v="1"/>
    <m/>
    <n v="52"/>
    <x v="0"/>
    <x v="8"/>
    <n v="200720"/>
    <m/>
    <n v="3057600"/>
  </r>
  <r>
    <x v="140"/>
    <x v="5"/>
    <m/>
    <x v="1"/>
    <m/>
    <n v="3"/>
    <x v="0"/>
    <x v="1"/>
    <n v="200720"/>
    <m/>
    <n v="102000"/>
  </r>
  <r>
    <x v="140"/>
    <x v="5"/>
    <m/>
    <x v="1"/>
    <m/>
    <n v="10"/>
    <x v="2"/>
    <x v="4"/>
    <n v="200720"/>
    <m/>
    <n v="20000"/>
  </r>
  <r>
    <x v="141"/>
    <x v="6"/>
    <m/>
    <x v="1"/>
    <m/>
    <n v="17"/>
    <x v="0"/>
    <x v="3"/>
    <n v="200720"/>
    <m/>
    <n v="999600"/>
  </r>
  <r>
    <x v="141"/>
    <x v="6"/>
    <m/>
    <x v="1"/>
    <m/>
    <n v="205"/>
    <x v="0"/>
    <x v="2"/>
    <n v="200720"/>
    <m/>
    <n v="6970000"/>
  </r>
  <r>
    <x v="141"/>
    <x v="6"/>
    <m/>
    <x v="1"/>
    <m/>
    <n v="49"/>
    <x v="0"/>
    <x v="8"/>
    <n v="200720"/>
    <m/>
    <n v="2881200"/>
  </r>
  <r>
    <x v="141"/>
    <x v="6"/>
    <m/>
    <x v="1"/>
    <m/>
    <n v="5"/>
    <x v="2"/>
    <x v="4"/>
    <n v="200720"/>
    <m/>
    <n v="10000"/>
  </r>
  <r>
    <x v="142"/>
    <x v="2"/>
    <m/>
    <x v="1"/>
    <m/>
    <n v="13"/>
    <x v="0"/>
    <x v="3"/>
    <n v="200720"/>
    <m/>
    <n v="764400"/>
  </r>
  <r>
    <x v="142"/>
    <x v="2"/>
    <m/>
    <x v="1"/>
    <m/>
    <n v="220"/>
    <x v="0"/>
    <x v="2"/>
    <n v="200720"/>
    <m/>
    <n v="7480000"/>
  </r>
  <r>
    <x v="142"/>
    <x v="2"/>
    <m/>
    <x v="1"/>
    <m/>
    <n v="54"/>
    <x v="0"/>
    <x v="8"/>
    <n v="200720"/>
    <m/>
    <n v="3175200"/>
  </r>
  <r>
    <x v="142"/>
    <x v="2"/>
    <m/>
    <x v="1"/>
    <m/>
    <n v="2"/>
    <x v="0"/>
    <x v="1"/>
    <n v="200720"/>
    <m/>
    <n v="68000"/>
  </r>
  <r>
    <x v="142"/>
    <x v="2"/>
    <m/>
    <x v="1"/>
    <m/>
    <n v="8"/>
    <x v="2"/>
    <x v="4"/>
    <n v="200720"/>
    <m/>
    <n v="16000"/>
  </r>
  <r>
    <x v="143"/>
    <x v="3"/>
    <m/>
    <x v="1"/>
    <m/>
    <n v="21"/>
    <x v="0"/>
    <x v="3"/>
    <n v="200720"/>
    <m/>
    <n v="1234800"/>
  </r>
  <r>
    <x v="143"/>
    <x v="3"/>
    <m/>
    <x v="1"/>
    <m/>
    <n v="247"/>
    <x v="0"/>
    <x v="2"/>
    <n v="200720"/>
    <m/>
    <n v="8398000"/>
  </r>
  <r>
    <x v="143"/>
    <x v="3"/>
    <m/>
    <x v="1"/>
    <m/>
    <n v="48"/>
    <x v="0"/>
    <x v="8"/>
    <n v="200720"/>
    <m/>
    <n v="2822400"/>
  </r>
  <r>
    <x v="143"/>
    <x v="3"/>
    <m/>
    <x v="1"/>
    <m/>
    <n v="2"/>
    <x v="0"/>
    <x v="1"/>
    <n v="200720"/>
    <m/>
    <n v="68000"/>
  </r>
  <r>
    <x v="143"/>
    <x v="3"/>
    <m/>
    <x v="1"/>
    <m/>
    <n v="4"/>
    <x v="2"/>
    <x v="4"/>
    <n v="200720"/>
    <m/>
    <n v="8000"/>
  </r>
  <r>
    <x v="144"/>
    <x v="4"/>
    <m/>
    <x v="1"/>
    <m/>
    <n v="19"/>
    <x v="0"/>
    <x v="3"/>
    <n v="200720"/>
    <m/>
    <n v="1117200"/>
  </r>
  <r>
    <x v="144"/>
    <x v="4"/>
    <m/>
    <x v="1"/>
    <m/>
    <n v="2"/>
    <x v="0"/>
    <x v="10"/>
    <n v="200720"/>
    <m/>
    <n v="189600"/>
  </r>
  <r>
    <x v="144"/>
    <x v="4"/>
    <m/>
    <x v="1"/>
    <m/>
    <n v="197"/>
    <x v="0"/>
    <x v="2"/>
    <n v="200720"/>
    <m/>
    <n v="6698000"/>
  </r>
  <r>
    <x v="144"/>
    <x v="4"/>
    <m/>
    <x v="1"/>
    <m/>
    <n v="56"/>
    <x v="0"/>
    <x v="8"/>
    <n v="200720"/>
    <m/>
    <n v="3292800"/>
  </r>
  <r>
    <x v="144"/>
    <x v="4"/>
    <m/>
    <x v="1"/>
    <m/>
    <n v="5"/>
    <x v="0"/>
    <x v="1"/>
    <n v="200720"/>
    <m/>
    <n v="170000"/>
  </r>
  <r>
    <x v="144"/>
    <x v="4"/>
    <m/>
    <x v="1"/>
    <m/>
    <n v="6"/>
    <x v="2"/>
    <x v="4"/>
    <n v="200720"/>
    <m/>
    <n v="12000"/>
  </r>
  <r>
    <x v="145"/>
    <x v="0"/>
    <m/>
    <x v="1"/>
    <m/>
    <n v="17"/>
    <x v="0"/>
    <x v="3"/>
    <n v="200720"/>
    <m/>
    <n v="999600"/>
  </r>
  <r>
    <x v="145"/>
    <x v="0"/>
    <m/>
    <x v="1"/>
    <m/>
    <n v="188"/>
    <x v="0"/>
    <x v="2"/>
    <n v="200720"/>
    <m/>
    <n v="6392000"/>
  </r>
  <r>
    <x v="145"/>
    <x v="0"/>
    <m/>
    <x v="1"/>
    <m/>
    <n v="56"/>
    <x v="0"/>
    <x v="8"/>
    <n v="200720"/>
    <m/>
    <n v="3292800"/>
  </r>
  <r>
    <x v="145"/>
    <x v="0"/>
    <m/>
    <x v="1"/>
    <m/>
    <n v="3"/>
    <x v="0"/>
    <x v="1"/>
    <n v="200720"/>
    <m/>
    <n v="102000"/>
  </r>
  <r>
    <x v="145"/>
    <x v="0"/>
    <m/>
    <x v="1"/>
    <m/>
    <n v="6"/>
    <x v="2"/>
    <x v="4"/>
    <n v="200720"/>
    <m/>
    <n v="12000"/>
  </r>
  <r>
    <x v="146"/>
    <x v="1"/>
    <m/>
    <x v="1"/>
    <m/>
    <n v="19"/>
    <x v="0"/>
    <x v="3"/>
    <n v="200720"/>
    <m/>
    <n v="1117200"/>
  </r>
  <r>
    <x v="146"/>
    <x v="1"/>
    <m/>
    <x v="1"/>
    <m/>
    <n v="241"/>
    <x v="0"/>
    <x v="2"/>
    <n v="200720"/>
    <m/>
    <n v="8194000"/>
  </r>
  <r>
    <x v="146"/>
    <x v="1"/>
    <m/>
    <x v="1"/>
    <m/>
    <n v="64"/>
    <x v="0"/>
    <x v="8"/>
    <n v="200720"/>
    <m/>
    <n v="3763200"/>
  </r>
  <r>
    <x v="146"/>
    <x v="1"/>
    <m/>
    <x v="1"/>
    <m/>
    <n v="1"/>
    <x v="0"/>
    <x v="9"/>
    <n v="200720"/>
    <m/>
    <n v="58800"/>
  </r>
  <r>
    <x v="146"/>
    <x v="1"/>
    <m/>
    <x v="1"/>
    <m/>
    <n v="4"/>
    <x v="2"/>
    <x v="4"/>
    <n v="200720"/>
    <m/>
    <n v="8000"/>
  </r>
  <r>
    <x v="147"/>
    <x v="5"/>
    <m/>
    <x v="1"/>
    <m/>
    <n v="16"/>
    <x v="0"/>
    <x v="3"/>
    <n v="200720"/>
    <m/>
    <n v="940800"/>
  </r>
  <r>
    <x v="147"/>
    <x v="5"/>
    <m/>
    <x v="1"/>
    <m/>
    <n v="220"/>
    <x v="0"/>
    <x v="2"/>
    <n v="200720"/>
    <m/>
    <n v="7480000"/>
  </r>
  <r>
    <x v="147"/>
    <x v="5"/>
    <m/>
    <x v="1"/>
    <m/>
    <n v="66"/>
    <x v="0"/>
    <x v="8"/>
    <n v="200720"/>
    <m/>
    <n v="3880800"/>
  </r>
  <r>
    <x v="147"/>
    <x v="5"/>
    <m/>
    <x v="1"/>
    <m/>
    <n v="2"/>
    <x v="0"/>
    <x v="1"/>
    <n v="200720"/>
    <m/>
    <n v="68000"/>
  </r>
  <r>
    <x v="147"/>
    <x v="5"/>
    <m/>
    <x v="1"/>
    <m/>
    <n v="7"/>
    <x v="2"/>
    <x v="4"/>
    <n v="200720"/>
    <m/>
    <n v="14000"/>
  </r>
  <r>
    <x v="148"/>
    <x v="6"/>
    <m/>
    <x v="1"/>
    <m/>
    <n v="14"/>
    <x v="0"/>
    <x v="3"/>
    <n v="200720"/>
    <m/>
    <n v="823200"/>
  </r>
  <r>
    <x v="148"/>
    <x v="6"/>
    <m/>
    <x v="1"/>
    <m/>
    <n v="226"/>
    <x v="0"/>
    <x v="2"/>
    <n v="200720"/>
    <m/>
    <n v="7684000"/>
  </r>
  <r>
    <x v="148"/>
    <x v="6"/>
    <m/>
    <x v="1"/>
    <m/>
    <n v="52"/>
    <x v="0"/>
    <x v="8"/>
    <n v="200720"/>
    <m/>
    <n v="3057600"/>
  </r>
  <r>
    <x v="148"/>
    <x v="6"/>
    <m/>
    <x v="1"/>
    <m/>
    <n v="3"/>
    <x v="0"/>
    <x v="1"/>
    <n v="200720"/>
    <m/>
    <n v="102000"/>
  </r>
  <r>
    <x v="148"/>
    <x v="6"/>
    <m/>
    <x v="1"/>
    <m/>
    <n v="5"/>
    <x v="2"/>
    <x v="4"/>
    <n v="200720"/>
    <m/>
    <n v="10000"/>
  </r>
  <r>
    <x v="149"/>
    <x v="2"/>
    <m/>
    <x v="1"/>
    <m/>
    <n v="16"/>
    <x v="0"/>
    <x v="3"/>
    <n v="200720"/>
    <m/>
    <n v="940800"/>
  </r>
  <r>
    <x v="149"/>
    <x v="2"/>
    <m/>
    <x v="1"/>
    <m/>
    <n v="224"/>
    <x v="0"/>
    <x v="2"/>
    <n v="200720"/>
    <m/>
    <n v="7616000"/>
  </r>
  <r>
    <x v="149"/>
    <x v="2"/>
    <m/>
    <x v="1"/>
    <m/>
    <n v="55"/>
    <x v="0"/>
    <x v="8"/>
    <n v="200720"/>
    <m/>
    <n v="3234000"/>
  </r>
  <r>
    <x v="149"/>
    <x v="2"/>
    <m/>
    <x v="1"/>
    <m/>
    <n v="4"/>
    <x v="0"/>
    <x v="1"/>
    <n v="200720"/>
    <m/>
    <n v="136000"/>
  </r>
  <r>
    <x v="149"/>
    <x v="2"/>
    <m/>
    <x v="1"/>
    <m/>
    <n v="7"/>
    <x v="2"/>
    <x v="4"/>
    <n v="200720"/>
    <m/>
    <n v="14000"/>
  </r>
  <r>
    <x v="150"/>
    <x v="3"/>
    <m/>
    <x v="1"/>
    <m/>
    <n v="16"/>
    <x v="0"/>
    <x v="3"/>
    <n v="200720"/>
    <m/>
    <n v="940800"/>
  </r>
  <r>
    <x v="150"/>
    <x v="3"/>
    <m/>
    <x v="1"/>
    <m/>
    <n v="203"/>
    <x v="0"/>
    <x v="2"/>
    <n v="200720"/>
    <m/>
    <n v="6902000"/>
  </r>
  <r>
    <x v="150"/>
    <x v="3"/>
    <m/>
    <x v="1"/>
    <m/>
    <n v="61"/>
    <x v="0"/>
    <x v="8"/>
    <n v="200720"/>
    <m/>
    <n v="3586800"/>
  </r>
  <r>
    <x v="150"/>
    <x v="3"/>
    <m/>
    <x v="1"/>
    <m/>
    <n v="1"/>
    <x v="0"/>
    <x v="1"/>
    <n v="200720"/>
    <m/>
    <n v="34000"/>
  </r>
  <r>
    <x v="150"/>
    <x v="3"/>
    <m/>
    <x v="1"/>
    <m/>
    <n v="5"/>
    <x v="2"/>
    <x v="4"/>
    <n v="200720"/>
    <m/>
    <n v="10000"/>
  </r>
  <r>
    <x v="151"/>
    <x v="4"/>
    <m/>
    <x v="1"/>
    <m/>
    <n v="14"/>
    <x v="0"/>
    <x v="3"/>
    <n v="200720"/>
    <m/>
    <n v="823200"/>
  </r>
  <r>
    <x v="151"/>
    <x v="4"/>
    <m/>
    <x v="1"/>
    <m/>
    <n v="218"/>
    <x v="0"/>
    <x v="2"/>
    <n v="200720"/>
    <m/>
    <n v="7412000"/>
  </r>
  <r>
    <x v="151"/>
    <x v="4"/>
    <m/>
    <x v="1"/>
    <m/>
    <n v="73"/>
    <x v="0"/>
    <x v="8"/>
    <n v="200720"/>
    <m/>
    <n v="4292400"/>
  </r>
  <r>
    <x v="151"/>
    <x v="4"/>
    <m/>
    <x v="1"/>
    <m/>
    <n v="1"/>
    <x v="0"/>
    <x v="1"/>
    <n v="200720"/>
    <m/>
    <n v="34000"/>
  </r>
  <r>
    <x v="151"/>
    <x v="4"/>
    <m/>
    <x v="1"/>
    <m/>
    <n v="2"/>
    <x v="0"/>
    <x v="9"/>
    <n v="200720"/>
    <m/>
    <n v="117600"/>
  </r>
  <r>
    <x v="151"/>
    <x v="4"/>
    <m/>
    <x v="1"/>
    <m/>
    <n v="3"/>
    <x v="2"/>
    <x v="4"/>
    <n v="200720"/>
    <m/>
    <n v="6000"/>
  </r>
  <r>
    <x v="152"/>
    <x v="0"/>
    <m/>
    <x v="1"/>
    <m/>
    <n v="21"/>
    <x v="0"/>
    <x v="3"/>
    <n v="200720"/>
    <m/>
    <n v="1234800"/>
  </r>
  <r>
    <x v="152"/>
    <x v="0"/>
    <m/>
    <x v="1"/>
    <m/>
    <n v="219"/>
    <x v="0"/>
    <x v="2"/>
    <n v="200720"/>
    <m/>
    <n v="7446000"/>
  </r>
  <r>
    <x v="152"/>
    <x v="0"/>
    <m/>
    <x v="1"/>
    <m/>
    <n v="55"/>
    <x v="0"/>
    <x v="8"/>
    <n v="200720"/>
    <m/>
    <n v="3234000"/>
  </r>
  <r>
    <x v="152"/>
    <x v="0"/>
    <m/>
    <x v="1"/>
    <m/>
    <n v="7"/>
    <x v="0"/>
    <x v="1"/>
    <n v="200720"/>
    <m/>
    <n v="238000"/>
  </r>
  <r>
    <x v="152"/>
    <x v="0"/>
    <m/>
    <x v="1"/>
    <m/>
    <n v="9"/>
    <x v="2"/>
    <x v="4"/>
    <n v="200720"/>
    <m/>
    <n v="18000"/>
  </r>
  <r>
    <x v="153"/>
    <x v="1"/>
    <m/>
    <x v="1"/>
    <m/>
    <n v="15"/>
    <x v="0"/>
    <x v="3"/>
    <n v="200720"/>
    <m/>
    <n v="882000"/>
  </r>
  <r>
    <x v="153"/>
    <x v="1"/>
    <m/>
    <x v="1"/>
    <m/>
    <n v="224"/>
    <x v="0"/>
    <x v="2"/>
    <n v="200720"/>
    <m/>
    <n v="7616000"/>
  </r>
  <r>
    <x v="153"/>
    <x v="1"/>
    <m/>
    <x v="1"/>
    <m/>
    <n v="66"/>
    <x v="0"/>
    <x v="8"/>
    <n v="200720"/>
    <m/>
    <n v="3880800"/>
  </r>
  <r>
    <x v="153"/>
    <x v="1"/>
    <m/>
    <x v="1"/>
    <m/>
    <n v="4"/>
    <x v="0"/>
    <x v="1"/>
    <n v="200720"/>
    <m/>
    <n v="136000"/>
  </r>
  <r>
    <x v="153"/>
    <x v="1"/>
    <m/>
    <x v="1"/>
    <m/>
    <n v="2"/>
    <x v="0"/>
    <x v="9"/>
    <n v="200720"/>
    <m/>
    <n v="117600"/>
  </r>
  <r>
    <x v="153"/>
    <x v="1"/>
    <m/>
    <x v="1"/>
    <m/>
    <n v="10"/>
    <x v="2"/>
    <x v="4"/>
    <n v="200720"/>
    <m/>
    <n v="20000"/>
  </r>
  <r>
    <x v="154"/>
    <x v="5"/>
    <m/>
    <x v="1"/>
    <m/>
    <n v="10"/>
    <x v="0"/>
    <x v="3"/>
    <n v="200720"/>
    <m/>
    <n v="588000"/>
  </r>
  <r>
    <x v="154"/>
    <x v="5"/>
    <m/>
    <x v="1"/>
    <m/>
    <n v="236"/>
    <x v="0"/>
    <x v="2"/>
    <n v="200720"/>
    <m/>
    <n v="8024000"/>
  </r>
  <r>
    <x v="154"/>
    <x v="5"/>
    <m/>
    <x v="1"/>
    <m/>
    <n v="67"/>
    <x v="0"/>
    <x v="8"/>
    <n v="200720"/>
    <m/>
    <n v="3939600"/>
  </r>
  <r>
    <x v="154"/>
    <x v="5"/>
    <m/>
    <x v="1"/>
    <m/>
    <n v="2"/>
    <x v="0"/>
    <x v="1"/>
    <n v="200720"/>
    <m/>
    <n v="68000"/>
  </r>
  <r>
    <x v="154"/>
    <x v="5"/>
    <m/>
    <x v="1"/>
    <m/>
    <n v="9"/>
    <x v="2"/>
    <x v="4"/>
    <n v="200720"/>
    <m/>
    <n v="18000"/>
  </r>
  <r>
    <x v="155"/>
    <x v="6"/>
    <m/>
    <x v="1"/>
    <m/>
    <n v="20"/>
    <x v="0"/>
    <x v="3"/>
    <n v="200720"/>
    <m/>
    <n v="1176000"/>
  </r>
  <r>
    <x v="155"/>
    <x v="6"/>
    <m/>
    <x v="1"/>
    <m/>
    <n v="228"/>
    <x v="0"/>
    <x v="2"/>
    <n v="200720"/>
    <m/>
    <n v="7752000"/>
  </r>
  <r>
    <x v="155"/>
    <x v="6"/>
    <m/>
    <x v="1"/>
    <m/>
    <n v="59"/>
    <x v="0"/>
    <x v="8"/>
    <n v="200720"/>
    <m/>
    <n v="3469200"/>
  </r>
  <r>
    <x v="155"/>
    <x v="6"/>
    <m/>
    <x v="1"/>
    <m/>
    <n v="3"/>
    <x v="0"/>
    <x v="1"/>
    <n v="200720"/>
    <m/>
    <n v="102000"/>
  </r>
  <r>
    <x v="155"/>
    <x v="6"/>
    <m/>
    <x v="1"/>
    <m/>
    <n v="1"/>
    <x v="0"/>
    <x v="9"/>
    <n v="200720"/>
    <m/>
    <n v="58800"/>
  </r>
  <r>
    <x v="155"/>
    <x v="6"/>
    <m/>
    <x v="1"/>
    <m/>
    <n v="7"/>
    <x v="2"/>
    <x v="4"/>
    <n v="200720"/>
    <m/>
    <n v="14000"/>
  </r>
  <r>
    <x v="156"/>
    <x v="2"/>
    <m/>
    <x v="1"/>
    <m/>
    <n v="17"/>
    <x v="0"/>
    <x v="3"/>
    <n v="200720"/>
    <m/>
    <n v="999600"/>
  </r>
  <r>
    <x v="156"/>
    <x v="2"/>
    <m/>
    <x v="1"/>
    <m/>
    <n v="216"/>
    <x v="0"/>
    <x v="2"/>
    <n v="200720"/>
    <m/>
    <n v="7344000"/>
  </r>
  <r>
    <x v="156"/>
    <x v="2"/>
    <m/>
    <x v="1"/>
    <m/>
    <n v="56"/>
    <x v="0"/>
    <x v="8"/>
    <n v="200720"/>
    <m/>
    <n v="3292800"/>
  </r>
  <r>
    <x v="156"/>
    <x v="2"/>
    <m/>
    <x v="1"/>
    <m/>
    <n v="4"/>
    <x v="0"/>
    <x v="1"/>
    <n v="200720"/>
    <m/>
    <n v="136000"/>
  </r>
  <r>
    <x v="156"/>
    <x v="2"/>
    <m/>
    <x v="1"/>
    <m/>
    <n v="3"/>
    <x v="2"/>
    <x v="4"/>
    <n v="200720"/>
    <m/>
    <n v="6000"/>
  </r>
  <r>
    <x v="157"/>
    <x v="3"/>
    <m/>
    <x v="2"/>
    <m/>
    <n v="5"/>
    <x v="0"/>
    <x v="2"/>
    <n v="200520"/>
    <m/>
    <n v="0"/>
  </r>
  <r>
    <x v="157"/>
    <x v="3"/>
    <m/>
    <x v="2"/>
    <m/>
    <n v="5"/>
    <x v="0"/>
    <x v="1"/>
    <n v="200520"/>
    <m/>
    <n v="0"/>
  </r>
  <r>
    <x v="157"/>
    <x v="3"/>
    <m/>
    <x v="2"/>
    <m/>
    <n v="5"/>
    <x v="2"/>
    <x v="4"/>
    <n v="200520"/>
    <m/>
    <n v="0"/>
  </r>
  <r>
    <x v="157"/>
    <x v="3"/>
    <m/>
    <x v="1"/>
    <m/>
    <n v="25"/>
    <x v="0"/>
    <x v="3"/>
    <n v="200720"/>
    <m/>
    <n v="1470000"/>
  </r>
  <r>
    <x v="157"/>
    <x v="3"/>
    <m/>
    <x v="1"/>
    <m/>
    <n v="1"/>
    <x v="0"/>
    <x v="10"/>
    <n v="200720"/>
    <m/>
    <n v="94800"/>
  </r>
  <r>
    <x v="157"/>
    <x v="3"/>
    <m/>
    <x v="1"/>
    <m/>
    <n v="253"/>
    <x v="0"/>
    <x v="2"/>
    <n v="200720"/>
    <m/>
    <n v="8602000"/>
  </r>
  <r>
    <x v="157"/>
    <x v="3"/>
    <m/>
    <x v="1"/>
    <m/>
    <n v="59"/>
    <x v="0"/>
    <x v="8"/>
    <n v="200720"/>
    <m/>
    <n v="3469200"/>
  </r>
  <r>
    <x v="157"/>
    <x v="3"/>
    <m/>
    <x v="1"/>
    <m/>
    <n v="1"/>
    <x v="0"/>
    <x v="1"/>
    <n v="200720"/>
    <m/>
    <n v="34000"/>
  </r>
  <r>
    <x v="157"/>
    <x v="3"/>
    <m/>
    <x v="1"/>
    <m/>
    <n v="6"/>
    <x v="2"/>
    <x v="4"/>
    <n v="200720"/>
    <m/>
    <n v="12000"/>
  </r>
  <r>
    <x v="158"/>
    <x v="4"/>
    <m/>
    <x v="1"/>
    <m/>
    <n v="10"/>
    <x v="0"/>
    <x v="3"/>
    <n v="200720"/>
    <m/>
    <n v="588000"/>
  </r>
  <r>
    <x v="158"/>
    <x v="4"/>
    <m/>
    <x v="1"/>
    <m/>
    <n v="1"/>
    <x v="0"/>
    <x v="10"/>
    <n v="200720"/>
    <m/>
    <n v="94800"/>
  </r>
  <r>
    <x v="158"/>
    <x v="4"/>
    <m/>
    <x v="1"/>
    <m/>
    <n v="214"/>
    <x v="0"/>
    <x v="2"/>
    <n v="200720"/>
    <m/>
    <n v="7276000"/>
  </r>
  <r>
    <x v="158"/>
    <x v="4"/>
    <m/>
    <x v="1"/>
    <m/>
    <n v="65"/>
    <x v="0"/>
    <x v="8"/>
    <n v="200720"/>
    <m/>
    <n v="3822000"/>
  </r>
  <r>
    <x v="158"/>
    <x v="4"/>
    <m/>
    <x v="1"/>
    <m/>
    <n v="4"/>
    <x v="0"/>
    <x v="1"/>
    <n v="200720"/>
    <m/>
    <n v="136000"/>
  </r>
  <r>
    <x v="158"/>
    <x v="4"/>
    <m/>
    <x v="1"/>
    <m/>
    <n v="7"/>
    <x v="2"/>
    <x v="4"/>
    <n v="200720"/>
    <m/>
    <n v="14000"/>
  </r>
  <r>
    <x v="159"/>
    <x v="0"/>
    <m/>
    <x v="2"/>
    <m/>
    <n v="2"/>
    <x v="0"/>
    <x v="2"/>
    <n v="200520"/>
    <m/>
    <n v="0"/>
  </r>
  <r>
    <x v="159"/>
    <x v="0"/>
    <m/>
    <x v="1"/>
    <m/>
    <n v="13"/>
    <x v="0"/>
    <x v="3"/>
    <n v="200720"/>
    <m/>
    <n v="764400"/>
  </r>
  <r>
    <x v="159"/>
    <x v="0"/>
    <m/>
    <x v="1"/>
    <m/>
    <n v="206"/>
    <x v="0"/>
    <x v="2"/>
    <n v="200720"/>
    <m/>
    <n v="7004000"/>
  </r>
  <r>
    <x v="159"/>
    <x v="0"/>
    <m/>
    <x v="1"/>
    <m/>
    <n v="54"/>
    <x v="0"/>
    <x v="8"/>
    <n v="200720"/>
    <m/>
    <n v="3175200"/>
  </r>
  <r>
    <x v="159"/>
    <x v="0"/>
    <m/>
    <x v="1"/>
    <m/>
    <n v="1"/>
    <x v="2"/>
    <x v="4"/>
    <n v="200720"/>
    <m/>
    <n v="2000"/>
  </r>
  <r>
    <x v="160"/>
    <x v="1"/>
    <m/>
    <x v="1"/>
    <m/>
    <n v="17"/>
    <x v="0"/>
    <x v="3"/>
    <n v="200720"/>
    <m/>
    <n v="999600"/>
  </r>
  <r>
    <x v="160"/>
    <x v="1"/>
    <m/>
    <x v="1"/>
    <m/>
    <n v="243"/>
    <x v="0"/>
    <x v="2"/>
    <n v="200720"/>
    <m/>
    <n v="8262000"/>
  </r>
  <r>
    <x v="160"/>
    <x v="1"/>
    <m/>
    <x v="1"/>
    <m/>
    <n v="59"/>
    <x v="0"/>
    <x v="8"/>
    <n v="200720"/>
    <m/>
    <n v="3469200"/>
  </r>
  <r>
    <x v="160"/>
    <x v="1"/>
    <m/>
    <x v="1"/>
    <m/>
    <n v="2"/>
    <x v="0"/>
    <x v="1"/>
    <n v="200720"/>
    <m/>
    <n v="68000"/>
  </r>
  <r>
    <x v="160"/>
    <x v="1"/>
    <m/>
    <x v="1"/>
    <m/>
    <n v="1"/>
    <x v="0"/>
    <x v="9"/>
    <n v="200720"/>
    <m/>
    <n v="58800"/>
  </r>
  <r>
    <x v="160"/>
    <x v="1"/>
    <m/>
    <x v="1"/>
    <m/>
    <n v="8"/>
    <x v="2"/>
    <x v="4"/>
    <n v="200720"/>
    <m/>
    <n v="16000"/>
  </r>
  <r>
    <x v="161"/>
    <x v="5"/>
    <m/>
    <x v="1"/>
    <m/>
    <n v="14"/>
    <x v="0"/>
    <x v="3"/>
    <n v="200720"/>
    <m/>
    <n v="823200"/>
  </r>
  <r>
    <x v="161"/>
    <x v="5"/>
    <m/>
    <x v="1"/>
    <m/>
    <n v="291"/>
    <x v="0"/>
    <x v="2"/>
    <n v="200720"/>
    <m/>
    <n v="9894000"/>
  </r>
  <r>
    <x v="161"/>
    <x v="5"/>
    <m/>
    <x v="1"/>
    <m/>
    <n v="71"/>
    <x v="0"/>
    <x v="8"/>
    <n v="200720"/>
    <m/>
    <n v="4174800"/>
  </r>
  <r>
    <x v="161"/>
    <x v="5"/>
    <m/>
    <x v="1"/>
    <m/>
    <n v="1"/>
    <x v="0"/>
    <x v="1"/>
    <n v="200720"/>
    <m/>
    <n v="34000"/>
  </r>
  <r>
    <x v="161"/>
    <x v="5"/>
    <m/>
    <x v="1"/>
    <m/>
    <n v="7"/>
    <x v="2"/>
    <x v="4"/>
    <n v="200720"/>
    <m/>
    <n v="14000"/>
  </r>
  <r>
    <x v="162"/>
    <x v="6"/>
    <m/>
    <x v="1"/>
    <m/>
    <n v="17"/>
    <x v="0"/>
    <x v="3"/>
    <n v="200720"/>
    <m/>
    <n v="999600"/>
  </r>
  <r>
    <x v="162"/>
    <x v="6"/>
    <m/>
    <x v="1"/>
    <m/>
    <n v="267"/>
    <x v="0"/>
    <x v="2"/>
    <n v="200720"/>
    <m/>
    <n v="9078000"/>
  </r>
  <r>
    <x v="162"/>
    <x v="6"/>
    <m/>
    <x v="1"/>
    <m/>
    <n v="66"/>
    <x v="0"/>
    <x v="8"/>
    <n v="200720"/>
    <m/>
    <n v="3880800"/>
  </r>
  <r>
    <x v="162"/>
    <x v="6"/>
    <m/>
    <x v="1"/>
    <m/>
    <n v="3"/>
    <x v="0"/>
    <x v="1"/>
    <n v="200720"/>
    <m/>
    <n v="102000"/>
  </r>
  <r>
    <x v="162"/>
    <x v="6"/>
    <m/>
    <x v="1"/>
    <m/>
    <n v="1"/>
    <x v="0"/>
    <x v="9"/>
    <n v="200720"/>
    <m/>
    <n v="58800"/>
  </r>
  <r>
    <x v="162"/>
    <x v="6"/>
    <m/>
    <x v="1"/>
    <m/>
    <n v="10"/>
    <x v="2"/>
    <x v="4"/>
    <n v="200720"/>
    <m/>
    <n v="20000"/>
  </r>
  <r>
    <x v="163"/>
    <x v="2"/>
    <m/>
    <x v="1"/>
    <m/>
    <n v="25"/>
    <x v="0"/>
    <x v="3"/>
    <n v="200720"/>
    <m/>
    <n v="1470000"/>
  </r>
  <r>
    <x v="163"/>
    <x v="2"/>
    <m/>
    <x v="1"/>
    <m/>
    <n v="270"/>
    <x v="0"/>
    <x v="2"/>
    <n v="200720"/>
    <m/>
    <n v="9180000"/>
  </r>
  <r>
    <x v="163"/>
    <x v="2"/>
    <m/>
    <x v="1"/>
    <m/>
    <n v="83"/>
    <x v="0"/>
    <x v="8"/>
    <n v="200720"/>
    <m/>
    <n v="4880400"/>
  </r>
  <r>
    <x v="163"/>
    <x v="2"/>
    <m/>
    <x v="1"/>
    <m/>
    <n v="3"/>
    <x v="0"/>
    <x v="1"/>
    <n v="200720"/>
    <m/>
    <n v="102000"/>
  </r>
  <r>
    <x v="163"/>
    <x v="2"/>
    <m/>
    <x v="1"/>
    <m/>
    <n v="1"/>
    <x v="0"/>
    <x v="9"/>
    <n v="200720"/>
    <m/>
    <n v="58800"/>
  </r>
  <r>
    <x v="163"/>
    <x v="2"/>
    <m/>
    <x v="1"/>
    <m/>
    <n v="6"/>
    <x v="2"/>
    <x v="4"/>
    <n v="200720"/>
    <m/>
    <n v="12000"/>
  </r>
  <r>
    <x v="164"/>
    <x v="3"/>
    <m/>
    <x v="1"/>
    <m/>
    <n v="19"/>
    <x v="0"/>
    <x v="3"/>
    <n v="200720"/>
    <m/>
    <n v="1117200"/>
  </r>
  <r>
    <x v="164"/>
    <x v="3"/>
    <m/>
    <x v="1"/>
    <m/>
    <n v="260"/>
    <x v="0"/>
    <x v="2"/>
    <n v="200720"/>
    <m/>
    <n v="8840000"/>
  </r>
  <r>
    <x v="164"/>
    <x v="3"/>
    <m/>
    <x v="1"/>
    <m/>
    <n v="70"/>
    <x v="0"/>
    <x v="8"/>
    <n v="200720"/>
    <m/>
    <n v="4116000"/>
  </r>
  <r>
    <x v="164"/>
    <x v="3"/>
    <m/>
    <x v="1"/>
    <m/>
    <n v="3"/>
    <x v="0"/>
    <x v="1"/>
    <n v="200720"/>
    <m/>
    <n v="102000"/>
  </r>
  <r>
    <x v="164"/>
    <x v="3"/>
    <m/>
    <x v="1"/>
    <m/>
    <n v="2"/>
    <x v="0"/>
    <x v="9"/>
    <n v="200720"/>
    <m/>
    <n v="117600"/>
  </r>
  <r>
    <x v="164"/>
    <x v="3"/>
    <m/>
    <x v="1"/>
    <m/>
    <n v="9"/>
    <x v="2"/>
    <x v="4"/>
    <n v="200720"/>
    <m/>
    <n v="18000"/>
  </r>
  <r>
    <x v="165"/>
    <x v="4"/>
    <m/>
    <x v="1"/>
    <m/>
    <n v="15"/>
    <x v="0"/>
    <x v="3"/>
    <n v="200720"/>
    <m/>
    <n v="882000"/>
  </r>
  <r>
    <x v="165"/>
    <x v="4"/>
    <m/>
    <x v="1"/>
    <m/>
    <n v="258"/>
    <x v="0"/>
    <x v="2"/>
    <n v="200720"/>
    <m/>
    <n v="8772000"/>
  </r>
  <r>
    <x v="165"/>
    <x v="4"/>
    <m/>
    <x v="1"/>
    <m/>
    <n v="61"/>
    <x v="0"/>
    <x v="8"/>
    <n v="200720"/>
    <m/>
    <n v="3586800"/>
  </r>
  <r>
    <x v="165"/>
    <x v="4"/>
    <m/>
    <x v="1"/>
    <m/>
    <n v="1"/>
    <x v="0"/>
    <x v="1"/>
    <n v="200720"/>
    <m/>
    <n v="34000"/>
  </r>
  <r>
    <x v="165"/>
    <x v="4"/>
    <m/>
    <x v="1"/>
    <m/>
    <n v="2"/>
    <x v="0"/>
    <x v="9"/>
    <n v="200720"/>
    <m/>
    <n v="117600"/>
  </r>
  <r>
    <x v="165"/>
    <x v="4"/>
    <m/>
    <x v="1"/>
    <m/>
    <n v="2"/>
    <x v="2"/>
    <x v="4"/>
    <n v="200720"/>
    <m/>
    <n v="4000"/>
  </r>
  <r>
    <x v="166"/>
    <x v="0"/>
    <m/>
    <x v="1"/>
    <m/>
    <n v="19"/>
    <x v="0"/>
    <x v="3"/>
    <n v="200720"/>
    <m/>
    <n v="1117200"/>
  </r>
  <r>
    <x v="166"/>
    <x v="0"/>
    <m/>
    <x v="1"/>
    <m/>
    <n v="230"/>
    <x v="0"/>
    <x v="2"/>
    <n v="200720"/>
    <m/>
    <n v="7820000"/>
  </r>
  <r>
    <x v="166"/>
    <x v="0"/>
    <m/>
    <x v="1"/>
    <m/>
    <n v="77"/>
    <x v="0"/>
    <x v="8"/>
    <n v="200720"/>
    <m/>
    <n v="4527600"/>
  </r>
  <r>
    <x v="166"/>
    <x v="0"/>
    <m/>
    <x v="1"/>
    <m/>
    <n v="2"/>
    <x v="0"/>
    <x v="1"/>
    <n v="200720"/>
    <m/>
    <n v="68000"/>
  </r>
  <r>
    <x v="166"/>
    <x v="0"/>
    <m/>
    <x v="1"/>
    <m/>
    <n v="1"/>
    <x v="0"/>
    <x v="9"/>
    <n v="200720"/>
    <m/>
    <n v="58800"/>
  </r>
  <r>
    <x v="166"/>
    <x v="0"/>
    <m/>
    <x v="1"/>
    <m/>
    <n v="7"/>
    <x v="2"/>
    <x v="4"/>
    <n v="200720"/>
    <m/>
    <n v="14000"/>
  </r>
  <r>
    <x v="167"/>
    <x v="1"/>
    <m/>
    <x v="1"/>
    <m/>
    <n v="23"/>
    <x v="0"/>
    <x v="3"/>
    <n v="200720"/>
    <m/>
    <n v="1352400"/>
  </r>
  <r>
    <x v="167"/>
    <x v="1"/>
    <m/>
    <x v="1"/>
    <m/>
    <n v="280"/>
    <x v="0"/>
    <x v="2"/>
    <n v="200720"/>
    <m/>
    <n v="9520000"/>
  </r>
  <r>
    <x v="167"/>
    <x v="1"/>
    <m/>
    <x v="1"/>
    <m/>
    <n v="75"/>
    <x v="0"/>
    <x v="8"/>
    <n v="200720"/>
    <m/>
    <n v="4410000"/>
  </r>
  <r>
    <x v="167"/>
    <x v="1"/>
    <m/>
    <x v="1"/>
    <m/>
    <n v="4"/>
    <x v="0"/>
    <x v="9"/>
    <n v="200720"/>
    <m/>
    <n v="235200"/>
  </r>
  <r>
    <x v="167"/>
    <x v="1"/>
    <m/>
    <x v="1"/>
    <m/>
    <n v="8"/>
    <x v="2"/>
    <x v="4"/>
    <n v="200720"/>
    <m/>
    <n v="16000"/>
  </r>
  <r>
    <x v="168"/>
    <x v="5"/>
    <m/>
    <x v="1"/>
    <m/>
    <n v="19"/>
    <x v="0"/>
    <x v="3"/>
    <n v="200720"/>
    <m/>
    <n v="1117200"/>
  </r>
  <r>
    <x v="168"/>
    <x v="5"/>
    <m/>
    <x v="1"/>
    <m/>
    <n v="1"/>
    <x v="0"/>
    <x v="10"/>
    <n v="200720"/>
    <m/>
    <n v="94800"/>
  </r>
  <r>
    <x v="168"/>
    <x v="5"/>
    <m/>
    <x v="1"/>
    <m/>
    <n v="255"/>
    <x v="0"/>
    <x v="2"/>
    <n v="200720"/>
    <m/>
    <n v="8670000"/>
  </r>
  <r>
    <x v="168"/>
    <x v="5"/>
    <m/>
    <x v="1"/>
    <m/>
    <n v="76"/>
    <x v="0"/>
    <x v="8"/>
    <n v="200720"/>
    <m/>
    <n v="4468800"/>
  </r>
  <r>
    <x v="168"/>
    <x v="5"/>
    <m/>
    <x v="1"/>
    <m/>
    <n v="2"/>
    <x v="0"/>
    <x v="1"/>
    <n v="200720"/>
    <m/>
    <n v="68000"/>
  </r>
  <r>
    <x v="168"/>
    <x v="5"/>
    <m/>
    <x v="1"/>
    <m/>
    <n v="1"/>
    <x v="0"/>
    <x v="9"/>
    <n v="200720"/>
    <m/>
    <n v="58800"/>
  </r>
  <r>
    <x v="168"/>
    <x v="5"/>
    <m/>
    <x v="1"/>
    <m/>
    <n v="9"/>
    <x v="2"/>
    <x v="4"/>
    <n v="200720"/>
    <m/>
    <n v="18000"/>
  </r>
  <r>
    <x v="169"/>
    <x v="6"/>
    <m/>
    <x v="1"/>
    <m/>
    <n v="22"/>
    <x v="0"/>
    <x v="3"/>
    <n v="200720"/>
    <m/>
    <n v="1293600"/>
  </r>
  <r>
    <x v="169"/>
    <x v="6"/>
    <m/>
    <x v="1"/>
    <m/>
    <n v="237"/>
    <x v="0"/>
    <x v="2"/>
    <n v="200720"/>
    <m/>
    <n v="8058000"/>
  </r>
  <r>
    <x v="169"/>
    <x v="6"/>
    <m/>
    <x v="1"/>
    <m/>
    <n v="47"/>
    <x v="0"/>
    <x v="8"/>
    <n v="200720"/>
    <m/>
    <n v="2763600"/>
  </r>
  <r>
    <x v="169"/>
    <x v="6"/>
    <m/>
    <x v="1"/>
    <m/>
    <n v="1"/>
    <x v="0"/>
    <x v="9"/>
    <n v="200720"/>
    <m/>
    <n v="58800"/>
  </r>
  <r>
    <x v="169"/>
    <x v="6"/>
    <m/>
    <x v="1"/>
    <m/>
    <n v="3"/>
    <x v="2"/>
    <x v="4"/>
    <n v="200720"/>
    <m/>
    <n v="6000"/>
  </r>
  <r>
    <x v="170"/>
    <x v="2"/>
    <m/>
    <x v="1"/>
    <m/>
    <n v="27"/>
    <x v="0"/>
    <x v="3"/>
    <n v="200720"/>
    <m/>
    <n v="1587600"/>
  </r>
  <r>
    <x v="170"/>
    <x v="2"/>
    <m/>
    <x v="1"/>
    <m/>
    <n v="1"/>
    <x v="0"/>
    <x v="10"/>
    <n v="200720"/>
    <m/>
    <n v="94800"/>
  </r>
  <r>
    <x v="170"/>
    <x v="2"/>
    <m/>
    <x v="1"/>
    <m/>
    <n v="250"/>
    <x v="0"/>
    <x v="2"/>
    <n v="200720"/>
    <m/>
    <n v="8500000"/>
  </r>
  <r>
    <x v="170"/>
    <x v="2"/>
    <m/>
    <x v="1"/>
    <m/>
    <n v="68"/>
    <x v="0"/>
    <x v="8"/>
    <n v="200720"/>
    <m/>
    <n v="3998400"/>
  </r>
  <r>
    <x v="170"/>
    <x v="2"/>
    <m/>
    <x v="1"/>
    <m/>
    <n v="1"/>
    <x v="0"/>
    <x v="1"/>
    <n v="200720"/>
    <m/>
    <n v="34000"/>
  </r>
  <r>
    <x v="170"/>
    <x v="2"/>
    <m/>
    <x v="1"/>
    <m/>
    <n v="12"/>
    <x v="2"/>
    <x v="4"/>
    <n v="200720"/>
    <m/>
    <n v="24000"/>
  </r>
  <r>
    <x v="171"/>
    <x v="3"/>
    <m/>
    <x v="1"/>
    <m/>
    <n v="35"/>
    <x v="0"/>
    <x v="3"/>
    <n v="200720"/>
    <m/>
    <n v="2058000"/>
  </r>
  <r>
    <x v="171"/>
    <x v="3"/>
    <m/>
    <x v="1"/>
    <m/>
    <n v="294"/>
    <x v="0"/>
    <x v="2"/>
    <n v="200720"/>
    <m/>
    <n v="9996000"/>
  </r>
  <r>
    <x v="171"/>
    <x v="3"/>
    <m/>
    <x v="1"/>
    <m/>
    <n v="83"/>
    <x v="0"/>
    <x v="8"/>
    <n v="200720"/>
    <m/>
    <n v="4880400"/>
  </r>
  <r>
    <x v="171"/>
    <x v="3"/>
    <m/>
    <x v="1"/>
    <m/>
    <n v="1"/>
    <x v="0"/>
    <x v="1"/>
    <n v="200720"/>
    <m/>
    <n v="34000"/>
  </r>
  <r>
    <x v="171"/>
    <x v="3"/>
    <m/>
    <x v="1"/>
    <m/>
    <n v="7"/>
    <x v="2"/>
    <x v="4"/>
    <n v="200720"/>
    <m/>
    <n v="14000"/>
  </r>
  <r>
    <x v="172"/>
    <x v="4"/>
    <m/>
    <x v="1"/>
    <m/>
    <n v="22"/>
    <x v="0"/>
    <x v="3"/>
    <n v="200720"/>
    <m/>
    <n v="1293600"/>
  </r>
  <r>
    <x v="172"/>
    <x v="4"/>
    <m/>
    <x v="1"/>
    <m/>
    <n v="264"/>
    <x v="0"/>
    <x v="2"/>
    <n v="200720"/>
    <m/>
    <n v="8976000"/>
  </r>
  <r>
    <x v="172"/>
    <x v="4"/>
    <m/>
    <x v="1"/>
    <m/>
    <n v="75"/>
    <x v="0"/>
    <x v="8"/>
    <n v="200720"/>
    <m/>
    <n v="4410000"/>
  </r>
  <r>
    <x v="172"/>
    <x v="4"/>
    <m/>
    <x v="1"/>
    <m/>
    <n v="3"/>
    <x v="0"/>
    <x v="1"/>
    <n v="200720"/>
    <m/>
    <n v="102000"/>
  </r>
  <r>
    <x v="172"/>
    <x v="4"/>
    <m/>
    <x v="1"/>
    <m/>
    <n v="8"/>
    <x v="2"/>
    <x v="4"/>
    <n v="200720"/>
    <m/>
    <n v="16000"/>
  </r>
  <r>
    <x v="172"/>
    <x v="4"/>
    <m/>
    <x v="2"/>
    <m/>
    <n v="3"/>
    <x v="0"/>
    <x v="1"/>
    <n v="200520"/>
    <m/>
    <n v="0"/>
  </r>
  <r>
    <x v="173"/>
    <x v="0"/>
    <m/>
    <x v="2"/>
    <m/>
    <n v="3"/>
    <x v="0"/>
    <x v="2"/>
    <n v="200520"/>
    <m/>
    <n v="0"/>
  </r>
  <r>
    <x v="173"/>
    <x v="0"/>
    <m/>
    <x v="1"/>
    <m/>
    <n v="20"/>
    <x v="0"/>
    <x v="3"/>
    <n v="200720"/>
    <m/>
    <n v="1176000"/>
  </r>
  <r>
    <x v="173"/>
    <x v="0"/>
    <m/>
    <x v="1"/>
    <m/>
    <n v="1"/>
    <x v="0"/>
    <x v="10"/>
    <n v="200720"/>
    <m/>
    <n v="94800"/>
  </r>
  <r>
    <x v="173"/>
    <x v="0"/>
    <m/>
    <x v="1"/>
    <m/>
    <n v="227"/>
    <x v="0"/>
    <x v="2"/>
    <n v="200720"/>
    <m/>
    <n v="7718000"/>
  </r>
  <r>
    <x v="173"/>
    <x v="0"/>
    <m/>
    <x v="1"/>
    <m/>
    <n v="83"/>
    <x v="0"/>
    <x v="8"/>
    <n v="200720"/>
    <m/>
    <n v="4880400"/>
  </r>
  <r>
    <x v="173"/>
    <x v="0"/>
    <m/>
    <x v="1"/>
    <m/>
    <n v="1"/>
    <x v="0"/>
    <x v="1"/>
    <n v="200720"/>
    <m/>
    <n v="34000"/>
  </r>
  <r>
    <x v="173"/>
    <x v="0"/>
    <m/>
    <x v="1"/>
    <m/>
    <n v="1"/>
    <x v="0"/>
    <x v="9"/>
    <n v="200720"/>
    <m/>
    <n v="58800"/>
  </r>
  <r>
    <x v="173"/>
    <x v="0"/>
    <m/>
    <x v="1"/>
    <m/>
    <n v="1"/>
    <x v="2"/>
    <x v="4"/>
    <n v="200720"/>
    <m/>
    <n v="2000"/>
  </r>
  <r>
    <x v="174"/>
    <x v="1"/>
    <m/>
    <x v="1"/>
    <m/>
    <n v="28"/>
    <x v="0"/>
    <x v="3"/>
    <n v="200720"/>
    <m/>
    <n v="1646400"/>
  </r>
  <r>
    <x v="174"/>
    <x v="1"/>
    <m/>
    <x v="1"/>
    <m/>
    <n v="293"/>
    <x v="0"/>
    <x v="2"/>
    <n v="200720"/>
    <m/>
    <n v="9962000"/>
  </r>
  <r>
    <x v="174"/>
    <x v="1"/>
    <m/>
    <x v="1"/>
    <m/>
    <n v="81"/>
    <x v="0"/>
    <x v="8"/>
    <n v="200720"/>
    <m/>
    <n v="4762800"/>
  </r>
  <r>
    <x v="174"/>
    <x v="1"/>
    <m/>
    <x v="1"/>
    <m/>
    <n v="10"/>
    <x v="0"/>
    <x v="1"/>
    <n v="200720"/>
    <m/>
    <n v="340000"/>
  </r>
  <r>
    <x v="174"/>
    <x v="1"/>
    <m/>
    <x v="1"/>
    <m/>
    <n v="1"/>
    <x v="0"/>
    <x v="9"/>
    <n v="200720"/>
    <m/>
    <n v="58800"/>
  </r>
  <r>
    <x v="174"/>
    <x v="1"/>
    <m/>
    <x v="1"/>
    <m/>
    <n v="10"/>
    <x v="2"/>
    <x v="4"/>
    <n v="200720"/>
    <m/>
    <n v="20000"/>
  </r>
  <r>
    <x v="175"/>
    <x v="5"/>
    <m/>
    <x v="1"/>
    <m/>
    <n v="18"/>
    <x v="0"/>
    <x v="3"/>
    <n v="200720"/>
    <m/>
    <n v="1058400"/>
  </r>
  <r>
    <x v="175"/>
    <x v="5"/>
    <m/>
    <x v="1"/>
    <m/>
    <n v="1"/>
    <x v="0"/>
    <x v="10"/>
    <n v="200720"/>
    <m/>
    <n v="94800"/>
  </r>
  <r>
    <x v="175"/>
    <x v="5"/>
    <m/>
    <x v="1"/>
    <m/>
    <n v="211"/>
    <x v="0"/>
    <x v="2"/>
    <n v="200720"/>
    <m/>
    <n v="7174000"/>
  </r>
  <r>
    <x v="175"/>
    <x v="5"/>
    <m/>
    <x v="1"/>
    <m/>
    <n v="52"/>
    <x v="0"/>
    <x v="8"/>
    <n v="200720"/>
    <m/>
    <n v="3057600"/>
  </r>
  <r>
    <x v="175"/>
    <x v="5"/>
    <m/>
    <x v="1"/>
    <m/>
    <n v="6"/>
    <x v="0"/>
    <x v="1"/>
    <n v="200720"/>
    <m/>
    <n v="204000"/>
  </r>
  <r>
    <x v="175"/>
    <x v="5"/>
    <m/>
    <x v="1"/>
    <m/>
    <n v="6"/>
    <x v="2"/>
    <x v="4"/>
    <n v="200720"/>
    <m/>
    <n v="12000"/>
  </r>
  <r>
    <x v="176"/>
    <x v="6"/>
    <m/>
    <x v="2"/>
    <m/>
    <n v="1"/>
    <x v="0"/>
    <x v="2"/>
    <n v="200520"/>
    <m/>
    <n v="0"/>
  </r>
  <r>
    <x v="176"/>
    <x v="6"/>
    <m/>
    <x v="1"/>
    <m/>
    <n v="18"/>
    <x v="0"/>
    <x v="3"/>
    <n v="200720"/>
    <m/>
    <n v="1058400"/>
  </r>
  <r>
    <x v="176"/>
    <x v="6"/>
    <m/>
    <x v="1"/>
    <m/>
    <n v="152"/>
    <x v="0"/>
    <x v="2"/>
    <n v="200720"/>
    <m/>
    <n v="5168000"/>
  </r>
  <r>
    <x v="176"/>
    <x v="6"/>
    <m/>
    <x v="1"/>
    <m/>
    <n v="56"/>
    <x v="0"/>
    <x v="8"/>
    <n v="200720"/>
    <m/>
    <n v="3292800"/>
  </r>
  <r>
    <x v="176"/>
    <x v="6"/>
    <m/>
    <x v="1"/>
    <m/>
    <n v="1"/>
    <x v="0"/>
    <x v="1"/>
    <n v="200720"/>
    <m/>
    <n v="34000"/>
  </r>
  <r>
    <x v="176"/>
    <x v="6"/>
    <m/>
    <x v="1"/>
    <m/>
    <n v="4"/>
    <x v="0"/>
    <x v="9"/>
    <n v="200720"/>
    <m/>
    <n v="235200"/>
  </r>
  <r>
    <x v="176"/>
    <x v="6"/>
    <m/>
    <x v="1"/>
    <m/>
    <n v="7"/>
    <x v="2"/>
    <x v="4"/>
    <n v="200720"/>
    <m/>
    <n v="14000"/>
  </r>
  <r>
    <x v="177"/>
    <x v="2"/>
    <m/>
    <x v="1"/>
    <m/>
    <n v="20"/>
    <x v="0"/>
    <x v="3"/>
    <n v="200720"/>
    <m/>
    <n v="1176000"/>
  </r>
  <r>
    <x v="177"/>
    <x v="2"/>
    <m/>
    <x v="1"/>
    <m/>
    <n v="1"/>
    <x v="0"/>
    <x v="10"/>
    <n v="200720"/>
    <m/>
    <n v="94800"/>
  </r>
  <r>
    <x v="177"/>
    <x v="2"/>
    <m/>
    <x v="1"/>
    <m/>
    <n v="198"/>
    <x v="0"/>
    <x v="2"/>
    <n v="200720"/>
    <m/>
    <n v="6732000"/>
  </r>
  <r>
    <x v="177"/>
    <x v="2"/>
    <m/>
    <x v="1"/>
    <m/>
    <n v="82"/>
    <x v="0"/>
    <x v="8"/>
    <n v="200720"/>
    <m/>
    <n v="4821600"/>
  </r>
  <r>
    <x v="177"/>
    <x v="2"/>
    <m/>
    <x v="1"/>
    <m/>
    <n v="5"/>
    <x v="0"/>
    <x v="1"/>
    <n v="200720"/>
    <m/>
    <n v="170000"/>
  </r>
  <r>
    <x v="177"/>
    <x v="2"/>
    <m/>
    <x v="1"/>
    <m/>
    <n v="6"/>
    <x v="2"/>
    <x v="4"/>
    <n v="200720"/>
    <m/>
    <n v="12000"/>
  </r>
  <r>
    <x v="178"/>
    <x v="3"/>
    <m/>
    <x v="1"/>
    <m/>
    <n v="15"/>
    <x v="0"/>
    <x v="3"/>
    <n v="200720"/>
    <m/>
    <n v="882000"/>
  </r>
  <r>
    <x v="178"/>
    <x v="3"/>
    <m/>
    <x v="1"/>
    <m/>
    <n v="1"/>
    <x v="0"/>
    <x v="10"/>
    <n v="200720"/>
    <m/>
    <n v="94800"/>
  </r>
  <r>
    <x v="178"/>
    <x v="3"/>
    <m/>
    <x v="1"/>
    <m/>
    <n v="161"/>
    <x v="0"/>
    <x v="2"/>
    <n v="200720"/>
    <m/>
    <n v="5474000"/>
  </r>
  <r>
    <x v="178"/>
    <x v="3"/>
    <m/>
    <x v="1"/>
    <m/>
    <n v="76"/>
    <x v="0"/>
    <x v="8"/>
    <n v="200720"/>
    <m/>
    <n v="4468800"/>
  </r>
  <r>
    <x v="178"/>
    <x v="3"/>
    <m/>
    <x v="1"/>
    <m/>
    <n v="6"/>
    <x v="0"/>
    <x v="1"/>
    <n v="200720"/>
    <m/>
    <n v="204000"/>
  </r>
  <r>
    <x v="178"/>
    <x v="3"/>
    <m/>
    <x v="1"/>
    <m/>
    <n v="1"/>
    <x v="0"/>
    <x v="9"/>
    <n v="200720"/>
    <m/>
    <n v="58800"/>
  </r>
  <r>
    <x v="178"/>
    <x v="3"/>
    <m/>
    <x v="1"/>
    <m/>
    <n v="6"/>
    <x v="2"/>
    <x v="4"/>
    <n v="200720"/>
    <m/>
    <n v="12000"/>
  </r>
  <r>
    <x v="179"/>
    <x v="4"/>
    <m/>
    <x v="1"/>
    <m/>
    <n v="18"/>
    <x v="0"/>
    <x v="3"/>
    <n v="200720"/>
    <m/>
    <n v="1058400"/>
  </r>
  <r>
    <x v="179"/>
    <x v="4"/>
    <m/>
    <x v="1"/>
    <m/>
    <n v="1"/>
    <x v="0"/>
    <x v="10"/>
    <n v="200720"/>
    <m/>
    <n v="94800"/>
  </r>
  <r>
    <x v="179"/>
    <x v="4"/>
    <m/>
    <x v="1"/>
    <m/>
    <n v="175"/>
    <x v="0"/>
    <x v="2"/>
    <n v="200720"/>
    <m/>
    <n v="5950000"/>
  </r>
  <r>
    <x v="179"/>
    <x v="4"/>
    <m/>
    <x v="1"/>
    <m/>
    <n v="69"/>
    <x v="0"/>
    <x v="8"/>
    <n v="200720"/>
    <m/>
    <n v="4057200"/>
  </r>
  <r>
    <x v="179"/>
    <x v="4"/>
    <m/>
    <x v="1"/>
    <m/>
    <n v="3"/>
    <x v="0"/>
    <x v="1"/>
    <n v="200720"/>
    <m/>
    <n v="102000"/>
  </r>
  <r>
    <x v="179"/>
    <x v="4"/>
    <m/>
    <x v="1"/>
    <m/>
    <n v="6"/>
    <x v="2"/>
    <x v="4"/>
    <n v="200720"/>
    <m/>
    <n v="12000"/>
  </r>
  <r>
    <x v="180"/>
    <x v="0"/>
    <m/>
    <x v="1"/>
    <m/>
    <n v="15"/>
    <x v="0"/>
    <x v="3"/>
    <n v="200720"/>
    <m/>
    <n v="882000"/>
  </r>
  <r>
    <x v="180"/>
    <x v="0"/>
    <m/>
    <x v="1"/>
    <m/>
    <n v="1"/>
    <x v="0"/>
    <x v="10"/>
    <n v="200720"/>
    <m/>
    <n v="94800"/>
  </r>
  <r>
    <x v="180"/>
    <x v="0"/>
    <m/>
    <x v="1"/>
    <m/>
    <n v="168"/>
    <x v="0"/>
    <x v="2"/>
    <n v="200720"/>
    <m/>
    <n v="5712000"/>
  </r>
  <r>
    <x v="180"/>
    <x v="0"/>
    <m/>
    <x v="1"/>
    <m/>
    <n v="87"/>
    <x v="0"/>
    <x v="8"/>
    <n v="200720"/>
    <m/>
    <n v="5115600"/>
  </r>
  <r>
    <x v="180"/>
    <x v="0"/>
    <m/>
    <x v="1"/>
    <m/>
    <n v="3"/>
    <x v="0"/>
    <x v="9"/>
    <n v="200720"/>
    <m/>
    <n v="176400"/>
  </r>
  <r>
    <x v="180"/>
    <x v="0"/>
    <m/>
    <x v="1"/>
    <m/>
    <n v="9"/>
    <x v="2"/>
    <x v="4"/>
    <n v="200720"/>
    <m/>
    <n v="18000"/>
  </r>
  <r>
    <x v="181"/>
    <x v="1"/>
    <m/>
    <x v="1"/>
    <m/>
    <n v="15"/>
    <x v="0"/>
    <x v="3"/>
    <n v="200720"/>
    <m/>
    <n v="882000"/>
  </r>
  <r>
    <x v="181"/>
    <x v="1"/>
    <m/>
    <x v="1"/>
    <m/>
    <n v="1"/>
    <x v="0"/>
    <x v="10"/>
    <n v="200720"/>
    <m/>
    <n v="94800"/>
  </r>
  <r>
    <x v="181"/>
    <x v="1"/>
    <m/>
    <x v="1"/>
    <m/>
    <n v="210"/>
    <x v="0"/>
    <x v="2"/>
    <n v="200720"/>
    <m/>
    <n v="7140000"/>
  </r>
  <r>
    <x v="181"/>
    <x v="1"/>
    <m/>
    <x v="1"/>
    <m/>
    <n v="96"/>
    <x v="0"/>
    <x v="8"/>
    <n v="200720"/>
    <m/>
    <n v="5644800"/>
  </r>
  <r>
    <x v="181"/>
    <x v="1"/>
    <m/>
    <x v="1"/>
    <m/>
    <n v="3"/>
    <x v="0"/>
    <x v="1"/>
    <n v="200720"/>
    <m/>
    <n v="102000"/>
  </r>
  <r>
    <x v="181"/>
    <x v="1"/>
    <m/>
    <x v="1"/>
    <m/>
    <n v="1"/>
    <x v="0"/>
    <x v="9"/>
    <n v="200720"/>
    <m/>
    <n v="58800"/>
  </r>
  <r>
    <x v="181"/>
    <x v="1"/>
    <m/>
    <x v="1"/>
    <m/>
    <n v="5"/>
    <x v="2"/>
    <x v="4"/>
    <n v="200720"/>
    <m/>
    <n v="10000"/>
  </r>
  <r>
    <x v="182"/>
    <x v="5"/>
    <m/>
    <x v="1"/>
    <m/>
    <n v="24"/>
    <x v="0"/>
    <x v="3"/>
    <n v="200720"/>
    <m/>
    <n v="1411200"/>
  </r>
  <r>
    <x v="182"/>
    <x v="5"/>
    <m/>
    <x v="1"/>
    <m/>
    <n v="196"/>
    <x v="0"/>
    <x v="2"/>
    <n v="200720"/>
    <m/>
    <n v="6664000"/>
  </r>
  <r>
    <x v="182"/>
    <x v="5"/>
    <m/>
    <x v="1"/>
    <m/>
    <n v="99"/>
    <x v="0"/>
    <x v="8"/>
    <n v="200720"/>
    <m/>
    <n v="5821200"/>
  </r>
  <r>
    <x v="182"/>
    <x v="5"/>
    <m/>
    <x v="1"/>
    <m/>
    <n v="7"/>
    <x v="0"/>
    <x v="1"/>
    <n v="200720"/>
    <m/>
    <n v="238000"/>
  </r>
  <r>
    <x v="182"/>
    <x v="5"/>
    <m/>
    <x v="1"/>
    <m/>
    <n v="7"/>
    <x v="2"/>
    <x v="4"/>
    <n v="200720"/>
    <m/>
    <n v="14000"/>
  </r>
  <r>
    <x v="183"/>
    <x v="6"/>
    <m/>
    <x v="1"/>
    <m/>
    <n v="12"/>
    <x v="0"/>
    <x v="3"/>
    <n v="200720"/>
    <m/>
    <n v="705600"/>
  </r>
  <r>
    <x v="183"/>
    <x v="6"/>
    <m/>
    <x v="1"/>
    <m/>
    <n v="128"/>
    <x v="0"/>
    <x v="2"/>
    <n v="200720"/>
    <m/>
    <n v="4352000"/>
  </r>
  <r>
    <x v="183"/>
    <x v="6"/>
    <m/>
    <x v="1"/>
    <m/>
    <n v="62"/>
    <x v="0"/>
    <x v="8"/>
    <n v="200720"/>
    <m/>
    <n v="3645600"/>
  </r>
  <r>
    <x v="183"/>
    <x v="6"/>
    <m/>
    <x v="1"/>
    <m/>
    <n v="1"/>
    <x v="0"/>
    <x v="1"/>
    <n v="200720"/>
    <m/>
    <n v="34000"/>
  </r>
  <r>
    <x v="183"/>
    <x v="6"/>
    <m/>
    <x v="1"/>
    <m/>
    <n v="4"/>
    <x v="2"/>
    <x v="4"/>
    <n v="200720"/>
    <m/>
    <n v="8000"/>
  </r>
  <r>
    <x v="184"/>
    <x v="2"/>
    <m/>
    <x v="1"/>
    <m/>
    <n v="11"/>
    <x v="0"/>
    <x v="3"/>
    <n v="200720"/>
    <m/>
    <n v="646800"/>
  </r>
  <r>
    <x v="184"/>
    <x v="2"/>
    <m/>
    <x v="1"/>
    <m/>
    <n v="140"/>
    <x v="0"/>
    <x v="2"/>
    <n v="200720"/>
    <m/>
    <n v="4760000"/>
  </r>
  <r>
    <x v="184"/>
    <x v="2"/>
    <m/>
    <x v="1"/>
    <m/>
    <n v="48"/>
    <x v="0"/>
    <x v="8"/>
    <n v="200720"/>
    <m/>
    <n v="2822400"/>
  </r>
  <r>
    <x v="184"/>
    <x v="2"/>
    <m/>
    <x v="1"/>
    <m/>
    <n v="6"/>
    <x v="0"/>
    <x v="1"/>
    <n v="200720"/>
    <m/>
    <n v="204000"/>
  </r>
  <r>
    <x v="184"/>
    <x v="2"/>
    <m/>
    <x v="1"/>
    <m/>
    <n v="3"/>
    <x v="2"/>
    <x v="4"/>
    <n v="200720"/>
    <m/>
    <n v="6000"/>
  </r>
  <r>
    <x v="185"/>
    <x v="3"/>
    <m/>
    <x v="1"/>
    <m/>
    <n v="21"/>
    <x v="0"/>
    <x v="3"/>
    <n v="200720"/>
    <m/>
    <n v="1234800"/>
  </r>
  <r>
    <x v="185"/>
    <x v="3"/>
    <m/>
    <x v="1"/>
    <m/>
    <n v="119"/>
    <x v="0"/>
    <x v="2"/>
    <n v="200720"/>
    <m/>
    <n v="4046000"/>
  </r>
  <r>
    <x v="185"/>
    <x v="3"/>
    <m/>
    <x v="1"/>
    <m/>
    <n v="51"/>
    <x v="0"/>
    <x v="8"/>
    <n v="200720"/>
    <m/>
    <n v="2998800"/>
  </r>
  <r>
    <x v="185"/>
    <x v="3"/>
    <m/>
    <x v="1"/>
    <m/>
    <n v="3"/>
    <x v="0"/>
    <x v="1"/>
    <n v="200720"/>
    <m/>
    <n v="102000"/>
  </r>
  <r>
    <x v="185"/>
    <x v="3"/>
    <m/>
    <x v="1"/>
    <m/>
    <n v="1"/>
    <x v="2"/>
    <x v="4"/>
    <n v="200720"/>
    <m/>
    <n v="2000"/>
  </r>
  <r>
    <x v="186"/>
    <x v="4"/>
    <m/>
    <x v="1"/>
    <m/>
    <n v="11"/>
    <x v="0"/>
    <x v="3"/>
    <n v="200720"/>
    <m/>
    <n v="646800"/>
  </r>
  <r>
    <x v="186"/>
    <x v="4"/>
    <m/>
    <x v="1"/>
    <m/>
    <n v="138"/>
    <x v="0"/>
    <x v="2"/>
    <n v="200720"/>
    <m/>
    <n v="4692000"/>
  </r>
  <r>
    <x v="186"/>
    <x v="4"/>
    <m/>
    <x v="1"/>
    <m/>
    <n v="43"/>
    <x v="0"/>
    <x v="8"/>
    <n v="200720"/>
    <m/>
    <n v="2528400"/>
  </r>
  <r>
    <x v="186"/>
    <x v="4"/>
    <m/>
    <x v="1"/>
    <m/>
    <n v="2"/>
    <x v="0"/>
    <x v="1"/>
    <n v="200720"/>
    <m/>
    <n v="68000"/>
  </r>
  <r>
    <x v="186"/>
    <x v="4"/>
    <m/>
    <x v="1"/>
    <m/>
    <n v="6"/>
    <x v="2"/>
    <x v="4"/>
    <n v="200720"/>
    <m/>
    <n v="12000"/>
  </r>
  <r>
    <x v="187"/>
    <x v="0"/>
    <m/>
    <x v="1"/>
    <m/>
    <n v="11"/>
    <x v="0"/>
    <x v="3"/>
    <n v="200720"/>
    <m/>
    <n v="646800"/>
  </r>
  <r>
    <x v="187"/>
    <x v="0"/>
    <m/>
    <x v="1"/>
    <m/>
    <n v="2"/>
    <x v="0"/>
    <x v="10"/>
    <n v="200720"/>
    <m/>
    <n v="189600"/>
  </r>
  <r>
    <x v="187"/>
    <x v="0"/>
    <m/>
    <x v="1"/>
    <m/>
    <n v="140"/>
    <x v="0"/>
    <x v="2"/>
    <n v="200720"/>
    <m/>
    <n v="4760000"/>
  </r>
  <r>
    <x v="187"/>
    <x v="0"/>
    <m/>
    <x v="1"/>
    <m/>
    <n v="54"/>
    <x v="0"/>
    <x v="8"/>
    <n v="200720"/>
    <m/>
    <n v="3175200"/>
  </r>
  <r>
    <x v="187"/>
    <x v="0"/>
    <m/>
    <x v="1"/>
    <m/>
    <n v="2"/>
    <x v="0"/>
    <x v="1"/>
    <n v="200720"/>
    <m/>
    <n v="68000"/>
  </r>
  <r>
    <x v="187"/>
    <x v="0"/>
    <m/>
    <x v="1"/>
    <m/>
    <n v="1"/>
    <x v="0"/>
    <x v="9"/>
    <n v="200720"/>
    <m/>
    <n v="58800"/>
  </r>
  <r>
    <x v="187"/>
    <x v="0"/>
    <m/>
    <x v="1"/>
    <m/>
    <n v="7"/>
    <x v="2"/>
    <x v="4"/>
    <n v="200720"/>
    <m/>
    <n v="14000"/>
  </r>
  <r>
    <x v="188"/>
    <x v="1"/>
    <m/>
    <x v="1"/>
    <m/>
    <n v="13"/>
    <x v="0"/>
    <x v="3"/>
    <n v="200720"/>
    <m/>
    <n v="764400"/>
  </r>
  <r>
    <x v="188"/>
    <x v="1"/>
    <m/>
    <x v="1"/>
    <m/>
    <n v="150"/>
    <x v="0"/>
    <x v="2"/>
    <n v="200720"/>
    <m/>
    <n v="5100000"/>
  </r>
  <r>
    <x v="188"/>
    <x v="1"/>
    <m/>
    <x v="1"/>
    <m/>
    <n v="74"/>
    <x v="0"/>
    <x v="8"/>
    <n v="200720"/>
    <m/>
    <n v="4351200"/>
  </r>
  <r>
    <x v="188"/>
    <x v="1"/>
    <m/>
    <x v="1"/>
    <m/>
    <n v="2"/>
    <x v="0"/>
    <x v="9"/>
    <n v="200720"/>
    <m/>
    <n v="117600"/>
  </r>
  <r>
    <x v="188"/>
    <x v="1"/>
    <m/>
    <x v="1"/>
    <m/>
    <n v="9"/>
    <x v="2"/>
    <x v="4"/>
    <n v="200720"/>
    <m/>
    <n v="18000"/>
  </r>
  <r>
    <x v="189"/>
    <x v="5"/>
    <m/>
    <x v="1"/>
    <m/>
    <n v="20"/>
    <x v="0"/>
    <x v="3"/>
    <n v="200720"/>
    <m/>
    <n v="1176000"/>
  </r>
  <r>
    <x v="189"/>
    <x v="5"/>
    <m/>
    <x v="1"/>
    <m/>
    <n v="164"/>
    <x v="0"/>
    <x v="2"/>
    <n v="200720"/>
    <m/>
    <n v="5576000"/>
  </r>
  <r>
    <x v="189"/>
    <x v="5"/>
    <m/>
    <x v="1"/>
    <m/>
    <n v="87"/>
    <x v="0"/>
    <x v="8"/>
    <n v="200720"/>
    <m/>
    <n v="5115600"/>
  </r>
  <r>
    <x v="189"/>
    <x v="5"/>
    <m/>
    <x v="1"/>
    <m/>
    <n v="1"/>
    <x v="0"/>
    <x v="1"/>
    <n v="200720"/>
    <m/>
    <n v="34000"/>
  </r>
  <r>
    <x v="189"/>
    <x v="5"/>
    <m/>
    <x v="1"/>
    <m/>
    <n v="2"/>
    <x v="0"/>
    <x v="9"/>
    <n v="200720"/>
    <m/>
    <n v="117600"/>
  </r>
  <r>
    <x v="189"/>
    <x v="5"/>
    <m/>
    <x v="1"/>
    <m/>
    <n v="7"/>
    <x v="2"/>
    <x v="4"/>
    <n v="200720"/>
    <m/>
    <n v="14000"/>
  </r>
  <r>
    <x v="190"/>
    <x v="6"/>
    <m/>
    <x v="1"/>
    <m/>
    <n v="12"/>
    <x v="0"/>
    <x v="3"/>
    <n v="200720"/>
    <m/>
    <n v="705600"/>
  </r>
  <r>
    <x v="190"/>
    <x v="6"/>
    <m/>
    <x v="1"/>
    <m/>
    <n v="133"/>
    <x v="0"/>
    <x v="2"/>
    <n v="200720"/>
    <m/>
    <n v="4522000"/>
  </r>
  <r>
    <x v="190"/>
    <x v="6"/>
    <m/>
    <x v="1"/>
    <m/>
    <n v="63"/>
    <x v="0"/>
    <x v="8"/>
    <n v="200720"/>
    <m/>
    <n v="3704400"/>
  </r>
  <r>
    <x v="190"/>
    <x v="6"/>
    <m/>
    <x v="1"/>
    <m/>
    <n v="4"/>
    <x v="0"/>
    <x v="1"/>
    <n v="200720"/>
    <m/>
    <n v="136000"/>
  </r>
  <r>
    <x v="190"/>
    <x v="6"/>
    <m/>
    <x v="1"/>
    <m/>
    <n v="7"/>
    <x v="2"/>
    <x v="4"/>
    <n v="200720"/>
    <m/>
    <n v="14000"/>
  </r>
  <r>
    <x v="191"/>
    <x v="2"/>
    <m/>
    <x v="1"/>
    <m/>
    <n v="25"/>
    <x v="0"/>
    <x v="3"/>
    <n v="200720"/>
    <m/>
    <n v="1470000"/>
  </r>
  <r>
    <x v="191"/>
    <x v="2"/>
    <m/>
    <x v="1"/>
    <m/>
    <n v="1"/>
    <x v="0"/>
    <x v="10"/>
    <n v="200720"/>
    <m/>
    <n v="94800"/>
  </r>
  <r>
    <x v="191"/>
    <x v="2"/>
    <m/>
    <x v="1"/>
    <m/>
    <n v="191"/>
    <x v="0"/>
    <x v="2"/>
    <n v="200720"/>
    <m/>
    <n v="6494000"/>
  </r>
  <r>
    <x v="191"/>
    <x v="2"/>
    <m/>
    <x v="1"/>
    <m/>
    <n v="74"/>
    <x v="0"/>
    <x v="8"/>
    <n v="200720"/>
    <m/>
    <n v="4351200"/>
  </r>
  <r>
    <x v="191"/>
    <x v="2"/>
    <m/>
    <x v="1"/>
    <m/>
    <n v="1"/>
    <x v="0"/>
    <x v="9"/>
    <n v="200720"/>
    <m/>
    <n v="58800"/>
  </r>
  <r>
    <x v="191"/>
    <x v="2"/>
    <m/>
    <x v="1"/>
    <m/>
    <n v="7"/>
    <x v="2"/>
    <x v="4"/>
    <n v="200720"/>
    <m/>
    <n v="14000"/>
  </r>
  <r>
    <x v="193"/>
    <x v="4"/>
    <m/>
    <x v="1"/>
    <s v="유즈 솔리드퍼퓸 - 30ml (스테이포에버 주문 시 12/14 부터 순차배송)향=이그나이트, 세트 선택=1 개"/>
    <n v="2"/>
    <x v="0"/>
    <x v="1"/>
    <n v="201210"/>
    <m/>
    <n v="76000"/>
  </r>
  <r>
    <x v="192"/>
    <x v="3"/>
    <m/>
    <x v="1"/>
    <s v="유즈 솔리드퍼퓸 - 30ml (스테이포에버 주문 시 12/14 부터 순차배송)향=스테이포에버, 세트 선택=1 개"/>
    <n v="6"/>
    <x v="0"/>
    <x v="2"/>
    <n v="201210"/>
    <m/>
    <n v="228000"/>
  </r>
  <r>
    <x v="193"/>
    <x v="4"/>
    <m/>
    <x v="1"/>
    <s v="유즈 솔리드퍼퓸 - 30ml (스테이포에버 주문 시 12/14 부터 순차배송)향=스테이포에버, 세트 선택=2개 (28% off)"/>
    <n v="2"/>
    <x v="0"/>
    <x v="8"/>
    <n v="201210"/>
    <m/>
    <n v="117600"/>
  </r>
  <r>
    <x v="192"/>
    <x v="3"/>
    <m/>
    <x v="1"/>
    <s v="유즈 솔리드퍼퓸 - 30ml (스테이포에버 주문 시 12/14 부터 순차배송)향=이그나이트 + 스테이포에버, 세트 선택=1 SET"/>
    <n v="7"/>
    <x v="0"/>
    <x v="3"/>
    <n v="201210"/>
    <m/>
    <n v="483000"/>
  </r>
  <r>
    <x v="195"/>
    <x v="1"/>
    <m/>
    <x v="1"/>
    <s v="유즈 솔리드퍼퓸 - 30ml (스테이포에버 주문 시 12/14 순차배송)향=이그나이트, 세트 선택=1 개"/>
    <n v="2"/>
    <x v="0"/>
    <x v="1"/>
    <n v="201210"/>
    <m/>
    <n v="76000"/>
  </r>
  <r>
    <x v="195"/>
    <x v="1"/>
    <m/>
    <x v="1"/>
    <s v="유즈 솔리드퍼퓸 - 30ml (스테이포에버 주문 시 12/14 순차배송)향=스테이포에버, 세트 선택=1 개"/>
    <n v="9"/>
    <x v="0"/>
    <x v="2"/>
    <n v="201210"/>
    <m/>
    <n v="342000"/>
  </r>
  <r>
    <x v="195"/>
    <x v="1"/>
    <m/>
    <x v="1"/>
    <s v="유즈 솔리드퍼퓸 - 30ml (스테이포에버 주문 시 12/14 순차배송)향=스테이포에버, 세트 선택=2개 (28% off)"/>
    <n v="8"/>
    <x v="0"/>
    <x v="8"/>
    <n v="201210"/>
    <m/>
    <n v="470400"/>
  </r>
  <r>
    <x v="195"/>
    <x v="1"/>
    <m/>
    <x v="1"/>
    <s v="유즈 솔리드퍼퓸 - 30ml (스테이포에버 주문 시 12/14 순차배송)향=이그나이트 + 스테이포에버, 세트 선택=1 SET"/>
    <n v="6"/>
    <x v="0"/>
    <x v="3"/>
    <n v="201210"/>
    <m/>
    <n v="414000"/>
  </r>
  <r>
    <x v="195"/>
    <x v="1"/>
    <m/>
    <x v="1"/>
    <s v="유즈 솔리드퍼퓸 - 30ml (스테이포에버 주문 시 12/14 순차배송)향=이그나이트 + 스테이포에버, 세트 선택=2 SET (42% off)"/>
    <n v="1"/>
    <x v="0"/>
    <x v="10"/>
    <n v="201210"/>
    <m/>
    <n v="94800"/>
  </r>
  <r>
    <x v="195"/>
    <x v="1"/>
    <m/>
    <x v="1"/>
    <s v="유즈 스테이포에버 솔리드퍼퓸 002 (스테이포에버 주문시 12/14 순차배송)제품선택=스테이포에버 솔리드퍼퓸 002[Pre-order 이벤트 17% 할인]"/>
    <n v="175"/>
    <x v="0"/>
    <x v="2"/>
    <n v="201210"/>
    <m/>
    <n v="6650000"/>
  </r>
  <r>
    <x v="195"/>
    <x v="1"/>
    <m/>
    <x v="1"/>
    <s v="유즈 스테이포에버 솔리드퍼퓸 002 (스테이포에버 주문시 12/14 순차배송)제품선택=스테이포에버 2개 세트[Pre-order 이벤트 28% 할인]"/>
    <n v="64"/>
    <x v="0"/>
    <x v="8"/>
    <n v="201210"/>
    <m/>
    <n v="3763200"/>
  </r>
  <r>
    <x v="195"/>
    <x v="1"/>
    <m/>
    <x v="1"/>
    <s v="유즈 스테이포에버 솔리드퍼퓸 002 (스테이포에버 주문시 12/14 순차배송)제품선택=스테이포에버 + 이그나이트 세트"/>
    <n v="19"/>
    <x v="0"/>
    <x v="3"/>
    <n v="201210"/>
    <m/>
    <n v="1311000"/>
  </r>
  <r>
    <x v="195"/>
    <x v="1"/>
    <m/>
    <x v="1"/>
    <s v="유즈 스테이포에버 솔리드퍼퓸 002 (스테이포에버 주문시 12/14 순차배송)쇼핑백=선물용 쇼핑백"/>
    <n v="6"/>
    <x v="2"/>
    <x v="11"/>
    <n v="201210"/>
    <m/>
    <n v="12000"/>
  </r>
  <r>
    <x v="195"/>
    <x v="1"/>
    <m/>
    <x v="1"/>
    <s v="유즈 이그나이트 솔리드퍼퓸 001제품선택=이그나이트 솔리드퍼퓸 - 30ml"/>
    <n v="2"/>
    <x v="0"/>
    <x v="1"/>
    <n v="201210"/>
    <m/>
    <n v="76000"/>
  </r>
  <r>
    <x v="193"/>
    <x v="4"/>
    <m/>
    <x v="1"/>
    <s v="유즈 솔리드퍼퓸 - 30ml (스테이포에버 주문 시 12/14 순차배송)향=스테이포에버, 세트 선택=1 개"/>
    <n v="49"/>
    <x v="0"/>
    <x v="2"/>
    <n v="201210"/>
    <m/>
    <n v="1862000"/>
  </r>
  <r>
    <x v="193"/>
    <x v="4"/>
    <m/>
    <x v="1"/>
    <s v="유즈 솔리드퍼퓸 - 30ml (스테이포에버 주문 시 12/14 순차배송)향=스테이포에버, 세트 선택=2개 (28% off)"/>
    <n v="16"/>
    <x v="0"/>
    <x v="8"/>
    <n v="201210"/>
    <m/>
    <n v="940800"/>
  </r>
  <r>
    <x v="193"/>
    <x v="4"/>
    <m/>
    <x v="1"/>
    <s v="유즈 솔리드퍼퓸 - 30ml (스테이포에버 주문 시 12/14 순차배송)향=이그나이트 + 스테이포에버, 세트 선택=1 SET"/>
    <n v="23"/>
    <x v="0"/>
    <x v="3"/>
    <n v="201210"/>
    <m/>
    <n v="1587000"/>
  </r>
  <r>
    <x v="193"/>
    <x v="4"/>
    <m/>
    <x v="1"/>
    <s v="유즈 솔리드퍼퓸 - 30ml (스테이포에버 주문 시 12/14 순차배송)향=이그나이트 + 스테이포에버, 세트 선택=2 SET (42% off)"/>
    <n v="3"/>
    <x v="0"/>
    <x v="10"/>
    <n v="201210"/>
    <m/>
    <n v="284400"/>
  </r>
  <r>
    <x v="197"/>
    <x v="6"/>
    <m/>
    <x v="1"/>
    <s v="유즈 솔리드퍼퓸 - 30ml (스테이포에버 주문 시 12/15 순차배송)향=이그나이트, 세트 선택=1 개"/>
    <n v="1"/>
    <x v="0"/>
    <x v="1"/>
    <n v="201210"/>
    <m/>
    <n v="38000"/>
  </r>
  <r>
    <x v="197"/>
    <x v="6"/>
    <m/>
    <x v="1"/>
    <s v="유즈 솔리드퍼퓸 - 30ml (스테이포에버 주문 시 12/15 순차배송)향=스테이포에버, 세트 선택=1 개"/>
    <n v="24"/>
    <x v="0"/>
    <x v="2"/>
    <n v="201210"/>
    <m/>
    <n v="912000"/>
  </r>
  <r>
    <x v="197"/>
    <x v="6"/>
    <m/>
    <x v="1"/>
    <s v="유즈 솔리드퍼퓸 - 30ml (스테이포에버 주문 시 12/15 순차배송)향=스테이포에버, 세트 선택=2개 (28% off)"/>
    <n v="9"/>
    <x v="0"/>
    <x v="8"/>
    <n v="201210"/>
    <m/>
    <n v="529200"/>
  </r>
  <r>
    <x v="197"/>
    <x v="6"/>
    <m/>
    <x v="1"/>
    <s v="유즈 솔리드퍼퓸 - 30ml (스테이포에버 주문 시 12/15 순차배송)향=이그나이트 + 스테이포에버, 세트 선택=1 SET"/>
    <n v="10"/>
    <x v="0"/>
    <x v="3"/>
    <n v="201210"/>
    <m/>
    <n v="690000"/>
  </r>
  <r>
    <x v="192"/>
    <x v="3"/>
    <m/>
    <x v="1"/>
    <s v="유즈 솔리드퍼퓸 - 30ml (스테이포에버 주문 시 12/4 부터 순차배송)향=스테이포에버, 세트 선택=1 개"/>
    <n v="6"/>
    <x v="0"/>
    <x v="2"/>
    <n v="201210"/>
    <m/>
    <n v="228000"/>
  </r>
  <r>
    <x v="192"/>
    <x v="3"/>
    <m/>
    <x v="1"/>
    <s v="유즈 솔리드퍼퓸 - 30ml (스테이포에버 주문 시 12/4 부터 순차배송)향=이그나이트 + 스테이포에버, 세트 선택=1 SET"/>
    <n v="3"/>
    <x v="0"/>
    <x v="3"/>
    <n v="201210"/>
    <m/>
    <n v="207000"/>
  </r>
  <r>
    <x v="197"/>
    <x v="6"/>
    <m/>
    <x v="1"/>
    <s v="유즈 스테이포에버 솔리드퍼퓸 002제품선택=스테이포에버 솔리드퍼퓸"/>
    <n v="1"/>
    <x v="0"/>
    <x v="2"/>
    <n v="201210"/>
    <m/>
    <n v="38000"/>
  </r>
  <r>
    <x v="192"/>
    <x v="3"/>
    <m/>
    <x v="1"/>
    <s v="유즈 스테이포에버 솔리드퍼퓸 002 (12/14 부터 순차배송)제품선택=스테이포에버 솔리드퍼퓸 002[Pre-order 이벤트 17% 할인]"/>
    <n v="127"/>
    <x v="0"/>
    <x v="2"/>
    <n v="201210"/>
    <m/>
    <n v="4826000"/>
  </r>
  <r>
    <x v="192"/>
    <x v="3"/>
    <m/>
    <x v="1"/>
    <s v="유즈 스테이포에버 솔리드퍼퓸 002 (12/14 부터 순차배송)제품선택=스테이포에버 2개 세트[Pre-order 이벤트 28% 할인]"/>
    <n v="54"/>
    <x v="0"/>
    <x v="8"/>
    <n v="201210"/>
    <m/>
    <n v="3175200"/>
  </r>
  <r>
    <x v="192"/>
    <x v="3"/>
    <m/>
    <x v="1"/>
    <s v="유즈 스테이포에버 솔리드퍼퓸 002 (12/14 부터 순차배송)제품선택=스테이포에버 + 이그나이트 세트"/>
    <n v="12"/>
    <x v="0"/>
    <x v="3"/>
    <n v="201210"/>
    <m/>
    <n v="828000"/>
  </r>
  <r>
    <x v="192"/>
    <x v="3"/>
    <m/>
    <x v="1"/>
    <s v="유즈 스테이포에버 솔리드퍼퓸 002 (12/14 부터 순차배송)쇼핑백=선물용 쇼핑백"/>
    <n v="5"/>
    <x v="2"/>
    <x v="11"/>
    <n v="201210"/>
    <m/>
    <n v="10000"/>
  </r>
  <r>
    <x v="193"/>
    <x v="4"/>
    <m/>
    <x v="1"/>
    <s v="유즈 스테이포에버 솔리드퍼퓸 002 (12/14 순차배송)제품선택=스테이포에버 솔리드퍼퓸 002[Pre-order 이벤트 17% 할인]"/>
    <n v="2"/>
    <x v="0"/>
    <x v="2"/>
    <n v="201210"/>
    <m/>
    <n v="76000"/>
  </r>
  <r>
    <x v="193"/>
    <x v="4"/>
    <m/>
    <x v="1"/>
    <s v="유즈 스테이포에버 솔리드퍼퓸 002 (12/14 순차배송)제품선택=스테이포에버 2개 세트[Pre-order 이벤트 28% 할인]"/>
    <n v="3"/>
    <x v="0"/>
    <x v="8"/>
    <n v="201210"/>
    <m/>
    <n v="176400"/>
  </r>
  <r>
    <x v="193"/>
    <x v="4"/>
    <m/>
    <x v="1"/>
    <s v="유즈 스테이포에버 솔리드퍼퓸 002 (12/14 순차배송)쇼핑백=선물용 쇼핑백"/>
    <n v="1"/>
    <x v="2"/>
    <x v="11"/>
    <n v="201210"/>
    <m/>
    <n v="2000"/>
  </r>
  <r>
    <x v="192"/>
    <x v="3"/>
    <m/>
    <x v="1"/>
    <s v="유즈 스테이포에버 솔리드퍼퓸 002 (12/4 부터 순차배송)쇼핑백=선물용 쇼핑백"/>
    <n v="7"/>
    <x v="2"/>
    <x v="11"/>
    <n v="201210"/>
    <m/>
    <n v="14000"/>
  </r>
  <r>
    <x v="193"/>
    <x v="4"/>
    <m/>
    <x v="1"/>
    <s v="유즈 스테이포에버 솔리드퍼퓸 002 (스테이포에버 주문시 12/14 순차배송)쇼핑백=선물용 쇼핑백"/>
    <n v="31"/>
    <x v="2"/>
    <x v="11"/>
    <n v="201210"/>
    <m/>
    <n v="62000"/>
  </r>
  <r>
    <x v="193"/>
    <x v="4"/>
    <m/>
    <x v="1"/>
    <s v="유즈 스테이포에버 솔리드퍼퓸 002 (12/14 입고 이후 순차배송)제품선택=스테이포에버 솔리드퍼퓸 002[Pre-order 이벤트 17% 할인]"/>
    <n v="2"/>
    <x v="0"/>
    <x v="2"/>
    <n v="201210"/>
    <m/>
    <n v="76000"/>
  </r>
  <r>
    <x v="192"/>
    <x v="3"/>
    <m/>
    <x v="1"/>
    <s v="유즈 스테이포에버 솔리드퍼퓸 002 (12/4 부터 순차배송)제품선택=스테이포에버 솔리드퍼퓸 002[Pre-order 이벤트 17% 할인]"/>
    <n v="83"/>
    <x v="0"/>
    <x v="2"/>
    <n v="201210"/>
    <m/>
    <n v="3154000"/>
  </r>
  <r>
    <x v="192"/>
    <x v="3"/>
    <m/>
    <x v="1"/>
    <s v="유즈 스테이포에버 솔리드퍼퓸 002 (12/4 부터 순차배송)제품선택=스테이포에버 2개 세트[Pre-order 이벤트 28% 할인]"/>
    <n v="25"/>
    <x v="0"/>
    <x v="8"/>
    <n v="201210"/>
    <m/>
    <n v="1470000"/>
  </r>
  <r>
    <x v="192"/>
    <x v="3"/>
    <m/>
    <x v="1"/>
    <s v="유즈 스테이포에버 솔리드퍼퓸 002 (12/4 부터 순차배송)제품선택=스테이포에버 + 이그나이트 세트"/>
    <n v="6"/>
    <x v="0"/>
    <x v="3"/>
    <n v="201210"/>
    <m/>
    <n v="414000"/>
  </r>
  <r>
    <x v="193"/>
    <x v="4"/>
    <m/>
    <x v="1"/>
    <s v="유즈 스테이포에버 솔리드퍼퓸 002 (스테이포에버 주문시 12/14 순차배송)제품선택=스테이포에버 솔리드퍼퓸 002[Pre-order 이벤트 17% 할인]"/>
    <n v="712"/>
    <x v="0"/>
    <x v="2"/>
    <n v="201210"/>
    <m/>
    <n v="27056000"/>
  </r>
  <r>
    <x v="193"/>
    <x v="4"/>
    <m/>
    <x v="1"/>
    <s v="유즈 스테이포에버 솔리드퍼퓸 002 (스테이포에버 주문시 12/14 순차배송)제품선택=스테이포에버 2개 세트[Pre-order 이벤트 28% 할인]"/>
    <n v="260"/>
    <x v="0"/>
    <x v="8"/>
    <n v="201210"/>
    <m/>
    <n v="15288000"/>
  </r>
  <r>
    <x v="193"/>
    <x v="4"/>
    <m/>
    <x v="1"/>
    <s v="유즈 스테이포에버 솔리드퍼퓸 002 (스테이포에버 주문시 12/14 순차배송)제품선택=스테이포에버 + 이그나이트 세트"/>
    <n v="57"/>
    <x v="0"/>
    <x v="3"/>
    <n v="201210"/>
    <m/>
    <n v="3933000"/>
  </r>
  <r>
    <x v="197"/>
    <x v="6"/>
    <m/>
    <x v="1"/>
    <s v="유즈 스테이포에버 솔리드퍼퓸 002 (스테이포에버 주문시 12/15 순차배송)제품선택=스테이포에버 솔리드퍼퓸 002[Pre-order 이벤트 17% 할인]"/>
    <n v="322"/>
    <x v="0"/>
    <x v="2"/>
    <n v="201210"/>
    <m/>
    <n v="12236000"/>
  </r>
  <r>
    <x v="197"/>
    <x v="6"/>
    <m/>
    <x v="1"/>
    <s v="유즈 스테이포에버 솔리드퍼퓸 002 (스테이포에버 주문시 12/15 순차배송)제품선택=스테이포에버 2개 세트[Pre-order 이벤트 28% 할인]"/>
    <n v="120"/>
    <x v="0"/>
    <x v="8"/>
    <n v="201210"/>
    <m/>
    <n v="7056000"/>
  </r>
  <r>
    <x v="197"/>
    <x v="6"/>
    <m/>
    <x v="1"/>
    <s v="유즈 스테이포에버 솔리드퍼퓸 002 (스테이포에버 주문시 12/15 순차배송)제품선택=스테이포에버 + 이그나이트 세트"/>
    <n v="18"/>
    <x v="0"/>
    <x v="3"/>
    <n v="201210"/>
    <m/>
    <n v="1242000"/>
  </r>
  <r>
    <x v="197"/>
    <x v="6"/>
    <m/>
    <x v="1"/>
    <s v="유즈 스테이포에버 솔리드퍼퓸 002 (스테이포에버 주문시 12/15 순차배송)쇼핑백=선물용 쇼핑백"/>
    <n v="10"/>
    <x v="2"/>
    <x v="11"/>
    <n v="201210"/>
    <m/>
    <n v="20000"/>
  </r>
  <r>
    <x v="193"/>
    <x v="4"/>
    <m/>
    <x v="1"/>
    <s v="유즈 이그나이트 솔리드퍼퓸 001제품선택=이그나이트 솔리드퍼퓸 - 30ml"/>
    <n v="17"/>
    <x v="0"/>
    <x v="1"/>
    <n v="201210"/>
    <m/>
    <n v="646000"/>
  </r>
  <r>
    <x v="193"/>
    <x v="4"/>
    <m/>
    <x v="1"/>
    <s v="유즈 이그나이트 솔리드퍼퓸 001제품선택=이그나이트 2개 세트"/>
    <n v="5"/>
    <x v="0"/>
    <x v="9"/>
    <n v="201210"/>
    <m/>
    <n v="294000"/>
  </r>
  <r>
    <x v="194"/>
    <x v="0"/>
    <m/>
    <x v="2"/>
    <s v="유즈 솔리드퍼퓸 - 30ml (스테이포에버 주문 시 12/14 순차배송)향=스테이포에버, 세트 선택=1 개"/>
    <n v="1"/>
    <x v="0"/>
    <x v="2"/>
    <n v="201210"/>
    <m/>
    <n v="0"/>
  </r>
  <r>
    <x v="194"/>
    <x v="0"/>
    <m/>
    <x v="2"/>
    <s v="유즈 스테이포에버 솔리드퍼퓸 002 (스테이포에버 주문시 12/14 순차배송)제품선택=스테이포에버 솔리드퍼퓸 002[Pre-order 이벤트 17% 할인]"/>
    <n v="1"/>
    <x v="0"/>
    <x v="2"/>
    <n v="201210"/>
    <m/>
    <n v="0"/>
  </r>
  <r>
    <x v="194"/>
    <x v="0"/>
    <m/>
    <x v="1"/>
    <s v="유즈 솔리드퍼퓸 - 30ml (스테이포에버 주문 시 12/14 순차배송)향=스테이포에버, 세트 선택=1 개"/>
    <n v="14"/>
    <x v="0"/>
    <x v="2"/>
    <n v="201210"/>
    <m/>
    <n v="532000"/>
  </r>
  <r>
    <x v="194"/>
    <x v="0"/>
    <m/>
    <x v="1"/>
    <s v="유즈 솔리드퍼퓸 - 30ml (스테이포에버 주문 시 12/14 순차배송)향=스테이포에버, 세트 선택=2개 (28% off)"/>
    <n v="1"/>
    <x v="0"/>
    <x v="8"/>
    <n v="201210"/>
    <m/>
    <n v="58800"/>
  </r>
  <r>
    <x v="194"/>
    <x v="0"/>
    <m/>
    <x v="1"/>
    <s v="유즈 솔리드퍼퓸 - 30ml (스테이포에버 주문 시 12/14 순차배송)향=이그나이트 + 스테이포에버, 세트 선택=1 SET"/>
    <n v="4"/>
    <x v="0"/>
    <x v="3"/>
    <n v="201210"/>
    <m/>
    <n v="276000"/>
  </r>
  <r>
    <x v="194"/>
    <x v="0"/>
    <m/>
    <x v="1"/>
    <s v="유즈 스테이포에버 솔리드퍼퓸 002 (12/4 부터 순차배송)제품선택=스테이포에버 솔리드퍼퓸 002[Pre-order 이벤트 17% 할인]"/>
    <n v="1"/>
    <x v="0"/>
    <x v="2"/>
    <n v="201210"/>
    <m/>
    <n v="38000"/>
  </r>
  <r>
    <x v="194"/>
    <x v="0"/>
    <m/>
    <x v="1"/>
    <s v="유즈 스테이포에버 솔리드퍼퓸 002 (스테이포에버 주문시 12/14 순차배송)제품선택=스테이포에버 솔리드퍼퓸 002[Pre-order 이벤트 17% 할인]"/>
    <n v="166"/>
    <x v="0"/>
    <x v="2"/>
    <n v="201210"/>
    <m/>
    <n v="6308000"/>
  </r>
  <r>
    <x v="194"/>
    <x v="0"/>
    <m/>
    <x v="1"/>
    <s v="유즈 스테이포에버 솔리드퍼퓸 002 (스테이포에버 주문시 12/14 순차배송)제품선택=스테이포에버 2개 세트[Pre-order 이벤트 28% 할인]"/>
    <n v="47"/>
    <x v="0"/>
    <x v="8"/>
    <n v="201210"/>
    <m/>
    <n v="2763600"/>
  </r>
  <r>
    <x v="194"/>
    <x v="0"/>
    <m/>
    <x v="1"/>
    <s v="유즈 스테이포에버 솔리드퍼퓸 002 (스테이포에버 주문시 12/14 순차배송)제품선택=스테이포에버 + 이그나이트 세트"/>
    <n v="12"/>
    <x v="0"/>
    <x v="3"/>
    <n v="201210"/>
    <m/>
    <n v="828000"/>
  </r>
  <r>
    <x v="194"/>
    <x v="0"/>
    <m/>
    <x v="1"/>
    <s v="유즈 스테이포에버 솔리드퍼퓸 002 (스테이포에버 주문시 12/14 순차배송)쇼핑백=선물용 쇼핑백"/>
    <n v="5"/>
    <x v="2"/>
    <x v="11"/>
    <n v="201210"/>
    <m/>
    <n v="10000"/>
  </r>
  <r>
    <x v="194"/>
    <x v="0"/>
    <m/>
    <x v="1"/>
    <s v="유즈 이그나이트 솔리드퍼퓸 001제품선택=이그나이트 솔리드퍼퓸 - 30ml"/>
    <n v="2"/>
    <x v="0"/>
    <x v="1"/>
    <n v="201210"/>
    <m/>
    <n v="76000"/>
  </r>
  <r>
    <x v="196"/>
    <x v="5"/>
    <m/>
    <x v="1"/>
    <s v="유즈 솔리드퍼퓸 - 30ml (스테이포에버 주문 시 12/14 부터 순차배송)향=스테이포에버, 세트 선택=1 개"/>
    <n v="1"/>
    <x v="0"/>
    <x v="2"/>
    <n v="201210"/>
    <m/>
    <n v="38000"/>
  </r>
  <r>
    <x v="196"/>
    <x v="5"/>
    <m/>
    <x v="1"/>
    <s v="유즈 솔리드퍼퓸 - 30ml (스테이포에버 주문 시 12/14 순차배송)향=이그나이트, 세트 선택=1 개"/>
    <n v="1"/>
    <x v="0"/>
    <x v="1"/>
    <n v="201210"/>
    <m/>
    <n v="38000"/>
  </r>
  <r>
    <x v="196"/>
    <x v="5"/>
    <m/>
    <x v="1"/>
    <s v="유즈 솔리드퍼퓸 - 30ml (스테이포에버 주문 시 12/14 순차배송)향=스테이포에버, 세트 선택=1 개"/>
    <n v="11"/>
    <x v="0"/>
    <x v="2"/>
    <n v="201210"/>
    <m/>
    <n v="418000"/>
  </r>
  <r>
    <x v="196"/>
    <x v="5"/>
    <m/>
    <x v="1"/>
    <s v="유즈 솔리드퍼퓸 - 30ml (스테이포에버 주문 시 12/14 순차배송)향=스테이포에버, 세트 선택=2개 (28% off)"/>
    <n v="3"/>
    <x v="0"/>
    <x v="8"/>
    <n v="201210"/>
    <m/>
    <n v="176400"/>
  </r>
  <r>
    <x v="196"/>
    <x v="5"/>
    <m/>
    <x v="1"/>
    <s v="유즈 솔리드퍼퓸 - 30ml (스테이포에버 주문 시 12/14 순차배송)향=이그나이트 + 스테이포에버, 세트 선택=1 SET"/>
    <n v="7"/>
    <x v="0"/>
    <x v="3"/>
    <n v="201210"/>
    <m/>
    <n v="483000"/>
  </r>
  <r>
    <x v="196"/>
    <x v="5"/>
    <m/>
    <x v="1"/>
    <s v="유즈 스테이포에버 솔리드퍼퓸 002 (12/4 부터 순차배송)제품선택=스테이포에버 + 이그나이트 세트"/>
    <n v="1"/>
    <x v="0"/>
    <x v="3"/>
    <n v="201210"/>
    <m/>
    <n v="69000"/>
  </r>
  <r>
    <x v="196"/>
    <x v="5"/>
    <m/>
    <x v="1"/>
    <s v="유즈 스테이포에버 솔리드퍼퓸 002 (스테이포에버 주문시 12/14 순차배송)제품선택=스테이포에버 솔리드퍼퓸 002[Pre-order 이벤트 17% 할인]"/>
    <n v="189"/>
    <x v="0"/>
    <x v="2"/>
    <n v="201210"/>
    <m/>
    <n v="7182000"/>
  </r>
  <r>
    <x v="196"/>
    <x v="5"/>
    <m/>
    <x v="1"/>
    <s v="유즈 스테이포에버 솔리드퍼퓸 002 (스테이포에버 주문시 12/14 순차배송)제품선택=스테이포에버 2개 세트[Pre-order 이벤트 28% 할인]"/>
    <n v="73"/>
    <x v="0"/>
    <x v="8"/>
    <n v="201210"/>
    <m/>
    <n v="4292400"/>
  </r>
  <r>
    <x v="196"/>
    <x v="5"/>
    <m/>
    <x v="1"/>
    <s v="유즈 스테이포에버 솔리드퍼퓸 002 (스테이포에버 주문시 12/14 순차배송)제품선택=스테이포에버 + 이그나이트 세트"/>
    <n v="17"/>
    <x v="0"/>
    <x v="3"/>
    <n v="201210"/>
    <m/>
    <n v="1173000"/>
  </r>
  <r>
    <x v="196"/>
    <x v="5"/>
    <m/>
    <x v="1"/>
    <s v="유즈 스테이포에버 솔리드퍼퓸 002 (스테이포에버 주문시 12/14 순차배송)쇼핑백=선물용 쇼핑백"/>
    <n v="8"/>
    <x v="2"/>
    <x v="11"/>
    <n v="201210"/>
    <m/>
    <n v="16000"/>
  </r>
  <r>
    <x v="196"/>
    <x v="5"/>
    <m/>
    <x v="1"/>
    <s v="유즈 이그나이트 솔리드퍼퓸 001제품선택=이그나이트 솔리드퍼퓸 - 30ml"/>
    <n v="2"/>
    <x v="0"/>
    <x v="1"/>
    <n v="201210"/>
    <m/>
    <n v="76000"/>
  </r>
  <r>
    <x v="196"/>
    <x v="5"/>
    <m/>
    <x v="1"/>
    <s v="유즈 이그나이트 솔리드퍼퓸 001제품선택=이그나이트 2개 세트"/>
    <n v="2"/>
    <x v="0"/>
    <x v="9"/>
    <n v="201210"/>
    <m/>
    <n v="117600"/>
  </r>
  <r>
    <x v="198"/>
    <x v="2"/>
    <m/>
    <x v="1"/>
    <s v="유즈 솔리드퍼퓸 - 30ml (스테이포에버 주문 시 12/15 순차배송)향=스테이포에버, 세트 선택=1 개"/>
    <n v="8"/>
    <x v="0"/>
    <x v="2"/>
    <n v="201210"/>
    <m/>
    <n v="304000"/>
  </r>
  <r>
    <x v="198"/>
    <x v="2"/>
    <m/>
    <x v="1"/>
    <s v="유즈 솔리드퍼퓸 - 30ml (스테이포에버 주문 시 12/15 순차배송)향=스테이포에버, 세트 선택=2개 (28% off)"/>
    <n v="4"/>
    <x v="0"/>
    <x v="8"/>
    <n v="201210"/>
    <m/>
    <n v="235200"/>
  </r>
  <r>
    <x v="198"/>
    <x v="2"/>
    <m/>
    <x v="1"/>
    <s v="유즈 솔리드퍼퓸 - 30ml (스테이포에버 주문 시 12/15 순차배송)향=이그나이트 + 스테이포에버, 세트 선택=1 SET"/>
    <n v="4"/>
    <x v="0"/>
    <x v="3"/>
    <n v="201210"/>
    <m/>
    <n v="276000"/>
  </r>
  <r>
    <x v="198"/>
    <x v="2"/>
    <m/>
    <x v="1"/>
    <s v="유즈 솔리드퍼퓸 - 30ml (스테이포에버 주문 시 12/15 순차배송)향=이그나이트 + 스테이포에버, 세트 선택=2 SET (42% off)"/>
    <n v="1"/>
    <x v="0"/>
    <x v="8"/>
    <n v="201210"/>
    <m/>
    <n v="58800"/>
  </r>
  <r>
    <x v="198"/>
    <x v="2"/>
    <m/>
    <x v="1"/>
    <s v="유즈 스테이포에버 솔리드퍼퓸 002 (스테이포에버 주문시 12/14 순차배송)제품선택=스테이포에버 2개 세트[Pre-order 이벤트 28% 할인]"/>
    <n v="3"/>
    <x v="0"/>
    <x v="8"/>
    <n v="201210"/>
    <m/>
    <n v="176400"/>
  </r>
  <r>
    <x v="198"/>
    <x v="2"/>
    <m/>
    <x v="1"/>
    <s v="유즈 스테이포에버 솔리드퍼퓸 002 (스테이포에버 주문시 12/15 순차배송)제품선택=스테이포에버 솔리드퍼퓸 002[Pre-order 이벤트 17% 할인]"/>
    <n v="148"/>
    <x v="0"/>
    <x v="2"/>
    <n v="201210"/>
    <m/>
    <n v="5624000"/>
  </r>
  <r>
    <x v="198"/>
    <x v="2"/>
    <m/>
    <x v="1"/>
    <s v="유즈 스테이포에버 솔리드퍼퓸 002 (스테이포에버 주문시 12/15 순차배송)제품선택=스테이포에버 2개 세트[Pre-order 이벤트 28% 할인]"/>
    <n v="59"/>
    <x v="0"/>
    <x v="8"/>
    <n v="201210"/>
    <m/>
    <n v="3469200"/>
  </r>
  <r>
    <x v="198"/>
    <x v="2"/>
    <m/>
    <x v="1"/>
    <s v="유즈 스테이포에버 솔리드퍼퓸 002 (스테이포에버 주문시 12/15 순차배송)제품선택=스테이포에버 + 이그나이트 세트"/>
    <n v="11"/>
    <x v="0"/>
    <x v="3"/>
    <n v="201210"/>
    <m/>
    <n v="759000"/>
  </r>
  <r>
    <x v="198"/>
    <x v="2"/>
    <m/>
    <x v="1"/>
    <s v="유즈 스테이포에버 솔리드퍼퓸 002 (스테이포에버 주문시 12/15 순차배송)쇼핑백=선물용 쇼핑백"/>
    <n v="3"/>
    <x v="2"/>
    <x v="11"/>
    <n v="201210"/>
    <m/>
    <n v="6000"/>
  </r>
  <r>
    <x v="198"/>
    <x v="2"/>
    <m/>
    <x v="1"/>
    <s v="유즈 이그나이트 솔리드퍼퓸 001제품선택=이그나이트 솔리드퍼퓸 - 30ml"/>
    <n v="3"/>
    <x v="0"/>
    <x v="1"/>
    <n v="201210"/>
    <m/>
    <n v="114000"/>
  </r>
  <r>
    <x v="199"/>
    <x v="3"/>
    <m/>
    <x v="1"/>
    <s v="유즈 솔리드퍼퓸 - 30ml (스테이포에버 주문 시 12/15 순차배송)향=스테이포에버, 세트 선택=1 개"/>
    <n v="14"/>
    <x v="0"/>
    <x v="2"/>
    <n v="201210"/>
    <m/>
    <n v="532000"/>
  </r>
  <r>
    <x v="199"/>
    <x v="3"/>
    <m/>
    <x v="1"/>
    <s v="유즈 솔리드퍼퓸 - 30ml (스테이포에버 주문 시 12/15 순차배송)향=스테이포에버, 세트 선택=2개 (28% off)"/>
    <n v="4"/>
    <x v="0"/>
    <x v="8"/>
    <n v="201210"/>
    <m/>
    <n v="235200"/>
  </r>
  <r>
    <x v="199"/>
    <x v="3"/>
    <m/>
    <x v="1"/>
    <s v="유즈 솔리드퍼퓸 - 30ml (스테이포에버 주문 시 12/15 순차배송)향=이그나이트 + 스테이포에버, 세트 선택=1 SET"/>
    <n v="3"/>
    <x v="0"/>
    <x v="3"/>
    <n v="201210"/>
    <m/>
    <n v="207000"/>
  </r>
  <r>
    <x v="199"/>
    <x v="3"/>
    <m/>
    <x v="1"/>
    <s v="유즈 솔리드퍼퓸 - 30ml (스테이포에버 주문 시 12/15 순차배송)향=이그나이트 + 스테이포에버, 세트 선택=2 SET (42% off)"/>
    <n v="2"/>
    <x v="0"/>
    <x v="8"/>
    <n v="201210"/>
    <m/>
    <n v="117600"/>
  </r>
  <r>
    <x v="199"/>
    <x v="3"/>
    <m/>
    <x v="1"/>
    <s v="유즈 스테이포에버 솔리드퍼퓸 002 (스테이포에버 주문시 12/15 순차배송)제품선택=스테이포에버 솔리드퍼퓸 002[Pre-order 이벤트 17% 할인]"/>
    <n v="150"/>
    <x v="0"/>
    <x v="2"/>
    <n v="201210"/>
    <m/>
    <n v="5700000"/>
  </r>
  <r>
    <x v="199"/>
    <x v="3"/>
    <m/>
    <x v="1"/>
    <s v="유즈 스테이포에버 솔리드퍼퓸 002 (스테이포에버 주문시 12/15 순차배송)제품선택=스테이포에버 2개 세트[Pre-order 이벤트 28% 할인]"/>
    <n v="51"/>
    <x v="0"/>
    <x v="8"/>
    <n v="201210"/>
    <m/>
    <n v="2998800"/>
  </r>
  <r>
    <x v="199"/>
    <x v="3"/>
    <m/>
    <x v="1"/>
    <s v="유즈 스테이포에버 솔리드퍼퓸 002 (스테이포에버 주문시 12/15 순차배송)제품선택=스테이포에버 + 이그나이트 세트"/>
    <n v="7"/>
    <x v="0"/>
    <x v="3"/>
    <n v="201210"/>
    <m/>
    <n v="483000"/>
  </r>
  <r>
    <x v="199"/>
    <x v="3"/>
    <m/>
    <x v="1"/>
    <s v="유즈 스테이포에버 솔리드퍼퓸 002 (스테이포에버 주문시 12/15 순차배송)쇼핑백=선물용 쇼핑백"/>
    <n v="4"/>
    <x v="2"/>
    <x v="11"/>
    <n v="201210"/>
    <m/>
    <n v="8000"/>
  </r>
  <r>
    <x v="199"/>
    <x v="3"/>
    <m/>
    <x v="1"/>
    <s v="유즈 이그나이트 솔리드퍼퓸 001제품선택=이그나이트 솔리드퍼퓸 - 30ml"/>
    <n v="1"/>
    <x v="0"/>
    <x v="1"/>
    <n v="201210"/>
    <m/>
    <n v="38000"/>
  </r>
  <r>
    <x v="199"/>
    <x v="3"/>
    <m/>
    <x v="1"/>
    <s v="유즈 이그나이트 솔리드퍼퓸 001제품선택=이그나이트 2개 세트"/>
    <n v="4"/>
    <x v="0"/>
    <x v="9"/>
    <n v="201210"/>
    <m/>
    <n v="235200"/>
  </r>
  <r>
    <x v="200"/>
    <x v="4"/>
    <m/>
    <x v="2"/>
    <s v="솔리드퍼퓸 스테이포에버 002 30ml"/>
    <n v="2"/>
    <x v="0"/>
    <x v="2"/>
    <n v="201210"/>
    <m/>
    <n v="0"/>
  </r>
  <r>
    <x v="200"/>
    <x v="4"/>
    <m/>
    <x v="1"/>
    <s v="유즈 솔리드퍼퓸 - 30ml (스테이포에버 주문 시 12/15 순차배송)향=스테이포에버, 세트 선택=1 개"/>
    <n v="12"/>
    <x v="0"/>
    <x v="2"/>
    <n v="201210"/>
    <m/>
    <n v="456000"/>
  </r>
  <r>
    <x v="200"/>
    <x v="4"/>
    <m/>
    <x v="1"/>
    <s v="유즈 솔리드퍼퓸 - 30ml (스테이포에버 주문 시 12/15 순차배송)향=스테이포에버, 세트 선택=2개 (28% off)"/>
    <n v="4"/>
    <x v="0"/>
    <x v="8"/>
    <n v="201210"/>
    <m/>
    <n v="235200"/>
  </r>
  <r>
    <x v="200"/>
    <x v="4"/>
    <m/>
    <x v="1"/>
    <s v="유즈 솔리드퍼퓸 - 30ml (스테이포에버 주문 시 12/15 순차배송)향=이그나이트 + 스테이포에버, 세트 선택=1 SET"/>
    <n v="7"/>
    <x v="0"/>
    <x v="3"/>
    <n v="201210"/>
    <m/>
    <n v="483000"/>
  </r>
  <r>
    <x v="200"/>
    <x v="4"/>
    <m/>
    <x v="1"/>
    <s v="유즈 스테이포에버 솔리드퍼퓸 002 (스테이포에버 주문시 12/15 순차배송)제품선택=스테이포에버 솔리드퍼퓸 002[Pre-order 이벤트 17% 할인]"/>
    <n v="170"/>
    <x v="0"/>
    <x v="2"/>
    <n v="201210"/>
    <m/>
    <n v="6460000"/>
  </r>
  <r>
    <x v="200"/>
    <x v="4"/>
    <m/>
    <x v="1"/>
    <s v="유즈 스테이포에버 솔리드퍼퓸 002 (스테이포에버 주문시 12/15 순차배송)제품선택=스테이포에버 2개 세트[Pre-order 이벤트 28% 할인]"/>
    <n v="41"/>
    <x v="0"/>
    <x v="8"/>
    <n v="201210"/>
    <m/>
    <n v="2410800"/>
  </r>
  <r>
    <x v="200"/>
    <x v="4"/>
    <m/>
    <x v="1"/>
    <s v="유즈 스테이포에버 솔리드퍼퓸 002 (스테이포에버 주문시 12/15 순차배송)제품선택=스테이포에버 + 이그나이트 세트"/>
    <n v="9"/>
    <x v="0"/>
    <x v="3"/>
    <n v="201210"/>
    <m/>
    <n v="621000"/>
  </r>
  <r>
    <x v="200"/>
    <x v="4"/>
    <m/>
    <x v="1"/>
    <s v="유즈 스테이포에버 솔리드퍼퓸 002 (스테이포에버 주문시 12/15 순차배송)쇼핑백=선물용 쇼핑백"/>
    <n v="5"/>
    <x v="2"/>
    <x v="11"/>
    <n v="201210"/>
    <m/>
    <n v="10000"/>
  </r>
  <r>
    <x v="200"/>
    <x v="4"/>
    <m/>
    <x v="1"/>
    <s v="유즈 이그나이트 솔리드퍼퓸 001제품선택=이그나이트 솔리드퍼퓸 - 30ml"/>
    <n v="1"/>
    <x v="0"/>
    <x v="1"/>
    <n v="201210"/>
    <m/>
    <n v="38000"/>
  </r>
  <r>
    <x v="200"/>
    <x v="4"/>
    <m/>
    <x v="1"/>
    <s v="유즈 이그나이트 솔리드퍼퓸 001제품선택=이그나이트 2개 세트"/>
    <n v="1"/>
    <x v="0"/>
    <x v="9"/>
    <n v="201210"/>
    <m/>
    <n v="58800"/>
  </r>
  <r>
    <x v="201"/>
    <x v="0"/>
    <m/>
    <x v="1"/>
    <s v="솔리드퍼퓸 스테이포에버 002 30ml"/>
    <n v="1"/>
    <x v="0"/>
    <x v="2"/>
    <n v="201210"/>
    <m/>
    <n v="38000"/>
  </r>
  <r>
    <x v="201"/>
    <x v="0"/>
    <m/>
    <x v="1"/>
    <s v="유즈 솔리드퍼퓸 - 30ml (스테이포에버 주문 시 12/15 순차배송)향=스테이포에버 002 SOLID PERFUME, 세트 선택=1"/>
    <n v="1"/>
    <x v="0"/>
    <x v="2"/>
    <n v="201210"/>
    <m/>
    <n v="38000"/>
  </r>
  <r>
    <x v="201"/>
    <x v="0"/>
    <m/>
    <x v="1"/>
    <s v="유즈 솔리드퍼퓸 - 30ml (스테이포에버 주문 시 12/15 순차배송)향=스테이포에버 002 SOLID PERFUME, 세트 선택=1 개(17% 할인)"/>
    <n v="2"/>
    <x v="0"/>
    <x v="2"/>
    <n v="201210"/>
    <m/>
    <n v="76000"/>
  </r>
  <r>
    <x v="201"/>
    <x v="0"/>
    <m/>
    <x v="1"/>
    <s v="유즈 솔리드퍼퓸 - 30ml (스테이포에버 주문 시 12/15 순차배송)향=스테이포에버, 세트 선택=1 개"/>
    <n v="3"/>
    <x v="0"/>
    <x v="2"/>
    <n v="201210"/>
    <m/>
    <n v="114000"/>
  </r>
  <r>
    <x v="201"/>
    <x v="0"/>
    <m/>
    <x v="1"/>
    <s v="유즈 솔리드퍼퓸 - 30ml (스테이포에버 주문 시 12/15 순차배송)향=스테이포에버 002 SOLID PERFUME, 세트 선택=best"/>
    <n v="2"/>
    <x v="0"/>
    <x v="2"/>
    <n v="201210"/>
    <m/>
    <n v="76000"/>
  </r>
  <r>
    <x v="201"/>
    <x v="0"/>
    <m/>
    <x v="1"/>
    <s v="유즈 솔리드퍼퓸 - 30ml (스테이포에버 주문 시 12/15 순차배송)향=스테이포에버 002 SOLID PERFUME, 세트 선택=best(28% 할인)2개"/>
    <n v="1"/>
    <x v="0"/>
    <x v="8"/>
    <n v="201210"/>
    <m/>
    <n v="58800"/>
  </r>
  <r>
    <x v="201"/>
    <x v="0"/>
    <m/>
    <x v="1"/>
    <s v="유즈 솔리드퍼퓸 - 30ml (스테이포에버 주문 시 12/15 순차배송)향=스테이포에버, 세트 선택=2개 (28% off)"/>
    <n v="2"/>
    <x v="0"/>
    <x v="8"/>
    <n v="201210"/>
    <m/>
    <n v="117600"/>
  </r>
  <r>
    <x v="201"/>
    <x v="0"/>
    <m/>
    <x v="1"/>
    <s v="유즈 솔리드퍼퓸 - 30ml (스테이포에버 주문 시 12/15 순차배송)향=이그나이트 + 스테이포에버, 세트 선택=1 SET"/>
    <n v="1"/>
    <x v="0"/>
    <x v="3"/>
    <n v="201210"/>
    <m/>
    <n v="69000"/>
  </r>
  <r>
    <x v="201"/>
    <x v="0"/>
    <m/>
    <x v="1"/>
    <s v="유즈 솔리드퍼퓸 - 30ml (스테이포에버 주문 시 12/15 순차배송)향=커플세트"/>
    <n v="1"/>
    <x v="0"/>
    <x v="3"/>
    <n v="201210"/>
    <m/>
    <n v="69000"/>
  </r>
  <r>
    <x v="201"/>
    <x v="0"/>
    <m/>
    <x v="1"/>
    <s v="유즈 솔리드퍼퓸 - 30ml (스테이포에버 주문 시 12/15 순차배송)향=커플세트(이그나이트 + 스테이포에버), 세트 선택=1 SET"/>
    <n v="4"/>
    <x v="0"/>
    <x v="3"/>
    <n v="201210"/>
    <m/>
    <n v="276000"/>
  </r>
  <r>
    <x v="201"/>
    <x v="0"/>
    <m/>
    <x v="1"/>
    <s v="유즈 솔리드퍼퓸 - 30ml (스테이포에버 주문 시 12/15 순차배송)향=이그나이트 + 스테이포에버, 세트 선택=2 SET (42% off)"/>
    <n v="1"/>
    <x v="0"/>
    <x v="8"/>
    <n v="201210"/>
    <m/>
    <n v="58800"/>
  </r>
  <r>
    <x v="201"/>
    <x v="0"/>
    <m/>
    <x v="1"/>
    <s v="유즈 솔리드퍼퓸 - 30ml (스테이포에버 주문 시 12/15 순차배송)향=커플세트"/>
    <n v="1"/>
    <x v="0"/>
    <x v="3"/>
    <n v="201210"/>
    <m/>
    <n v="69000"/>
  </r>
  <r>
    <x v="201"/>
    <x v="0"/>
    <m/>
    <x v="1"/>
    <s v="유즈 스테이포에버 솔리드퍼퓸 002 (12/4 부터 순차배송)제품선택=스테이포에버 솔리드퍼퓸 002[Pre-order 이벤트 17% 할인]"/>
    <n v="1"/>
    <x v="0"/>
    <x v="2"/>
    <n v="201210"/>
    <m/>
    <n v="38000"/>
  </r>
  <r>
    <x v="201"/>
    <x v="0"/>
    <m/>
    <x v="1"/>
    <s v="유즈 스테이포에버 솔리드퍼퓸 002 (스테이포에버 주문시 12/14 순차배송)제품선택=스테이포에버 솔리드퍼퓸 002[Pre-order 이벤트 17% 할인]"/>
    <n v="2"/>
    <x v="0"/>
    <x v="2"/>
    <n v="201210"/>
    <m/>
    <n v="76000"/>
  </r>
  <r>
    <x v="201"/>
    <x v="0"/>
    <m/>
    <x v="1"/>
    <s v="유즈 스테이포에버 솔리드퍼퓸 002 (스테이포에버 주문시 12/15 순차배송)제품선택=스테이포에버 1개"/>
    <n v="28"/>
    <x v="0"/>
    <x v="2"/>
    <n v="201210"/>
    <m/>
    <n v="1064000"/>
  </r>
  <r>
    <x v="201"/>
    <x v="0"/>
    <m/>
    <x v="1"/>
    <s v="유즈 스테이포에버 솔리드퍼퓸 002 (스테이포에버 주문시 12/15 순차배송)제품선택=스테이포에버 1개 [17% 할인]"/>
    <n v="35"/>
    <x v="0"/>
    <x v="2"/>
    <n v="201210"/>
    <m/>
    <n v="1330000"/>
  </r>
  <r>
    <x v="201"/>
    <x v="0"/>
    <m/>
    <x v="1"/>
    <s v="유즈 스테이포에버 솔리드퍼퓸 002 (스테이포에버 주문시 12/15 순차배송)제품선택=스테이포에버 [17% 할인]"/>
    <n v="36"/>
    <x v="0"/>
    <x v="2"/>
    <n v="201210"/>
    <m/>
    <n v="1368000"/>
  </r>
  <r>
    <x v="201"/>
    <x v="0"/>
    <m/>
    <x v="1"/>
    <s v="유즈 스테이포에버 솔리드퍼퓸 002 (스테이포에버 주문시 12/15 순차배송)제품선택=스테이포에버 솔리드퍼퓸 002[Pre-order 이벤트 17% 할인]"/>
    <n v="56"/>
    <x v="0"/>
    <x v="2"/>
    <n v="201210"/>
    <m/>
    <n v="2128000"/>
  </r>
  <r>
    <x v="201"/>
    <x v="0"/>
    <m/>
    <x v="1"/>
    <s v="유즈 스테이포에버 솔리드퍼퓸 002 (스테이포에버 주문시 12/15 순차배송)제품선택=best"/>
    <n v="17"/>
    <x v="0"/>
    <x v="8"/>
    <n v="201210"/>
    <m/>
    <n v="999600"/>
  </r>
  <r>
    <x v="201"/>
    <x v="0"/>
    <m/>
    <x v="1"/>
    <s v="유즈 스테이포에버 솔리드퍼퓸 002 (스테이포에버 주문시 12/15 순차배송)제품선택=best스테이포에버 2개[28% 할인]"/>
    <n v="30"/>
    <x v="0"/>
    <x v="8"/>
    <n v="201210"/>
    <m/>
    <n v="1764000"/>
  </r>
  <r>
    <x v="201"/>
    <x v="0"/>
    <m/>
    <x v="1"/>
    <s v="유즈 스테이포에버 솔리드퍼퓸 002 (스테이포에버 주문시 12/15 순차배송)제품선택=스테이포에버 2개 세트[Pre-order 이벤트 28% 할인]"/>
    <n v="22"/>
    <x v="0"/>
    <x v="8"/>
    <n v="201210"/>
    <m/>
    <n v="1293600"/>
  </r>
  <r>
    <x v="201"/>
    <x v="0"/>
    <m/>
    <x v="1"/>
    <s v="유즈 스테이포에버 솔리드퍼퓸 002 (스테이포에버 주문시 12/15 순차배송)제품선택=스테이포에버 + 이그나이트 세트"/>
    <n v="2"/>
    <x v="0"/>
    <x v="3"/>
    <n v="201210"/>
    <m/>
    <n v="138000"/>
  </r>
  <r>
    <x v="201"/>
    <x v="0"/>
    <m/>
    <x v="1"/>
    <s v="유즈 스테이포에버 솔리드퍼퓸 002 (스테이포에버 주문시 12/15 순차배송)제품선택=커플추천"/>
    <n v="3"/>
    <x v="0"/>
    <x v="3"/>
    <n v="201210"/>
    <m/>
    <n v="207000"/>
  </r>
  <r>
    <x v="201"/>
    <x v="0"/>
    <m/>
    <x v="1"/>
    <s v="유즈 스테이포에버 솔리드퍼퓸 002 (스테이포에버 주문시 12/15 순차배송)쇼핑백=선물용 쇼핑백"/>
    <n v="6"/>
    <x v="2"/>
    <x v="11"/>
    <n v="201210"/>
    <m/>
    <n v="12000"/>
  </r>
  <r>
    <x v="201"/>
    <x v="0"/>
    <m/>
    <x v="1"/>
    <s v="유즈 이그나이트 솔리드퍼퓸 001제품선택=이그나이트 솔리드퍼퓸 - 30ml"/>
    <n v="3"/>
    <x v="0"/>
    <x v="1"/>
    <n v="201210"/>
    <m/>
    <n v="114000"/>
  </r>
  <r>
    <x v="201"/>
    <x v="0"/>
    <m/>
    <x v="1"/>
    <s v="유즈 이그나이트 솔리드퍼퓸 001제품선택=이그나이트 2개 세트"/>
    <n v="2"/>
    <x v="0"/>
    <x v="9"/>
    <n v="201210"/>
    <m/>
    <n v="117600"/>
  </r>
  <r>
    <x v="202"/>
    <x v="1"/>
    <m/>
    <x v="1"/>
    <s v="유즈 솔리드퍼퓸 - 30ml (스테이포에버 주문 시 12/15 순차배송)향=이그나이트 001 SOLID PERFUME, 세트 선택=1"/>
    <n v="1"/>
    <x v="0"/>
    <x v="1"/>
    <n v="201210"/>
    <m/>
    <n v="38000"/>
  </r>
  <r>
    <x v="202"/>
    <x v="1"/>
    <m/>
    <x v="1"/>
    <s v="유즈 솔리드퍼퓸 - 30ml (스테이포에버 주문 시 12/15 순차배송)향=스테이포에버 002 SOLID PERFUME, 세트 선택=1"/>
    <n v="14"/>
    <x v="0"/>
    <x v="2"/>
    <n v="201210"/>
    <m/>
    <n v="532000"/>
  </r>
  <r>
    <x v="202"/>
    <x v="1"/>
    <m/>
    <x v="1"/>
    <s v="유즈 솔리드퍼퓸 - 30ml (스테이포에버 주문 시 12/15 순차배송)향=스테이포에버 002 SOLID PERFUME, 세트 선택=best"/>
    <n v="5"/>
    <x v="0"/>
    <x v="2"/>
    <n v="201210"/>
    <m/>
    <n v="190000"/>
  </r>
  <r>
    <x v="202"/>
    <x v="1"/>
    <m/>
    <x v="1"/>
    <s v="유즈 솔리드퍼퓸 - 30ml (스테이포에버 주문 시 12/15 순차배송)향=스테이포에버 002 SOLID PERFUME, 세트 선택=best(28% 할인)2개"/>
    <n v="5"/>
    <x v="0"/>
    <x v="8"/>
    <n v="201210"/>
    <m/>
    <n v="294000"/>
  </r>
  <r>
    <x v="202"/>
    <x v="1"/>
    <m/>
    <x v="1"/>
    <s v="유즈 솔리드퍼퓸 - 30ml (스테이포에버 주문 시 12/15 순차배송)향=커플세트"/>
    <n v="6"/>
    <x v="0"/>
    <x v="3"/>
    <n v="201210"/>
    <m/>
    <n v="414000"/>
  </r>
  <r>
    <x v="202"/>
    <x v="1"/>
    <m/>
    <x v="1"/>
    <s v="유즈 솔리드퍼퓸 - 30ml (스테이포에버 주문 시 12/15 순차배송)향=커플세트(이그나이트 + 스테이포에버), 세트 선택=1 SET"/>
    <n v="5"/>
    <x v="0"/>
    <x v="3"/>
    <n v="201210"/>
    <m/>
    <n v="345000"/>
  </r>
  <r>
    <x v="202"/>
    <x v="1"/>
    <m/>
    <x v="1"/>
    <s v="유즈 솔리드퍼퓸 - 30ml (스테이포에버 주문 시 12/15 순차배송)향=커플세트"/>
    <n v="1"/>
    <x v="0"/>
    <x v="3"/>
    <n v="201210"/>
    <m/>
    <n v="69000"/>
  </r>
  <r>
    <x v="202"/>
    <x v="1"/>
    <m/>
    <x v="1"/>
    <s v="유즈 솔리드퍼퓸 - 30ml (스테이포에버 주문 시 12/15 순차배송)향=커플세트(이그나이트 + 스테이포에버), 세트 선택=2 SET (42% 할인)"/>
    <n v="2"/>
    <x v="0"/>
    <x v="3"/>
    <n v="201210"/>
    <m/>
    <n v="138000"/>
  </r>
  <r>
    <x v="202"/>
    <x v="1"/>
    <m/>
    <x v="1"/>
    <s v="유즈 스테이포에버 솔리드퍼퓸 002 (스테이포에버 주문시 12/14 순차배송)제품선택=스테이포에버 2개 세트[Pre-order 이벤트 28% 할인]"/>
    <n v="1"/>
    <x v="0"/>
    <x v="8"/>
    <n v="201210"/>
    <m/>
    <n v="58800"/>
  </r>
  <r>
    <x v="202"/>
    <x v="1"/>
    <m/>
    <x v="1"/>
    <s v="유즈 스테이포에버 솔리드퍼퓸 002 (스테이포에버 주문시 12/15 순차배송)제품선택=스테이포에버 1개"/>
    <n v="190"/>
    <x v="0"/>
    <x v="2"/>
    <n v="201210"/>
    <m/>
    <n v="7220000"/>
  </r>
  <r>
    <x v="202"/>
    <x v="1"/>
    <m/>
    <x v="1"/>
    <s v="유즈 스테이포에버 솔리드퍼퓸 002 (스테이포에버 주문시 12/15 순차배송)제품선택=스테이포에버 [17% 할인]"/>
    <n v="1"/>
    <x v="0"/>
    <x v="2"/>
    <n v="201210"/>
    <m/>
    <n v="38000"/>
  </r>
  <r>
    <x v="202"/>
    <x v="1"/>
    <m/>
    <x v="1"/>
    <s v="유즈 스테이포에버 솔리드퍼퓸 002 (스테이포에버 주문시 12/15 순차배송)제품선택=best"/>
    <n v="45"/>
    <x v="0"/>
    <x v="8"/>
    <n v="201210"/>
    <m/>
    <n v="2646000"/>
  </r>
  <r>
    <x v="202"/>
    <x v="1"/>
    <m/>
    <x v="1"/>
    <s v="유즈 스테이포에버 솔리드퍼퓸 002 (스테이포에버 주문시 12/15 순차배송)제품선택=best스테이포에버 2개[28% 할인]"/>
    <n v="55"/>
    <x v="0"/>
    <x v="8"/>
    <n v="201210"/>
    <m/>
    <n v="3234000"/>
  </r>
  <r>
    <x v="202"/>
    <x v="1"/>
    <m/>
    <x v="1"/>
    <s v="유즈 스테이포에버 솔리드퍼퓸 002 (스테이포에버 주문시 12/15 순차배송)제품선택=스테이포에버 2개 세트[Pre-order 이벤트 28% 할인]"/>
    <n v="1"/>
    <x v="0"/>
    <x v="8"/>
    <n v="201210"/>
    <m/>
    <n v="58800"/>
  </r>
  <r>
    <x v="202"/>
    <x v="1"/>
    <m/>
    <x v="1"/>
    <s v="유즈 스테이포에버 솔리드퍼퓸 002 (스테이포에버 주문시 12/15 순차배송)제품선택=커플추천"/>
    <n v="6"/>
    <x v="0"/>
    <x v="3"/>
    <n v="201210"/>
    <m/>
    <n v="414000"/>
  </r>
  <r>
    <x v="202"/>
    <x v="1"/>
    <m/>
    <x v="1"/>
    <s v="유즈 스테이포에버 솔리드퍼퓸 002 (스테이포에버 주문시 12/15 순차배송)제품선택=커플추천스테이포에버 + 이그나이트 세트"/>
    <n v="7"/>
    <x v="0"/>
    <x v="3"/>
    <n v="201210"/>
    <m/>
    <n v="483000"/>
  </r>
  <r>
    <x v="202"/>
    <x v="1"/>
    <m/>
    <x v="1"/>
    <s v="유즈 스테이포에버 솔리드퍼퓸 002 (스테이포에버 주문시 12/15 순차배송)쇼핑백=선물용 쇼핑백"/>
    <n v="8"/>
    <x v="2"/>
    <x v="11"/>
    <n v="201210"/>
    <m/>
    <n v="16000"/>
  </r>
  <r>
    <x v="202"/>
    <x v="1"/>
    <m/>
    <x v="1"/>
    <s v="유즈 이그나이트 솔리드퍼퓸 001제품선택=이그나이트 솔리드퍼퓸 - 30ml"/>
    <n v="4"/>
    <x v="0"/>
    <x v="1"/>
    <n v="201210"/>
    <m/>
    <n v="152000"/>
  </r>
  <r>
    <x v="202"/>
    <x v="1"/>
    <m/>
    <x v="1"/>
    <s v="유즈 이그나이트 솔리드퍼퓸 001제품선택=이그나이트 2개 세트"/>
    <n v="1"/>
    <x v="0"/>
    <x v="9"/>
    <n v="201210"/>
    <m/>
    <n v="58800"/>
  </r>
  <r>
    <x v="203"/>
    <x v="5"/>
    <m/>
    <x v="1"/>
    <s v="유즈 솔리드퍼퓸 - 30ml (스테이포에버 주문 시 12/15 순차배송)향=이그나이트 001 SOLID PERFUME, 세트 선택=1"/>
    <n v="1"/>
    <x v="0"/>
    <x v="1"/>
    <n v="201210"/>
    <m/>
    <n v="38000"/>
  </r>
  <r>
    <x v="203"/>
    <x v="5"/>
    <m/>
    <x v="1"/>
    <s v="유즈 솔리드퍼퓸 - 30ml (스테이포에버 주문 시 12/15 순차배송)향=스테이포에버 002 SOLID PERFUME, 세트 선택=1"/>
    <n v="19"/>
    <x v="0"/>
    <x v="2"/>
    <n v="201210"/>
    <m/>
    <n v="722000"/>
  </r>
  <r>
    <x v="203"/>
    <x v="5"/>
    <m/>
    <x v="1"/>
    <s v="유즈 솔리드퍼퓸 - 30ml (스테이포에버 주문 시 12/15 순차배송)향=스테이포에버 002 SOLID PERFUME, 세트 선택=best"/>
    <n v="3"/>
    <x v="0"/>
    <x v="2"/>
    <n v="201210"/>
    <m/>
    <n v="114000"/>
  </r>
  <r>
    <x v="203"/>
    <x v="5"/>
    <m/>
    <x v="1"/>
    <s v="유즈 솔리드퍼퓸 - 30ml (스테이포에버 주문 시 12/15 순차배송)향=커플세트"/>
    <n v="5"/>
    <x v="0"/>
    <x v="3"/>
    <n v="201210"/>
    <m/>
    <n v="345000"/>
  </r>
  <r>
    <x v="203"/>
    <x v="5"/>
    <m/>
    <x v="1"/>
    <s v="유즈 솔리드퍼퓸 - 30ml (스테이포에버 주문 시 12/15 순차배송)향=커플세트(이그나이트 + 스테이포에버), 세트 선택=1 SET"/>
    <n v="4"/>
    <x v="0"/>
    <x v="3"/>
    <n v="201210"/>
    <m/>
    <n v="276000"/>
  </r>
  <r>
    <x v="203"/>
    <x v="5"/>
    <m/>
    <x v="1"/>
    <s v="유즈 솔리드퍼퓸 - 30ml (스테이포에버 주문 시 12/15 순차배송)향=커플세트(이그나이트 + 스테이포에버), 세트 선택=2 SET (42% 할인)"/>
    <n v="1"/>
    <x v="0"/>
    <x v="3"/>
    <n v="201210"/>
    <m/>
    <n v="69000"/>
  </r>
  <r>
    <x v="203"/>
    <x v="5"/>
    <m/>
    <x v="1"/>
    <s v="유즈 스테이포에버 솔리드퍼퓸 002 (스테이포에버 주문시 12/15 순차배송)제품선택=스테이포에버 1개"/>
    <n v="197"/>
    <x v="0"/>
    <x v="2"/>
    <n v="201210"/>
    <m/>
    <n v="7486000"/>
  </r>
  <r>
    <x v="203"/>
    <x v="5"/>
    <m/>
    <x v="1"/>
    <s v="유즈 스테이포에버 솔리드퍼퓸 002 (스테이포에버 주문시 12/15 순차배송)제품선택=스테이포에버 솔리드퍼퓸 002[Pre-order 이벤트 17% 할인]"/>
    <n v="1"/>
    <x v="0"/>
    <x v="2"/>
    <n v="201210"/>
    <m/>
    <n v="38000"/>
  </r>
  <r>
    <x v="203"/>
    <x v="5"/>
    <m/>
    <x v="1"/>
    <s v="유즈 스테이포에버 솔리드퍼퓸 002 (스테이포에버 주문시 12/15 순차배송)제품선택=best"/>
    <n v="44"/>
    <x v="0"/>
    <x v="8"/>
    <n v="201210"/>
    <m/>
    <n v="2587200"/>
  </r>
  <r>
    <x v="203"/>
    <x v="5"/>
    <m/>
    <x v="1"/>
    <s v="유즈 스테이포에버 솔리드퍼퓸 002 (스테이포에버 주문시 12/15 순차배송)제품선택=best스테이포에버 2개[28% 할인]"/>
    <n v="54"/>
    <x v="0"/>
    <x v="8"/>
    <n v="201210"/>
    <m/>
    <n v="3175200"/>
  </r>
  <r>
    <x v="203"/>
    <x v="5"/>
    <m/>
    <x v="1"/>
    <s v="유즈 스테이포에버 솔리드퍼퓸 002 (스테이포에버 주문시 12/15 순차배송)제품선택=커플추천"/>
    <n v="2"/>
    <x v="0"/>
    <x v="3"/>
    <n v="201210"/>
    <m/>
    <n v="138000"/>
  </r>
  <r>
    <x v="203"/>
    <x v="5"/>
    <m/>
    <x v="1"/>
    <s v="유즈 스테이포에버 솔리드퍼퓸 002 (스테이포에버 주문시 12/15 순차배송)제품선택=커플추천스테이포에버 + 이그나이트 세트"/>
    <n v="8"/>
    <x v="0"/>
    <x v="3"/>
    <n v="201210"/>
    <m/>
    <n v="552000"/>
  </r>
  <r>
    <x v="203"/>
    <x v="5"/>
    <m/>
    <x v="1"/>
    <s v="유즈 스테이포에버 솔리드퍼퓸 002 (스테이포에버 주문시 12/15 순차배송)쇼핑백=선물용 쇼핑백"/>
    <n v="3"/>
    <x v="2"/>
    <x v="11"/>
    <n v="201210"/>
    <m/>
    <n v="6000"/>
  </r>
  <r>
    <x v="203"/>
    <x v="5"/>
    <m/>
    <x v="1"/>
    <s v="유즈 이그나이트 솔리드퍼퓸 001제품선택=이그나이트 솔리드퍼퓸 - 30ml"/>
    <n v="3"/>
    <x v="0"/>
    <x v="1"/>
    <n v="201210"/>
    <m/>
    <n v="114000"/>
  </r>
  <r>
    <x v="203"/>
    <x v="5"/>
    <m/>
    <x v="1"/>
    <s v="유즈 이그나이트 솔리드퍼퓸 001제품선택=이그나이트 2개 세트"/>
    <n v="1"/>
    <x v="0"/>
    <x v="9"/>
    <n v="201210"/>
    <m/>
    <n v="58800"/>
  </r>
  <r>
    <x v="204"/>
    <x v="6"/>
    <m/>
    <x v="1"/>
    <s v="스테이포에버 솔리드퍼퓸 002 (10차 재입고 완료제품선택=스테이포에버 1개"/>
    <n v="20"/>
    <x v="0"/>
    <x v="2"/>
    <n v="201210"/>
    <m/>
    <n v="760000"/>
  </r>
  <r>
    <x v="204"/>
    <x v="6"/>
    <m/>
    <x v="1"/>
    <s v="스테이포에버 솔리드퍼퓸 002 (10차 재입고 완료제품선택=best"/>
    <n v="15"/>
    <x v="0"/>
    <x v="8"/>
    <n v="201210"/>
    <m/>
    <n v="882000"/>
  </r>
  <r>
    <x v="204"/>
    <x v="6"/>
    <m/>
    <x v="1"/>
    <s v="스테이포에버 솔리드퍼퓸 002 (10차 재입고 완료제품선택=커플추천"/>
    <n v="2"/>
    <x v="0"/>
    <x v="3"/>
    <n v="201210"/>
    <m/>
    <n v="138000"/>
  </r>
  <r>
    <x v="204"/>
    <x v="6"/>
    <m/>
    <x v="1"/>
    <s v="스테이포에버 솔리드퍼퓸 002 (10차 재입고 완료쇼핑백=선물용 쇼핑백"/>
    <n v="1"/>
    <x v="2"/>
    <x v="11"/>
    <n v="201210"/>
    <m/>
    <n v="2000"/>
  </r>
  <r>
    <x v="204"/>
    <x v="6"/>
    <m/>
    <x v="1"/>
    <s v="스테이포에버 솔리드퍼퓸 002 (10차 재입고 완료)제품선택=스테이포에버 1개"/>
    <n v="45"/>
    <x v="0"/>
    <x v="2"/>
    <n v="201210"/>
    <m/>
    <n v="1710000"/>
  </r>
  <r>
    <x v="204"/>
    <x v="6"/>
    <m/>
    <x v="1"/>
    <s v="스테이포에버 솔리드퍼퓸 002 (10차 재입고 완료)제품선택=best스테이포에버 2개[28% 할인]"/>
    <n v="12"/>
    <x v="0"/>
    <x v="8"/>
    <n v="201210"/>
    <m/>
    <n v="705600"/>
  </r>
  <r>
    <x v="204"/>
    <x v="6"/>
    <m/>
    <x v="1"/>
    <s v="스테이포에버 솔리드퍼퓸 002 (10차 재입고 완료)제품선택=커플추천스테이포에버 + 이그나이트 세트"/>
    <n v="1"/>
    <x v="0"/>
    <x v="3"/>
    <n v="201210"/>
    <m/>
    <n v="69000"/>
  </r>
  <r>
    <x v="204"/>
    <x v="6"/>
    <m/>
    <x v="1"/>
    <s v="스테이포에버 솔리드퍼퓸 002 (10차 재입고 완료)쇼핑백=선물용 쇼핑백"/>
    <n v="4"/>
    <x v="2"/>
    <x v="11"/>
    <n v="201210"/>
    <m/>
    <n v="8000"/>
  </r>
  <r>
    <x v="204"/>
    <x v="6"/>
    <m/>
    <x v="1"/>
    <s v="유즈 솔리드퍼퓸 - 30ml (10차 재입고 완료향=스테이포에버 002 SOLID PERFUME, 세트 선택=1개"/>
    <n v="3"/>
    <x v="0"/>
    <x v="2"/>
    <n v="201210"/>
    <m/>
    <n v="114000"/>
  </r>
  <r>
    <x v="204"/>
    <x v="6"/>
    <m/>
    <x v="1"/>
    <s v="유즈 솔리드퍼퓸 - 30ml (10차 재입고 완료 )향=스테이포에버 002 SOLID PERFUME, 세트 선택=1개"/>
    <n v="3"/>
    <x v="0"/>
    <x v="2"/>
    <n v="201210"/>
    <m/>
    <n v="114000"/>
  </r>
  <r>
    <x v="204"/>
    <x v="6"/>
    <m/>
    <x v="1"/>
    <s v="유즈 솔리드퍼퓸 - 30ml (10차 재입고 완료 )향=스테이포에버 002 SOLID PERFUME, 세트 선택=best 2개 (28% 할인)"/>
    <n v="2"/>
    <x v="0"/>
    <x v="8"/>
    <n v="201210"/>
    <m/>
    <n v="117600"/>
  </r>
  <r>
    <x v="204"/>
    <x v="6"/>
    <m/>
    <x v="1"/>
    <s v="유즈 솔리드퍼퓸 - 30ml (스테이포에버 주문 시 12/15 순차배송)향=스테이포에버 002 SOLID PERFUME, 세트 선택=1"/>
    <n v="7"/>
    <x v="0"/>
    <x v="2"/>
    <n v="201210"/>
    <m/>
    <n v="266000"/>
  </r>
  <r>
    <x v="204"/>
    <x v="6"/>
    <m/>
    <x v="1"/>
    <s v="유즈 솔리드퍼퓸 - 30ml (스테이포에버 주문 시 12/15 순차배송)향=스테이포에버, 세트 선택=1 개"/>
    <n v="2"/>
    <x v="0"/>
    <x v="2"/>
    <n v="201210"/>
    <m/>
    <n v="76000"/>
  </r>
  <r>
    <x v="204"/>
    <x v="6"/>
    <m/>
    <x v="1"/>
    <s v="유즈 솔리드퍼퓸 - 30ml (스테이포에버 주문 시 12/15 순차배송)향=스테이포에버 002 SOLID PERFUME, 세트 선택=best"/>
    <n v="3"/>
    <x v="0"/>
    <x v="2"/>
    <n v="201210"/>
    <m/>
    <n v="114000"/>
  </r>
  <r>
    <x v="204"/>
    <x v="6"/>
    <m/>
    <x v="1"/>
    <s v="유즈 솔리드퍼퓸 - 30ml (스테이포에버 주문 시 12/15 순차배송)향=스테이포에버 002 SOLID PERFUME, 세트 선택=best(28% 할인)2개"/>
    <n v="1"/>
    <x v="0"/>
    <x v="8"/>
    <n v="201210"/>
    <m/>
    <n v="58800"/>
  </r>
  <r>
    <x v="204"/>
    <x v="6"/>
    <m/>
    <x v="1"/>
    <s v="유즈 솔리드퍼퓸 - 30ml (스테이포에버 주문 시 12/15 순차배송)향=이그나이트 + 스테이포에버, 세트 선택=1 SET"/>
    <n v="3"/>
    <x v="0"/>
    <x v="3"/>
    <n v="201210"/>
    <m/>
    <n v="207000"/>
  </r>
  <r>
    <x v="204"/>
    <x v="6"/>
    <m/>
    <x v="1"/>
    <s v="유즈 솔리드퍼퓸 - 30ml (스테이포에버 주문 시 12/15 순차배송)향=커플세트"/>
    <n v="7"/>
    <x v="0"/>
    <x v="3"/>
    <n v="201210"/>
    <m/>
    <n v="483000"/>
  </r>
  <r>
    <x v="204"/>
    <x v="6"/>
    <m/>
    <x v="1"/>
    <s v="유즈 솔리드퍼퓸 - 30ml (스테이포에버 주문 시 12/15 순차배송)향=커플세트(이그나이트 + 스테이포에버), 세트 선택=1 SET"/>
    <n v="2"/>
    <x v="0"/>
    <x v="3"/>
    <n v="201210"/>
    <m/>
    <n v="138000"/>
  </r>
  <r>
    <x v="204"/>
    <x v="6"/>
    <m/>
    <x v="1"/>
    <s v="유즈 스테이포에버 솔리드퍼퓸 002 (10차 재입고 완료제품선택=커플추천"/>
    <n v="1"/>
    <x v="0"/>
    <x v="3"/>
    <n v="201210"/>
    <m/>
    <n v="69000"/>
  </r>
  <r>
    <x v="204"/>
    <x v="6"/>
    <m/>
    <x v="1"/>
    <s v="유즈 스테이포에버 솔리드퍼퓸 002 (10차 재입고 완료)제품선택=스테이포에버 1개"/>
    <n v="1"/>
    <x v="0"/>
    <x v="2"/>
    <n v="201210"/>
    <m/>
    <n v="38000"/>
  </r>
  <r>
    <x v="204"/>
    <x v="6"/>
    <m/>
    <x v="1"/>
    <s v="유즈 스테이포에버 솔리드퍼퓸 002 (스테이포에버 주문시 12/14 순차배송)제품선택=스테이포에버 솔리드퍼퓸 002[Pre-order 이벤트 17% 할인]"/>
    <n v="1"/>
    <x v="0"/>
    <x v="2"/>
    <n v="201210"/>
    <m/>
    <n v="38000"/>
  </r>
  <r>
    <x v="204"/>
    <x v="6"/>
    <m/>
    <x v="1"/>
    <s v="유즈 스테이포에버 솔리드퍼퓸 002 (스테이포에버 주문시 12/15 순차배송)제품선택=스테이포에버 1개"/>
    <n v="166"/>
    <x v="0"/>
    <x v="2"/>
    <n v="201210"/>
    <m/>
    <n v="6308000"/>
  </r>
  <r>
    <x v="204"/>
    <x v="6"/>
    <m/>
    <x v="1"/>
    <s v="유즈 스테이포에버 솔리드퍼퓸 002 (스테이포에버 주문시 12/15 순차배송)제품선택=스테이포에버 1개 [17% 할인]"/>
    <n v="3"/>
    <x v="0"/>
    <x v="2"/>
    <n v="201210"/>
    <m/>
    <n v="114000"/>
  </r>
  <r>
    <x v="204"/>
    <x v="6"/>
    <m/>
    <x v="1"/>
    <s v="유즈 스테이포에버 솔리드퍼퓸 002 (스테이포에버 주문시 12/15 순차배송)제품선택=스테이포에버 [17% 할인]"/>
    <n v="3"/>
    <x v="0"/>
    <x v="2"/>
    <n v="201210"/>
    <m/>
    <n v="114000"/>
  </r>
  <r>
    <x v="204"/>
    <x v="6"/>
    <m/>
    <x v="1"/>
    <s v="유즈 스테이포에버 솔리드퍼퓸 002 (스테이포에버 주문시 12/15 순차배송)제품선택=스테이포에버 솔리드퍼퓸 002[Pre-order 이벤트 17% 할인]"/>
    <n v="20"/>
    <x v="0"/>
    <x v="2"/>
    <n v="201210"/>
    <m/>
    <n v="760000"/>
  </r>
  <r>
    <x v="204"/>
    <x v="6"/>
    <m/>
    <x v="1"/>
    <s v="유즈 스테이포에버 솔리드퍼퓸 002 (스테이포에버 주문시 12/15 순차배송)제품선택=best"/>
    <n v="44"/>
    <x v="0"/>
    <x v="8"/>
    <n v="201210"/>
    <m/>
    <n v="2587200"/>
  </r>
  <r>
    <x v="204"/>
    <x v="6"/>
    <m/>
    <x v="1"/>
    <s v="유즈 스테이포에버 솔리드퍼퓸 002 (스테이포에버 주문시 12/15 순차배송)제품선택=best스테이포에버 2개[28% 할인]"/>
    <n v="33"/>
    <x v="0"/>
    <x v="8"/>
    <n v="201210"/>
    <m/>
    <n v="1940400"/>
  </r>
  <r>
    <x v="204"/>
    <x v="6"/>
    <m/>
    <x v="1"/>
    <s v="유즈 스테이포에버 솔리드퍼퓸 002 (스테이포에버 주문시 12/15 순차배송)제품선택=스테이포에버 2개 세트[Pre-order 이벤트 28% 할인]"/>
    <n v="7"/>
    <x v="0"/>
    <x v="8"/>
    <n v="201210"/>
    <m/>
    <n v="411600"/>
  </r>
  <r>
    <x v="204"/>
    <x v="6"/>
    <m/>
    <x v="1"/>
    <s v="유즈 스테이포에버 솔리드퍼퓸 002 (스테이포에버 주문시 12/15 순차배송)제품선택=스테이포에버 + 이그나이트 세트"/>
    <n v="1"/>
    <x v="0"/>
    <x v="3"/>
    <n v="201210"/>
    <m/>
    <n v="69000"/>
  </r>
  <r>
    <x v="204"/>
    <x v="6"/>
    <m/>
    <x v="1"/>
    <s v="유즈 스테이포에버 솔리드퍼퓸 002 (스테이포에버 주문시 12/15 순차배송)제품선택=커플추천"/>
    <n v="4"/>
    <x v="0"/>
    <x v="3"/>
    <n v="201210"/>
    <m/>
    <n v="276000"/>
  </r>
  <r>
    <x v="204"/>
    <x v="6"/>
    <m/>
    <x v="1"/>
    <s v="유즈 스테이포에버 솔리드퍼퓸 002 (스테이포에버 주문시 12/15 순차배송)제품선택=커플추천스테이포에버 + 이그나이트 세트"/>
    <n v="6"/>
    <x v="0"/>
    <x v="3"/>
    <n v="201210"/>
    <m/>
    <n v="414000"/>
  </r>
  <r>
    <x v="204"/>
    <x v="6"/>
    <m/>
    <x v="1"/>
    <s v="유즈 스테이포에버 솔리드퍼퓸 002 (스테이포에버 주문시 12/15 순차배송)쇼핑백=선물용 쇼핑백"/>
    <n v="4"/>
    <x v="2"/>
    <x v="11"/>
    <n v="201210"/>
    <m/>
    <n v="8000"/>
  </r>
  <r>
    <x v="204"/>
    <x v="6"/>
    <m/>
    <x v="1"/>
    <s v="유즈 이그나이트 솔리드퍼퓸 001제품선택=이그나이트 솔리드퍼퓸 - 30ml"/>
    <n v="4"/>
    <x v="0"/>
    <x v="1"/>
    <n v="201210"/>
    <m/>
    <n v="152000"/>
  </r>
  <r>
    <x v="204"/>
    <x v="6"/>
    <m/>
    <x v="1"/>
    <s v="유즈 이그나이트 솔리드퍼퓸 001제품선택=이그나이트 2개 세트"/>
    <n v="2"/>
    <x v="0"/>
    <x v="9"/>
    <n v="201210"/>
    <m/>
    <n v="117600"/>
  </r>
  <r>
    <x v="205"/>
    <x v="2"/>
    <m/>
    <x v="2"/>
    <s v="솔리드퍼퓸 스테이포에버 002 30ml"/>
    <n v="40"/>
    <x v="0"/>
    <x v="2"/>
    <n v="201210"/>
    <m/>
    <n v="0"/>
  </r>
  <r>
    <x v="205"/>
    <x v="2"/>
    <m/>
    <x v="1"/>
    <s v="스테이포에버 솔리드퍼퓸 002 (10차 재입고 완료제품선택=스테이포에버 1개"/>
    <n v="137"/>
    <x v="0"/>
    <x v="2"/>
    <n v="201210"/>
    <m/>
    <n v="5206000"/>
  </r>
  <r>
    <x v="205"/>
    <x v="2"/>
    <m/>
    <x v="1"/>
    <s v="스테이포에버 솔리드퍼퓸 002 (10차 재입고 완료제품선택=best"/>
    <n v="65"/>
    <x v="0"/>
    <x v="8"/>
    <n v="201210"/>
    <m/>
    <n v="3822000"/>
  </r>
  <r>
    <x v="205"/>
    <x v="2"/>
    <m/>
    <x v="1"/>
    <s v="스테이포에버 솔리드퍼퓸 002 (10차 재입고 완료제품선택=커플추천"/>
    <n v="10"/>
    <x v="0"/>
    <x v="3"/>
    <n v="201210"/>
    <m/>
    <n v="690000"/>
  </r>
  <r>
    <x v="205"/>
    <x v="2"/>
    <m/>
    <x v="1"/>
    <s v="스테이포에버 솔리드퍼퓸 002 (10차 재입고 완료쇼핑백=선물용 쇼핑백"/>
    <n v="5"/>
    <x v="2"/>
    <x v="11"/>
    <n v="201210"/>
    <m/>
    <n v="10000"/>
  </r>
  <r>
    <x v="205"/>
    <x v="2"/>
    <m/>
    <x v="1"/>
    <s v="스테이포에버 솔리드퍼퓸 002 (10차 재입고 완료)제품선택=스테이포에버 1개"/>
    <n v="134"/>
    <x v="0"/>
    <x v="2"/>
    <n v="201210"/>
    <m/>
    <n v="5092000"/>
  </r>
  <r>
    <x v="205"/>
    <x v="2"/>
    <m/>
    <x v="1"/>
    <s v="스테이포에버 솔리드퍼퓸 002 (10차 재입고 완료)제품선택=best스테이포에버 2개[28% 할인]"/>
    <n v="62"/>
    <x v="0"/>
    <x v="8"/>
    <n v="201210"/>
    <m/>
    <n v="3645600"/>
  </r>
  <r>
    <x v="205"/>
    <x v="2"/>
    <m/>
    <x v="1"/>
    <s v="스테이포에버 솔리드퍼퓸 002 (10차 재입고 완료)제품선택=커플추천스테이포에버 + 이그나이트 세트"/>
    <n v="8"/>
    <x v="0"/>
    <x v="3"/>
    <n v="201210"/>
    <m/>
    <n v="552000"/>
  </r>
  <r>
    <x v="205"/>
    <x v="2"/>
    <m/>
    <x v="1"/>
    <s v="스테이포에버 솔리드퍼퓸 002 (10차 재입고 완료)쇼핑백=선물용 쇼핑백"/>
    <n v="9"/>
    <x v="2"/>
    <x v="11"/>
    <n v="201210"/>
    <m/>
    <n v="18000"/>
  </r>
  <r>
    <x v="205"/>
    <x v="2"/>
    <m/>
    <x v="1"/>
    <s v="유즈 솔리드퍼퓸 - 30ml (10차 재입고 완료향=이그나이트 001 SOLID PERFUME, 세트 선택=1개"/>
    <n v="1"/>
    <x v="0"/>
    <x v="1"/>
    <n v="201210"/>
    <m/>
    <n v="38000"/>
  </r>
  <r>
    <x v="205"/>
    <x v="2"/>
    <m/>
    <x v="1"/>
    <s v="유즈 솔리드퍼퓸 - 30ml (10차 재입고 완료향=스테이포에버 002 SOLID PERFUME, 세트 선택=1개"/>
    <n v="7"/>
    <x v="0"/>
    <x v="2"/>
    <n v="201210"/>
    <m/>
    <n v="266000"/>
  </r>
  <r>
    <x v="205"/>
    <x v="2"/>
    <m/>
    <x v="1"/>
    <s v="유즈 솔리드퍼퓸 - 30ml (10차 재입고 완료향=스테이포에버 002 SOLID PERFUME, 세트 선택=best"/>
    <n v="3"/>
    <x v="0"/>
    <x v="8"/>
    <n v="201210"/>
    <m/>
    <n v="176400"/>
  </r>
  <r>
    <x v="205"/>
    <x v="2"/>
    <m/>
    <x v="1"/>
    <s v="유즈 솔리드퍼퓸 - 30ml (10차 재입고 완료향=커플세트"/>
    <n v="3"/>
    <x v="0"/>
    <x v="3"/>
    <n v="201210"/>
    <m/>
    <n v="207000"/>
  </r>
  <r>
    <x v="205"/>
    <x v="2"/>
    <m/>
    <x v="1"/>
    <s v="유즈 솔리드퍼퓸 - 30ml (10차 재입고 완료향=커플세트"/>
    <n v="3"/>
    <x v="0"/>
    <x v="3"/>
    <n v="201210"/>
    <m/>
    <n v="207000"/>
  </r>
  <r>
    <x v="205"/>
    <x v="2"/>
    <m/>
    <x v="1"/>
    <s v="유즈 솔리드퍼퓸 - 30ml (10차 재입고 완료 )향=이그나이트 001 SOLID PERFUME, 세트 선택=1개"/>
    <n v="1"/>
    <x v="0"/>
    <x v="1"/>
    <n v="201210"/>
    <m/>
    <n v="38000"/>
  </r>
  <r>
    <x v="205"/>
    <x v="2"/>
    <m/>
    <x v="1"/>
    <s v="유즈 솔리드퍼퓸 - 30ml (10차 재입고 완료 )향=스테이포에버 002 SOLID PERFUME, 세트 선택=1개"/>
    <n v="5"/>
    <x v="0"/>
    <x v="2"/>
    <n v="201210"/>
    <m/>
    <n v="190000"/>
  </r>
  <r>
    <x v="205"/>
    <x v="2"/>
    <m/>
    <x v="1"/>
    <s v="유즈 솔리드퍼퓸 - 30ml (10차 재입고 완료 )향=스테이포에버 002 SOLID PERFUME, 세트 선택=best 2개 (28% 할인)"/>
    <n v="1"/>
    <x v="0"/>
    <x v="8"/>
    <n v="201210"/>
    <m/>
    <n v="58800"/>
  </r>
  <r>
    <x v="205"/>
    <x v="2"/>
    <m/>
    <x v="1"/>
    <s v="유즈 솔리드퍼퓸 - 30ml (10차 재입고 완료 )향=커플세트(이그나이트 + 스테이포에버), 세트 선택=1 SET"/>
    <n v="1"/>
    <x v="0"/>
    <x v="3"/>
    <n v="201210"/>
    <m/>
    <n v="69000"/>
  </r>
  <r>
    <x v="205"/>
    <x v="2"/>
    <m/>
    <x v="1"/>
    <s v="유즈 솔리드퍼퓸 - 30ml (스테이포에버 주문 시 12/15 순차배송)향=스테이포에버 002 SOLID PERFUME, 세트 선택=1"/>
    <n v="1"/>
    <x v="0"/>
    <x v="2"/>
    <n v="201210"/>
    <m/>
    <n v="38000"/>
  </r>
  <r>
    <x v="205"/>
    <x v="2"/>
    <m/>
    <x v="1"/>
    <s v="유즈 스테이포에버 솔리드퍼퓸 002 (스테이포에버 주문시 12/15 순차배송)제품선택=스테이포에버 1개"/>
    <n v="5"/>
    <x v="0"/>
    <x v="2"/>
    <n v="201210"/>
    <m/>
    <n v="190000"/>
  </r>
  <r>
    <x v="205"/>
    <x v="2"/>
    <m/>
    <x v="1"/>
    <s v="유즈 스테이포에버 솔리드퍼퓸 002 (스테이포에버 주문시 12/15 순차배송)제품선택=스테이포에버 1개 [17% 할인]"/>
    <n v="1"/>
    <x v="0"/>
    <x v="2"/>
    <n v="201210"/>
    <m/>
    <n v="38000"/>
  </r>
  <r>
    <x v="205"/>
    <x v="2"/>
    <m/>
    <x v="1"/>
    <s v="유즈 이그나이트 솔리드퍼퓸 001제품선택=이그나이트 솔리드퍼퓸 - 30ml"/>
    <n v="5"/>
    <x v="0"/>
    <x v="1"/>
    <n v="201210"/>
    <m/>
    <n v="190000"/>
  </r>
  <r>
    <x v="206"/>
    <x v="3"/>
    <m/>
    <x v="2"/>
    <s v="솔리드퍼퓸 스테이포에버 002 30ml"/>
    <n v="3"/>
    <x v="0"/>
    <x v="2"/>
    <n v="201210"/>
    <m/>
    <n v="0"/>
  </r>
  <r>
    <x v="206"/>
    <x v="3"/>
    <m/>
    <x v="1"/>
    <s v="스테이포에버 솔리드퍼퓸 002 (10차 재입고 완료제품선택=스테이포에버 1개"/>
    <n v="94"/>
    <x v="0"/>
    <x v="2"/>
    <n v="201210"/>
    <m/>
    <n v="3572000"/>
  </r>
  <r>
    <x v="206"/>
    <x v="3"/>
    <m/>
    <x v="1"/>
    <s v="스테이포에버 솔리드퍼퓸 002 (10차 재입고 완료제품선택=best"/>
    <n v="44"/>
    <x v="0"/>
    <x v="8"/>
    <n v="201210"/>
    <m/>
    <n v="2587200"/>
  </r>
  <r>
    <x v="206"/>
    <x v="3"/>
    <m/>
    <x v="1"/>
    <s v="스테이포에버 솔리드퍼퓸 002 (10차 재입고 완료제품선택=커플추천"/>
    <n v="9"/>
    <x v="0"/>
    <x v="3"/>
    <n v="201210"/>
    <m/>
    <n v="621000"/>
  </r>
  <r>
    <x v="206"/>
    <x v="3"/>
    <m/>
    <x v="1"/>
    <s v="스테이포에버 솔리드퍼퓸 002 (10차 재입고 완료쇼핑백=선물용 쇼핑백"/>
    <n v="2"/>
    <x v="2"/>
    <x v="11"/>
    <n v="201210"/>
    <m/>
    <n v="4000"/>
  </r>
  <r>
    <x v="206"/>
    <x v="3"/>
    <m/>
    <x v="1"/>
    <s v="스테이포에버 솔리드퍼퓸 002 (10차 재입고 완료)제품선택=스테이포에버 1개"/>
    <n v="158"/>
    <x v="0"/>
    <x v="2"/>
    <n v="201210"/>
    <m/>
    <n v="6004000"/>
  </r>
  <r>
    <x v="206"/>
    <x v="3"/>
    <m/>
    <x v="1"/>
    <s v="스테이포에버 솔리드퍼퓸 002 (10차 재입고 완료)제품선택=best스테이포에버 2개[28% 할인]"/>
    <n v="60"/>
    <x v="0"/>
    <x v="8"/>
    <n v="201210"/>
    <m/>
    <n v="3528000"/>
  </r>
  <r>
    <x v="206"/>
    <x v="3"/>
    <m/>
    <x v="1"/>
    <s v="스테이포에버 솔리드퍼퓸 002 (10차 재입고 완료)제품선택=커플추천스테이포에버 + 이그나이트 세트"/>
    <n v="9"/>
    <x v="0"/>
    <x v="3"/>
    <n v="201210"/>
    <m/>
    <n v="621000"/>
  </r>
  <r>
    <x v="206"/>
    <x v="3"/>
    <m/>
    <x v="1"/>
    <s v="스테이포에버 솔리드퍼퓸 002 (10차 재입고 완료)쇼핑백=선물용 쇼핑백"/>
    <n v="5"/>
    <x v="2"/>
    <x v="11"/>
    <n v="201210"/>
    <m/>
    <n v="10000"/>
  </r>
  <r>
    <x v="206"/>
    <x v="3"/>
    <m/>
    <x v="1"/>
    <s v="유즈 솔리드퍼퓸 - 30ml (10차 재입고 완료향=스테이포에버 002 SOLID PERFUME, 세트 선택=1개"/>
    <n v="5"/>
    <x v="0"/>
    <x v="2"/>
    <n v="201210"/>
    <m/>
    <n v="190000"/>
  </r>
  <r>
    <x v="206"/>
    <x v="3"/>
    <m/>
    <x v="1"/>
    <s v="유즈 솔리드퍼퓸 - 30ml (10차 재입고 완료향=스테이포에버 002 SOLID PERFUME, 세트 선택=best"/>
    <n v="6"/>
    <x v="0"/>
    <x v="8"/>
    <n v="201210"/>
    <m/>
    <n v="352800"/>
  </r>
  <r>
    <x v="206"/>
    <x v="3"/>
    <m/>
    <x v="1"/>
    <s v="유즈 솔리드퍼퓸 - 30ml (10차 재입고 완료향=커플세트"/>
    <n v="7"/>
    <x v="0"/>
    <x v="3"/>
    <n v="201210"/>
    <m/>
    <n v="483000"/>
  </r>
  <r>
    <x v="206"/>
    <x v="3"/>
    <m/>
    <x v="1"/>
    <s v="유즈 솔리드퍼퓸 - 30ml (10차 재입고 완료향=커플세트"/>
    <n v="1"/>
    <x v="0"/>
    <x v="3"/>
    <n v="201210"/>
    <m/>
    <n v="69000"/>
  </r>
  <r>
    <x v="206"/>
    <x v="3"/>
    <m/>
    <x v="1"/>
    <s v="유즈 솔리드퍼퓸 - 30ml (10차 재입고 완료 )향=이그나이트 001 SOLID PERFUME, 세트 선택=1개"/>
    <n v="2"/>
    <x v="0"/>
    <x v="1"/>
    <n v="201210"/>
    <m/>
    <n v="76000"/>
  </r>
  <r>
    <x v="206"/>
    <x v="3"/>
    <m/>
    <x v="1"/>
    <s v="유즈 솔리드퍼퓸 - 30ml (10차 재입고 완료 )향=스테이포에버 002 SOLID PERFUME, 세트 선택=1개"/>
    <n v="6"/>
    <x v="0"/>
    <x v="2"/>
    <n v="201210"/>
    <m/>
    <n v="228000"/>
  </r>
  <r>
    <x v="206"/>
    <x v="3"/>
    <m/>
    <x v="1"/>
    <s v="유즈 솔리드퍼퓸 - 30ml (10차 재입고 완료 )향=스테이포에버 002 SOLID PERFUME, 세트 선택=best 2개 (28% 할인)"/>
    <n v="1"/>
    <x v="0"/>
    <x v="8"/>
    <n v="201210"/>
    <m/>
    <n v="58800"/>
  </r>
  <r>
    <x v="206"/>
    <x v="3"/>
    <m/>
    <x v="1"/>
    <s v="유즈 솔리드퍼퓸 - 30ml (10차 재입고 완료 )향=커플세트(이그나이트 + 스테이포에버), 세트 선택=1 SET"/>
    <n v="3"/>
    <x v="0"/>
    <x v="3"/>
    <n v="201210"/>
    <m/>
    <n v="207000"/>
  </r>
  <r>
    <x v="206"/>
    <x v="3"/>
    <m/>
    <x v="1"/>
    <s v="유즈 스테이포에버 솔리드퍼퓸 002 (스테이포에버 주문시 12/15 순차배송)제품선택=스테이포에버 1개"/>
    <n v="3"/>
    <x v="0"/>
    <x v="2"/>
    <n v="201210"/>
    <m/>
    <n v="114000"/>
  </r>
  <r>
    <x v="206"/>
    <x v="3"/>
    <m/>
    <x v="1"/>
    <s v="유즈 스테이포에버 솔리드퍼퓸 002 (스테이포에버 주문시 12/15 순차배송)제품선택=best"/>
    <n v="1"/>
    <x v="0"/>
    <x v="8"/>
    <n v="201210"/>
    <m/>
    <n v="58800"/>
  </r>
  <r>
    <x v="206"/>
    <x v="3"/>
    <m/>
    <x v="1"/>
    <s v="유즈 이그나이트 솔리드퍼퓸 001제품선택=이그나이트 솔리드퍼퓸 - 30ml"/>
    <n v="1"/>
    <x v="0"/>
    <x v="1"/>
    <n v="201210"/>
    <m/>
    <n v="38000"/>
  </r>
  <r>
    <x v="206"/>
    <x v="3"/>
    <m/>
    <x v="1"/>
    <s v="유즈 이그나이트 솔리드퍼퓸 001제품선택=이그나이트 2개 세트"/>
    <n v="1"/>
    <x v="0"/>
    <x v="9"/>
    <n v="201210"/>
    <m/>
    <n v="58800"/>
  </r>
  <r>
    <x v="207"/>
    <x v="4"/>
    <m/>
    <x v="2"/>
    <s v="솔리드퍼퓸 스테이포에버 002 30ml"/>
    <n v="8"/>
    <x v="0"/>
    <x v="2"/>
    <n v="201210"/>
    <m/>
    <n v="0"/>
  </r>
  <r>
    <x v="207"/>
    <x v="4"/>
    <m/>
    <x v="2"/>
    <s v="유즈 솔리드퍼퓸 - 30ml (10차 재입고 완료향=커플세트"/>
    <n v="1"/>
    <x v="0"/>
    <x v="3"/>
    <n v="201210"/>
    <m/>
    <n v="0"/>
  </r>
  <r>
    <x v="207"/>
    <x v="4"/>
    <m/>
    <x v="1"/>
    <s v="유즈 솔리드퍼퓸 - 30ml (10차 재입고 완료향=이그나이트 001 SOLID PERFUME, 세트 선택=best"/>
    <n v="1"/>
    <x v="0"/>
    <x v="9"/>
    <n v="201210"/>
    <m/>
    <n v="58800"/>
  </r>
  <r>
    <x v="207"/>
    <x v="4"/>
    <m/>
    <x v="1"/>
    <s v="스테이포에버 솔리드퍼퓸 002 (10차 재입고 완료제품선택=스테이포에버 1개"/>
    <n v="101"/>
    <x v="0"/>
    <x v="2"/>
    <n v="201210"/>
    <m/>
    <n v="3838000"/>
  </r>
  <r>
    <x v="207"/>
    <x v="4"/>
    <m/>
    <x v="1"/>
    <s v="스테이포에버 솔리드퍼퓸 002 (10차 재입고 완료제품선택=best"/>
    <n v="53"/>
    <x v="0"/>
    <x v="8"/>
    <n v="201210"/>
    <m/>
    <n v="3116400"/>
  </r>
  <r>
    <x v="207"/>
    <x v="4"/>
    <m/>
    <x v="1"/>
    <s v="스테이포에버 솔리드퍼퓸 002 (10차 재입고 완료제품선택=커플추천"/>
    <n v="6"/>
    <x v="0"/>
    <x v="3"/>
    <n v="201210"/>
    <m/>
    <n v="414000"/>
  </r>
  <r>
    <x v="207"/>
    <x v="4"/>
    <m/>
    <x v="1"/>
    <s v="스테이포에버 솔리드퍼퓸 002 (10차 재입고 완료쇼핑백=선물용 쇼핑백"/>
    <n v="4"/>
    <x v="2"/>
    <x v="11"/>
    <n v="201210"/>
    <m/>
    <n v="8000"/>
  </r>
  <r>
    <x v="207"/>
    <x v="4"/>
    <m/>
    <x v="1"/>
    <s v="스테이포에버 솔리드퍼퓸 002 (10차 재입고 완료)제품선택=스테이포에버 1개"/>
    <n v="169"/>
    <x v="0"/>
    <x v="2"/>
    <n v="201210"/>
    <m/>
    <n v="6422000"/>
  </r>
  <r>
    <x v="207"/>
    <x v="4"/>
    <m/>
    <x v="1"/>
    <s v="스테이포에버 솔리드퍼퓸 002 (10차 재입고 완료)제품선택=best스테이포에버 2개[28% 할인]"/>
    <n v="67"/>
    <x v="0"/>
    <x v="8"/>
    <n v="201210"/>
    <m/>
    <n v="3939600"/>
  </r>
  <r>
    <x v="207"/>
    <x v="4"/>
    <m/>
    <x v="1"/>
    <s v="스테이포에버 솔리드퍼퓸 002 (10차 재입고 완료)제품선택=커플추천스테이포에버 + 이그나이트 세트"/>
    <n v="12"/>
    <x v="0"/>
    <x v="3"/>
    <n v="201210"/>
    <m/>
    <n v="828000"/>
  </r>
  <r>
    <x v="207"/>
    <x v="4"/>
    <m/>
    <x v="1"/>
    <s v="스테이포에버 솔리드퍼퓸 002 (10차 재입고 완료)쇼핑백=선물용 쇼핑백"/>
    <n v="7"/>
    <x v="2"/>
    <x v="11"/>
    <n v="201210"/>
    <m/>
    <n v="14000"/>
  </r>
  <r>
    <x v="207"/>
    <x v="4"/>
    <m/>
    <x v="1"/>
    <s v="유즈 솔리드퍼퓸 - 30ml (10차 재입고 완료향=스테이포에버 002 SOLID PERFUME, 세트 선택=1개"/>
    <n v="5"/>
    <x v="0"/>
    <x v="2"/>
    <n v="201210"/>
    <m/>
    <n v="190000"/>
  </r>
  <r>
    <x v="207"/>
    <x v="4"/>
    <m/>
    <x v="1"/>
    <s v="유즈 솔리드퍼퓸 - 30ml (10차 재입고 완료향=스테이포에버 002 SOLID PERFUME, 세트 선택=best"/>
    <n v="3"/>
    <x v="0"/>
    <x v="8"/>
    <n v="201210"/>
    <m/>
    <n v="176400"/>
  </r>
  <r>
    <x v="207"/>
    <x v="4"/>
    <m/>
    <x v="1"/>
    <s v="유즈 솔리드퍼퓸 - 30ml (10차 재입고 완료향=커플세트"/>
    <n v="8"/>
    <x v="0"/>
    <x v="3"/>
    <n v="201210"/>
    <m/>
    <n v="552000"/>
  </r>
  <r>
    <x v="207"/>
    <x v="4"/>
    <m/>
    <x v="1"/>
    <s v="유즈 솔리드퍼퓸 - 30ml (10차 재입고 완료향=커플세트"/>
    <n v="1"/>
    <x v="0"/>
    <x v="3"/>
    <n v="201210"/>
    <m/>
    <n v="69000"/>
  </r>
  <r>
    <x v="207"/>
    <x v="4"/>
    <m/>
    <x v="1"/>
    <s v="유즈 솔리드퍼퓸 - 30ml (10차 재입고 완료 )향=스테이포에버 002 SOLID PERFUME, 세트 선택=1개"/>
    <n v="7"/>
    <x v="0"/>
    <x v="2"/>
    <n v="201210"/>
    <m/>
    <n v="266000"/>
  </r>
  <r>
    <x v="207"/>
    <x v="4"/>
    <m/>
    <x v="1"/>
    <s v="유즈 솔리드퍼퓸 - 30ml (10차 재입고 완료 )향=커플세트(이그나이트 + 스테이포에버), 세트 선택=1 SET"/>
    <n v="3"/>
    <x v="0"/>
    <x v="3"/>
    <n v="201210"/>
    <m/>
    <n v="207000"/>
  </r>
  <r>
    <x v="207"/>
    <x v="4"/>
    <m/>
    <x v="1"/>
    <s v="유즈 이그나이트 솔리드퍼퓸 001제품선택=이그나이트 솔리드퍼퓸 - 30ml"/>
    <n v="5"/>
    <x v="0"/>
    <x v="1"/>
    <n v="201210"/>
    <m/>
    <n v="190000"/>
  </r>
  <r>
    <x v="207"/>
    <x v="4"/>
    <m/>
    <x v="1"/>
    <s v="유즈 이그나이트 솔리드퍼퓸 001제품선택=이그나이트 2개 세트"/>
    <n v="3"/>
    <x v="0"/>
    <x v="9"/>
    <n v="201210"/>
    <m/>
    <n v="176400"/>
  </r>
  <r>
    <x v="208"/>
    <x v="0"/>
    <m/>
    <x v="1"/>
    <s v="스테이포에버 솔리드퍼퓸 002 (10차 재입고 완료제품선택=스테이포에버 1개"/>
    <n v="27"/>
    <x v="0"/>
    <x v="2"/>
    <n v="201210"/>
    <m/>
    <n v="1026000"/>
  </r>
  <r>
    <x v="208"/>
    <x v="0"/>
    <m/>
    <x v="1"/>
    <s v="스테이포에버 솔리드퍼퓸 002 (10차 재입고 완료제품선택=best"/>
    <n v="13"/>
    <x v="0"/>
    <x v="8"/>
    <n v="201210"/>
    <m/>
    <n v="764400"/>
  </r>
  <r>
    <x v="208"/>
    <x v="0"/>
    <m/>
    <x v="1"/>
    <s v="스테이포에버 솔리드퍼퓸 002 (10차 재입고 완료제품선택=커플추천"/>
    <n v="1"/>
    <x v="0"/>
    <x v="3"/>
    <n v="201210"/>
    <m/>
    <n v="69000"/>
  </r>
  <r>
    <x v="208"/>
    <x v="0"/>
    <m/>
    <x v="1"/>
    <s v="스테이포에버 솔리드퍼퓸 002 (10차 재입고 완료쇼핑백=선물용 쇼핑백"/>
    <n v="2"/>
    <x v="2"/>
    <x v="11"/>
    <n v="201210"/>
    <m/>
    <n v="4000"/>
  </r>
  <r>
    <x v="208"/>
    <x v="0"/>
    <m/>
    <x v="1"/>
    <s v="스테이포에버 솔리드퍼퓸 002 (10차 재입고 완료)제품선택=스테이포에버 1개"/>
    <n v="44"/>
    <x v="0"/>
    <x v="2"/>
    <n v="201210"/>
    <m/>
    <n v="1672000"/>
  </r>
  <r>
    <x v="208"/>
    <x v="0"/>
    <m/>
    <x v="1"/>
    <s v="스테이포에버 솔리드퍼퓸 002 (10차 재입고 완료)제품선택=best스테이포에버 2개[28% 할인]"/>
    <n v="19"/>
    <x v="0"/>
    <x v="8"/>
    <n v="201210"/>
    <m/>
    <n v="1117200"/>
  </r>
  <r>
    <x v="208"/>
    <x v="0"/>
    <m/>
    <x v="1"/>
    <s v="스테이포에버 솔리드퍼퓸 002 (10차 재입고 완료)제품선택=커플추천스테이포에버 + 이그나이트 세트"/>
    <n v="1"/>
    <x v="0"/>
    <x v="3"/>
    <n v="201210"/>
    <m/>
    <n v="69000"/>
  </r>
  <r>
    <x v="208"/>
    <x v="0"/>
    <m/>
    <x v="1"/>
    <s v="스테이포에버 솔리드퍼퓸 002 (10차 재입고 완료)쇼핑백=선물용 쇼핑백"/>
    <n v="3"/>
    <x v="2"/>
    <x v="11"/>
    <n v="201210"/>
    <m/>
    <n v="6000"/>
  </r>
  <r>
    <x v="208"/>
    <x v="0"/>
    <m/>
    <x v="1"/>
    <s v="유즈 솔리드퍼퓸 - 30ml (10차 재입고 완료향=스테이포에버 002 SOLID PERFUME, 세트 선택=1개"/>
    <n v="3"/>
    <x v="0"/>
    <x v="2"/>
    <n v="201210"/>
    <m/>
    <n v="114000"/>
  </r>
  <r>
    <x v="208"/>
    <x v="0"/>
    <m/>
    <x v="1"/>
    <s v="유즈 솔리드퍼퓸 - 30ml (10차 재입고 완료향=스테이포에버 002 SOLID PERFUME, 세트 선택=best"/>
    <n v="3"/>
    <x v="0"/>
    <x v="8"/>
    <n v="201210"/>
    <m/>
    <n v="176400"/>
  </r>
  <r>
    <x v="208"/>
    <x v="0"/>
    <m/>
    <x v="1"/>
    <s v="유즈 솔리드퍼퓸 - 30ml (10차 재입고 완료향=커플세트"/>
    <n v="6"/>
    <x v="0"/>
    <x v="3"/>
    <n v="201210"/>
    <m/>
    <n v="414000"/>
  </r>
  <r>
    <x v="208"/>
    <x v="0"/>
    <m/>
    <x v="1"/>
    <s v="유즈 솔리드퍼퓸 - 30ml (10차 재입고 완료향=커플세트"/>
    <n v="1"/>
    <x v="0"/>
    <x v="3"/>
    <n v="201210"/>
    <m/>
    <n v="69000"/>
  </r>
  <r>
    <x v="208"/>
    <x v="0"/>
    <m/>
    <x v="1"/>
    <s v="유즈 솔리드퍼퓸 - 30ml (10차 재입고 완료 )향=스테이포에버 002 SOLID PERFUME, 세트 선택=1개"/>
    <n v="8"/>
    <x v="0"/>
    <x v="2"/>
    <n v="201210"/>
    <m/>
    <n v="304000"/>
  </r>
  <r>
    <x v="208"/>
    <x v="0"/>
    <m/>
    <x v="1"/>
    <s v="유즈 솔리드퍼퓸 - 30ml (10차 재입고 완료 )향=스테이포에버 002 SOLID PERFUME, 세트 선택=best 2개 (28% 할인)"/>
    <n v="2"/>
    <x v="0"/>
    <x v="8"/>
    <n v="201210"/>
    <m/>
    <n v="117600"/>
  </r>
  <r>
    <x v="208"/>
    <x v="0"/>
    <m/>
    <x v="1"/>
    <s v="유즈 솔리드퍼퓸 - 30ml (10차 재입고 완료 )향=커플세트(이그나이트 + 스테이포에버), 세트 선택=1 SET"/>
    <n v="1"/>
    <x v="0"/>
    <x v="3"/>
    <n v="201210"/>
    <m/>
    <n v="69000"/>
  </r>
  <r>
    <x v="208"/>
    <x v="0"/>
    <m/>
    <x v="1"/>
    <s v="유즈 스테이포에버 솔리드퍼퓸 002 (10차 재입고 완료제품선택=스테이포에버 1개"/>
    <n v="58"/>
    <x v="0"/>
    <x v="2"/>
    <n v="201210"/>
    <m/>
    <n v="2204000"/>
  </r>
  <r>
    <x v="208"/>
    <x v="0"/>
    <m/>
    <x v="1"/>
    <s v="유즈 스테이포에버 솔리드퍼퓸 002 (10차 재입고 완료제품선택=best"/>
    <n v="42"/>
    <x v="0"/>
    <x v="8"/>
    <n v="201210"/>
    <m/>
    <n v="2469600"/>
  </r>
  <r>
    <x v="208"/>
    <x v="0"/>
    <m/>
    <x v="1"/>
    <s v="유즈 스테이포에버 솔리드퍼퓸 002 (10차 재입고 완료제품선택=커플추천"/>
    <n v="6"/>
    <x v="0"/>
    <x v="3"/>
    <n v="201210"/>
    <m/>
    <n v="414000"/>
  </r>
  <r>
    <x v="208"/>
    <x v="0"/>
    <m/>
    <x v="1"/>
    <s v="유즈 스테이포에버 솔리드퍼퓸 002 (10차 재입고 완료쇼핑백=선물용 쇼핑백"/>
    <n v="3"/>
    <x v="0"/>
    <x v="11"/>
    <n v="201210"/>
    <m/>
    <n v="6000"/>
  </r>
  <r>
    <x v="208"/>
    <x v="0"/>
    <m/>
    <x v="1"/>
    <s v="유즈 스테이포에버 솔리드퍼퓸 002 (10차 재입고 완료)제품선택=스테이포에버 1개"/>
    <n v="90"/>
    <x v="0"/>
    <x v="2"/>
    <n v="201210"/>
    <m/>
    <n v="3420000"/>
  </r>
  <r>
    <x v="208"/>
    <x v="0"/>
    <m/>
    <x v="1"/>
    <s v="유즈 스테이포에버 솔리드퍼퓸 002 (10차 재입고 완료)제품선택=best스테이포에버 2개[28% 할인]"/>
    <n v="55"/>
    <x v="0"/>
    <x v="8"/>
    <n v="201210"/>
    <m/>
    <n v="3234000"/>
  </r>
  <r>
    <x v="208"/>
    <x v="0"/>
    <m/>
    <x v="1"/>
    <s v="유즈 스테이포에버 솔리드퍼퓸 002 (10차 재입고 완료)제품선택=커플추천스테이포에버 + 이그나이트 세트"/>
    <n v="5"/>
    <x v="0"/>
    <x v="3"/>
    <n v="201210"/>
    <m/>
    <n v="0"/>
  </r>
  <r>
    <x v="208"/>
    <x v="0"/>
    <m/>
    <x v="1"/>
    <s v="유즈 스테이포에버 솔리드퍼퓸 002 (10차 재입고 완료)쇼핑백=선물용 쇼핑백"/>
    <n v="3"/>
    <x v="0"/>
    <x v="11"/>
    <n v="201210"/>
    <m/>
    <n v="6000"/>
  </r>
  <r>
    <x v="208"/>
    <x v="0"/>
    <m/>
    <x v="1"/>
    <s v="유즈 이그나이트 솔리드퍼퓸 001제품선택=이그나이트 솔리드퍼퓸 - 30ml"/>
    <n v="1"/>
    <x v="0"/>
    <x v="1"/>
    <n v="201210"/>
    <m/>
    <n v="38000"/>
  </r>
  <r>
    <x v="208"/>
    <x v="0"/>
    <m/>
    <x v="1"/>
    <s v="유즈 이그나이트 솔리드퍼퓸 001쇼핑백=선물용 쇼핑백"/>
    <n v="1"/>
    <x v="2"/>
    <x v="11"/>
    <n v="201210"/>
    <m/>
    <n v="2000"/>
  </r>
  <r>
    <x v="209"/>
    <x v="1"/>
    <m/>
    <x v="1"/>
    <s v="SHOPPING BAG"/>
    <n v="2"/>
    <x v="2"/>
    <x v="11"/>
    <n v="201210"/>
    <m/>
    <n v="4000"/>
  </r>
  <r>
    <x v="209"/>
    <x v="1"/>
    <m/>
    <x v="1"/>
    <s v="스테이포에버 솔리드퍼퓸 002 (10차 재입고 완료제품선택=스테이포에버 1개"/>
    <n v="3"/>
    <x v="0"/>
    <x v="2"/>
    <n v="201210"/>
    <m/>
    <n v="114000"/>
  </r>
  <r>
    <x v="209"/>
    <x v="1"/>
    <m/>
    <x v="1"/>
    <s v="스테이포에버 솔리드퍼퓸 002 (10차 재입고 완료제품선택=커플추천"/>
    <n v="1"/>
    <x v="0"/>
    <x v="3"/>
    <n v="201210"/>
    <m/>
    <n v="69000"/>
  </r>
  <r>
    <x v="209"/>
    <x v="1"/>
    <m/>
    <x v="1"/>
    <s v="유즈 솔리드퍼퓸 - 30ml (10차 재입고 완료향=이그나이트 001 SOLID PERFUME, 세트 선택=1개"/>
    <n v="1"/>
    <x v="0"/>
    <x v="1"/>
    <n v="201210"/>
    <m/>
    <n v="38000"/>
  </r>
  <r>
    <x v="209"/>
    <x v="1"/>
    <m/>
    <x v="1"/>
    <s v="유즈 솔리드퍼퓸 - 30ml (10차 재입고 완료향=스테이포에버 002 SOLID PERFUME, 세트 선택=1개"/>
    <n v="7"/>
    <x v="0"/>
    <x v="2"/>
    <n v="201210"/>
    <m/>
    <n v="266000"/>
  </r>
  <r>
    <x v="209"/>
    <x v="1"/>
    <m/>
    <x v="1"/>
    <s v="유즈 솔리드퍼퓸 - 30ml (10차 재입고 완료향=스테이포에버 002 SOLID PERFUME, 세트 선택=best"/>
    <n v="4"/>
    <x v="0"/>
    <x v="8"/>
    <n v="201210"/>
    <m/>
    <n v="235200"/>
  </r>
  <r>
    <x v="209"/>
    <x v="1"/>
    <m/>
    <x v="1"/>
    <s v="유즈 솔리드퍼퓸 - 30ml (10차 재입고 완료향=커플세트"/>
    <n v="6"/>
    <x v="0"/>
    <x v="3"/>
    <n v="201210"/>
    <m/>
    <n v="414000"/>
  </r>
  <r>
    <x v="209"/>
    <x v="1"/>
    <m/>
    <x v="1"/>
    <s v="유즈 솔리드퍼퓸 - 30ml (10차 재입고 완료향=커플세트"/>
    <n v="2"/>
    <x v="0"/>
    <x v="3"/>
    <n v="201210"/>
    <m/>
    <n v="138000"/>
  </r>
  <r>
    <x v="209"/>
    <x v="1"/>
    <m/>
    <x v="1"/>
    <s v="유즈 솔리드퍼퓸 - 30ml (10차 재입고 완료 )향=이그나이트 001 SOLID PERFUME, 세트 선택=best 2개 (28% 할인)"/>
    <n v="1"/>
    <x v="0"/>
    <x v="9"/>
    <n v="201210"/>
    <m/>
    <n v="58800"/>
  </r>
  <r>
    <x v="209"/>
    <x v="1"/>
    <m/>
    <x v="1"/>
    <s v="유즈 솔리드퍼퓸 - 30ml (10차 재입고 완료 )향=스테이포에버 002 SOLID PERFUME, 세트 선택=1개"/>
    <n v="12"/>
    <x v="0"/>
    <x v="2"/>
    <n v="201210"/>
    <m/>
    <n v="456000"/>
  </r>
  <r>
    <x v="209"/>
    <x v="1"/>
    <m/>
    <x v="1"/>
    <s v="유즈 솔리드퍼퓸 - 30ml (10차 재입고 완료 )향=스테이포에버 002 SOLID PERFUME, 세트 선택=best 2개 (28% 할인)"/>
    <n v="2"/>
    <x v="0"/>
    <x v="8"/>
    <n v="201210"/>
    <m/>
    <n v="117600"/>
  </r>
  <r>
    <x v="209"/>
    <x v="1"/>
    <m/>
    <x v="1"/>
    <s v="유즈 솔리드퍼퓸 - 30ml (10차 재입고 완료 )향=커플세트(이그나이트 + 스테이포에버), 세트 선택=1 SET"/>
    <n v="2"/>
    <x v="0"/>
    <x v="3"/>
    <n v="201210"/>
    <m/>
    <n v="138000"/>
  </r>
  <r>
    <x v="209"/>
    <x v="1"/>
    <m/>
    <x v="1"/>
    <s v="유즈 스테이포에버 솔리드퍼퓸 002 (10차 재입고 완료제품선택=스테이포에버 1개"/>
    <n v="113"/>
    <x v="0"/>
    <x v="2"/>
    <n v="201210"/>
    <m/>
    <n v="4294000"/>
  </r>
  <r>
    <x v="209"/>
    <x v="1"/>
    <m/>
    <x v="1"/>
    <s v="유즈 스테이포에버 솔리드퍼퓸 002 (10차 재입고 완료제품선택=best"/>
    <n v="59"/>
    <x v="0"/>
    <x v="8"/>
    <n v="201210"/>
    <m/>
    <n v="3469200"/>
  </r>
  <r>
    <x v="209"/>
    <x v="1"/>
    <m/>
    <x v="1"/>
    <s v="유즈 스테이포에버 솔리드퍼퓸 002 (10차 재입고 완료제품선택=커플추천"/>
    <n v="6"/>
    <x v="0"/>
    <x v="3"/>
    <n v="201210"/>
    <m/>
    <n v="414000"/>
  </r>
  <r>
    <x v="209"/>
    <x v="1"/>
    <m/>
    <x v="1"/>
    <s v="유즈 스테이포에버 솔리드퍼퓸 002 (10차 재입고 완료쇼핑백=선물용 쇼핑백"/>
    <n v="7"/>
    <x v="0"/>
    <x v="11"/>
    <n v="201210"/>
    <m/>
    <n v="14000"/>
  </r>
  <r>
    <x v="209"/>
    <x v="1"/>
    <m/>
    <x v="1"/>
    <s v="유즈 스테이포에버 솔리드퍼퓸 002 (10차 재입고 완료)제품선택=스테이포에버 1개"/>
    <n v="190"/>
    <x v="0"/>
    <x v="2"/>
    <n v="201210"/>
    <m/>
    <n v="7220000"/>
  </r>
  <r>
    <x v="209"/>
    <x v="1"/>
    <m/>
    <x v="1"/>
    <s v="유즈 스테이포에버 솔리드퍼퓸 002 (10차 재입고 완료)제품선택=best스테이포에버 2개[28% 할인]"/>
    <n v="59"/>
    <x v="0"/>
    <x v="8"/>
    <n v="201210"/>
    <m/>
    <n v="3469200"/>
  </r>
  <r>
    <x v="209"/>
    <x v="1"/>
    <m/>
    <x v="1"/>
    <s v="유즈 스테이포에버 솔리드퍼퓸 002 (10차 재입고 완료)제품선택=커플추천스테이포에버 + 이그나이트 세트"/>
    <n v="10"/>
    <x v="0"/>
    <x v="3"/>
    <n v="201210"/>
    <m/>
    <n v="0"/>
  </r>
  <r>
    <x v="209"/>
    <x v="1"/>
    <m/>
    <x v="1"/>
    <s v="유즈 스테이포에버 솔리드퍼퓸 002 (10차 재입고 완료)쇼핑백=선물용 쇼핑백"/>
    <n v="9"/>
    <x v="0"/>
    <x v="11"/>
    <n v="201210"/>
    <m/>
    <n v="18000"/>
  </r>
  <r>
    <x v="209"/>
    <x v="1"/>
    <m/>
    <x v="1"/>
    <s v="유즈 이그나이트 솔리드퍼퓸 001제품선택=이그나이트 솔리드퍼퓸 - 30ml"/>
    <n v="2"/>
    <x v="0"/>
    <x v="1"/>
    <n v="201210"/>
    <m/>
    <n v="76000"/>
  </r>
  <r>
    <x v="209"/>
    <x v="1"/>
    <m/>
    <x v="1"/>
    <s v="유즈 이그나이트 솔리드퍼퓸 001제품선택=이그나이트 2개 세트"/>
    <n v="1"/>
    <x v="0"/>
    <x v="9"/>
    <n v="201210"/>
    <m/>
    <n v="58800"/>
  </r>
  <r>
    <x v="210"/>
    <x v="5"/>
    <m/>
    <x v="1"/>
    <s v="SHOPPING BAG"/>
    <n v="1"/>
    <x v="2"/>
    <x v="11"/>
    <n v="201210"/>
    <m/>
    <n v="2000"/>
  </r>
  <r>
    <x v="210"/>
    <x v="5"/>
    <m/>
    <x v="1"/>
    <s v="유즈 솔리드퍼퓸 - 30ml (10차 재입고 완료향=스테이포에버 002 SOLID PERFUME, 세트 선택=1개"/>
    <n v="5"/>
    <x v="0"/>
    <x v="2"/>
    <n v="201210"/>
    <m/>
    <n v="190000"/>
  </r>
  <r>
    <x v="210"/>
    <x v="5"/>
    <m/>
    <x v="1"/>
    <s v="유즈 솔리드퍼퓸 - 30ml (10차 재입고 완료향=커플세트"/>
    <n v="5"/>
    <x v="0"/>
    <x v="3"/>
    <n v="201210"/>
    <m/>
    <n v="345000"/>
  </r>
  <r>
    <x v="210"/>
    <x v="5"/>
    <m/>
    <x v="1"/>
    <s v="유즈 솔리드퍼퓸 - 30ml (10차 재입고 완료향=커플세트"/>
    <n v="1"/>
    <x v="0"/>
    <x v="3"/>
    <n v="201210"/>
    <m/>
    <n v="69000"/>
  </r>
  <r>
    <x v="210"/>
    <x v="5"/>
    <m/>
    <x v="1"/>
    <s v="유즈 솔리드퍼퓸 - 30ml (10차 재입고 완료 )향=이그나이트 001 SOLID PERFUME, 세트 선택=1개"/>
    <n v="3"/>
    <x v="0"/>
    <x v="1"/>
    <n v="201210"/>
    <m/>
    <n v="114000"/>
  </r>
  <r>
    <x v="210"/>
    <x v="5"/>
    <m/>
    <x v="1"/>
    <s v="유즈 솔리드퍼퓸 - 30ml (10차 재입고 완료 )향=스테이포에버 002 SOLID PERFUME, 세트 선택=1개"/>
    <n v="10"/>
    <x v="0"/>
    <x v="2"/>
    <n v="201210"/>
    <m/>
    <n v="380000"/>
  </r>
  <r>
    <x v="210"/>
    <x v="5"/>
    <m/>
    <x v="1"/>
    <s v="유즈 솔리드퍼퓸 - 30ml (10차 재입고 완료 )향=스테이포에버 002 SOLID PERFUME, 세트 선택=best 2개 (28% 할인)"/>
    <n v="3"/>
    <x v="0"/>
    <x v="8"/>
    <n v="201210"/>
    <m/>
    <n v="176400"/>
  </r>
  <r>
    <x v="210"/>
    <x v="5"/>
    <m/>
    <x v="1"/>
    <s v="유즈 솔리드퍼퓸 - 30ml (10차 재입고 완료 )향=커플세트(이그나이트 + 스테이포에버), 세트 선택=1 SET"/>
    <n v="4"/>
    <x v="0"/>
    <x v="3"/>
    <n v="201210"/>
    <m/>
    <n v="276000"/>
  </r>
  <r>
    <x v="210"/>
    <x v="5"/>
    <m/>
    <x v="1"/>
    <s v="유즈 스테이포에버 솔리드퍼퓸 002 (10차 재입고 완료제품선택=스테이포에버 1개"/>
    <n v="94"/>
    <x v="0"/>
    <x v="2"/>
    <n v="201210"/>
    <m/>
    <n v="3572000"/>
  </r>
  <r>
    <x v="210"/>
    <x v="5"/>
    <m/>
    <x v="1"/>
    <s v="유즈 스테이포에버 솔리드퍼퓸 002 (10차 재입고 완료제품선택=best"/>
    <n v="45"/>
    <x v="0"/>
    <x v="8"/>
    <n v="201210"/>
    <m/>
    <n v="2646000"/>
  </r>
  <r>
    <x v="210"/>
    <x v="5"/>
    <m/>
    <x v="1"/>
    <s v="유즈 스테이포에버 솔리드퍼퓸 002 (10차 재입고 완료제품선택=커플추천"/>
    <n v="15"/>
    <x v="0"/>
    <x v="3"/>
    <n v="201210"/>
    <m/>
    <n v="1035000"/>
  </r>
  <r>
    <x v="210"/>
    <x v="5"/>
    <m/>
    <x v="1"/>
    <s v="유즈 스테이포에버 솔리드퍼퓸 002 (10차 재입고 완료쇼핑백=선물용 쇼핑백"/>
    <n v="3"/>
    <x v="0"/>
    <x v="11"/>
    <n v="201210"/>
    <m/>
    <n v="6000"/>
  </r>
  <r>
    <x v="210"/>
    <x v="5"/>
    <m/>
    <x v="1"/>
    <s v="유즈 스테이포에버 솔리드퍼퓸 002 (10차 재입고 완료)제품선택=스테이포에버 1개"/>
    <n v="154"/>
    <x v="0"/>
    <x v="2"/>
    <n v="201210"/>
    <m/>
    <n v="5852000"/>
  </r>
  <r>
    <x v="210"/>
    <x v="5"/>
    <m/>
    <x v="1"/>
    <s v="유즈 스테이포에버 솔리드퍼퓸 002 (10차 재입고 완료)제품선택=best스테이포에버 2개[28% 할인]"/>
    <n v="57"/>
    <x v="0"/>
    <x v="8"/>
    <n v="201210"/>
    <m/>
    <n v="3351600"/>
  </r>
  <r>
    <x v="210"/>
    <x v="5"/>
    <m/>
    <x v="1"/>
    <s v="유즈 스테이포에버 솔리드퍼퓸 002 (10차 재입고 완료)제품선택=커플추천스테이포에버 + 이그나이트 세트"/>
    <n v="16"/>
    <x v="0"/>
    <x v="3"/>
    <n v="201210"/>
    <m/>
    <n v="0"/>
  </r>
  <r>
    <x v="210"/>
    <x v="5"/>
    <m/>
    <x v="1"/>
    <s v="유즈 스테이포에버 솔리드퍼퓸 002 (10차 재입고 완료)쇼핑백=선물용 쇼핑백"/>
    <n v="11"/>
    <x v="0"/>
    <x v="11"/>
    <n v="201210"/>
    <m/>
    <n v="22000"/>
  </r>
  <r>
    <x v="210"/>
    <x v="5"/>
    <m/>
    <x v="1"/>
    <s v="유즈 이그나이트 솔리드퍼퓸 001제품선택=이그나이트 솔리드퍼퓸 - 30ml"/>
    <n v="5"/>
    <x v="0"/>
    <x v="1"/>
    <n v="201210"/>
    <m/>
    <n v="190000"/>
  </r>
  <r>
    <x v="211"/>
    <x v="6"/>
    <m/>
    <x v="2"/>
    <s v="솔리드퍼퓸 스테이포에버 002 30ml"/>
    <n v="1"/>
    <x v="0"/>
    <x v="2"/>
    <n v="201210"/>
    <m/>
    <n v="0"/>
  </r>
  <r>
    <x v="211"/>
    <x v="6"/>
    <m/>
    <x v="1"/>
    <s v="스테이포에버 솔리드퍼퓸 002 (10차 재입고 완료제품선택=best"/>
    <n v="1"/>
    <x v="0"/>
    <x v="8"/>
    <n v="201210"/>
    <m/>
    <n v="58800"/>
  </r>
  <r>
    <x v="211"/>
    <x v="6"/>
    <m/>
    <x v="1"/>
    <s v="유즈 솔리드퍼퓸 - 30ml (10차 재입고 완료향=이그나이트 001 SOLID PERFUME, 세트 선택=1개"/>
    <n v="4"/>
    <x v="0"/>
    <x v="1"/>
    <n v="201210"/>
    <m/>
    <n v="152000"/>
  </r>
  <r>
    <x v="211"/>
    <x v="6"/>
    <m/>
    <x v="1"/>
    <s v="유즈 솔리드퍼퓸 - 30ml (10차 재입고 완료향=이그나이트 001 SOLID PERFUME, 세트 선택=best"/>
    <n v="1"/>
    <x v="0"/>
    <x v="9"/>
    <n v="201210"/>
    <m/>
    <n v="58800"/>
  </r>
  <r>
    <x v="211"/>
    <x v="6"/>
    <m/>
    <x v="1"/>
    <s v="유즈 솔리드퍼퓸 - 30ml (10차 재입고 완료향=스테이포에버 002 SOLID PERFUME, 세트 선택=1개"/>
    <n v="4"/>
    <x v="0"/>
    <x v="2"/>
    <n v="201210"/>
    <m/>
    <n v="152000"/>
  </r>
  <r>
    <x v="211"/>
    <x v="6"/>
    <m/>
    <x v="1"/>
    <s v="유즈 솔리드퍼퓸 - 30ml (10차 재입고 완료향=스테이포에버 002 SOLID PERFUME, 세트 선택=best"/>
    <n v="2"/>
    <x v="0"/>
    <x v="8"/>
    <n v="201210"/>
    <m/>
    <n v="117600"/>
  </r>
  <r>
    <x v="211"/>
    <x v="6"/>
    <m/>
    <x v="1"/>
    <s v="유즈 솔리드퍼퓸 - 30ml (10차 재입고 완료향=커플세트"/>
    <n v="1"/>
    <x v="0"/>
    <x v="3"/>
    <n v="201210"/>
    <m/>
    <n v="69000"/>
  </r>
  <r>
    <x v="211"/>
    <x v="6"/>
    <m/>
    <x v="1"/>
    <s v="유즈 솔리드퍼퓸 - 30ml (10차 재입고 완료 )향=스테이포에버 002 SOLID PERFUME, 세트 선택=1개"/>
    <n v="6"/>
    <x v="0"/>
    <x v="2"/>
    <n v="201210"/>
    <m/>
    <n v="228000"/>
  </r>
  <r>
    <x v="211"/>
    <x v="6"/>
    <m/>
    <x v="1"/>
    <s v="유즈 솔리드퍼퓸 - 30ml (10차 재입고 완료 )향=커플세트(이그나이트 + 스테이포에버), 세트 선택=1 SET"/>
    <n v="2"/>
    <x v="0"/>
    <x v="3"/>
    <n v="201210"/>
    <m/>
    <n v="138000"/>
  </r>
  <r>
    <x v="211"/>
    <x v="6"/>
    <m/>
    <x v="1"/>
    <s v="유즈 솔리드퍼퓸 - 30ml (10차 재입고 완료 )향=커플세트(이그나이트 + 스테이포에버), 세트 선택=2 SET (42% 할인)"/>
    <n v="1"/>
    <x v="0"/>
    <x v="3"/>
    <n v="201210"/>
    <m/>
    <n v="0"/>
  </r>
  <r>
    <x v="211"/>
    <x v="6"/>
    <m/>
    <x v="1"/>
    <s v="유즈 스테이포에버 솔리드퍼퓸 002 (10차 재입고 완료제품선택=스테이포에버 1개"/>
    <n v="75"/>
    <x v="0"/>
    <x v="2"/>
    <n v="201210"/>
    <m/>
    <n v="2850000"/>
  </r>
  <r>
    <x v="211"/>
    <x v="6"/>
    <m/>
    <x v="1"/>
    <s v="유즈 스테이포에버 솔리드퍼퓸 002 (10차 재입고 완료제품선택=best"/>
    <n v="35"/>
    <x v="0"/>
    <x v="8"/>
    <n v="201210"/>
    <m/>
    <n v="2058000"/>
  </r>
  <r>
    <x v="211"/>
    <x v="6"/>
    <m/>
    <x v="1"/>
    <s v="유즈 스테이포에버 솔리드퍼퓸 002 (10차 재입고 완료제품선택=커플추천"/>
    <n v="1"/>
    <x v="0"/>
    <x v="3"/>
    <n v="201210"/>
    <m/>
    <n v="69000"/>
  </r>
  <r>
    <x v="211"/>
    <x v="6"/>
    <m/>
    <x v="1"/>
    <s v="유즈 스테이포에버 솔리드퍼퓸 002 (10차 재입고 완료쇼핑백=선물용 쇼핑백"/>
    <n v="5"/>
    <x v="0"/>
    <x v="11"/>
    <n v="201210"/>
    <m/>
    <n v="10000"/>
  </r>
  <r>
    <x v="211"/>
    <x v="6"/>
    <m/>
    <x v="1"/>
    <s v="유즈 스테이포에버 솔리드퍼퓸 002 (10차 재입고 완료)제품선택=스테이포에버 1개"/>
    <n v="94"/>
    <x v="0"/>
    <x v="2"/>
    <n v="201210"/>
    <m/>
    <n v="3572000"/>
  </r>
  <r>
    <x v="211"/>
    <x v="6"/>
    <m/>
    <x v="1"/>
    <s v="유즈 스테이포에버 솔리드퍼퓸 002 (10차 재입고 완료)제품선택=best스테이포에버 2개[28% 할인]"/>
    <n v="40"/>
    <x v="0"/>
    <x v="8"/>
    <n v="201210"/>
    <m/>
    <n v="2352000"/>
  </r>
  <r>
    <x v="211"/>
    <x v="6"/>
    <m/>
    <x v="1"/>
    <s v="유즈 스테이포에버 솔리드퍼퓸 002 (10차 재입고 완료)제품선택=커플추천스테이포에버 + 이그나이트 세트"/>
    <n v="9"/>
    <x v="0"/>
    <x v="3"/>
    <n v="201210"/>
    <m/>
    <n v="0"/>
  </r>
  <r>
    <x v="211"/>
    <x v="6"/>
    <m/>
    <x v="1"/>
    <s v="유즈 스테이포에버 솔리드퍼퓸 002 (10차 재입고 완료)쇼핑백=선물용 쇼핑백"/>
    <n v="7"/>
    <x v="0"/>
    <x v="11"/>
    <n v="201210"/>
    <m/>
    <n v="14000"/>
  </r>
  <r>
    <x v="211"/>
    <x v="6"/>
    <m/>
    <x v="1"/>
    <s v="유즈 스테이포에버 솔리드퍼퓸 002 (스테이포에버 주문시 12/15 순차배송)제품선택=스테이포에버 1개"/>
    <n v="1"/>
    <x v="0"/>
    <x v="2"/>
    <n v="201210"/>
    <m/>
    <n v="38000"/>
  </r>
  <r>
    <x v="211"/>
    <x v="6"/>
    <m/>
    <x v="1"/>
    <s v="유즈 이그나이트 솔리드퍼퓸 001제품선택=이그나이트 솔리드퍼퓸 - 30ml"/>
    <n v="1"/>
    <x v="0"/>
    <x v="1"/>
    <n v="201210"/>
    <m/>
    <n v="38000"/>
  </r>
  <r>
    <x v="211"/>
    <x v="6"/>
    <m/>
    <x v="1"/>
    <s v="유즈 이그나이트 솔리드퍼퓸 001제품선택=이그나이트 2개 세트"/>
    <n v="1"/>
    <x v="0"/>
    <x v="9"/>
    <n v="201210"/>
    <m/>
    <n v="58800"/>
  </r>
  <r>
    <x v="211"/>
    <x v="6"/>
    <m/>
    <x v="1"/>
    <s v="유즈 이그나이트 솔리드퍼퓸 001쇼핑백=선물용 쇼핑백"/>
    <n v="1"/>
    <x v="2"/>
    <x v="11"/>
    <n v="201210"/>
    <m/>
    <n v="2000"/>
  </r>
  <r>
    <x v="212"/>
    <x v="2"/>
    <m/>
    <x v="1"/>
    <s v="솔리드퍼퓸 스테이포에버 002 30ml"/>
    <n v="1"/>
    <x v="0"/>
    <x v="2"/>
    <n v="201210"/>
    <m/>
    <n v="38000"/>
  </r>
  <r>
    <x v="212"/>
    <x v="2"/>
    <m/>
    <x v="1"/>
    <s v="스테이포에버 솔리드퍼퓸 002 (10차 재입고 완료제품선택=스테이포에버 1개"/>
    <n v="1"/>
    <x v="0"/>
    <x v="2"/>
    <n v="201210"/>
    <m/>
    <n v="38000"/>
  </r>
  <r>
    <x v="212"/>
    <x v="2"/>
    <m/>
    <x v="1"/>
    <s v="스테이포에버 솔리드퍼퓸 002 (10차 재입고 완료제품선택=커플추천"/>
    <n v="1"/>
    <x v="0"/>
    <x v="3"/>
    <n v="201210"/>
    <m/>
    <n v="69000"/>
  </r>
  <r>
    <x v="212"/>
    <x v="2"/>
    <m/>
    <x v="1"/>
    <s v="유즈 솔리드퍼퓸 - 30ml (10차 재입고 완료향=스테이포에버 002 SOLID PERFUME, 세트 선택=1개"/>
    <n v="2"/>
    <x v="0"/>
    <x v="2"/>
    <n v="201210"/>
    <m/>
    <n v="76000"/>
  </r>
  <r>
    <x v="212"/>
    <x v="2"/>
    <m/>
    <x v="1"/>
    <s v="유즈 솔리드퍼퓸 - 30ml (10차 재입고 완료향=스테이포에버 002 SOLID PERFUME, 세트 선택=best"/>
    <n v="1"/>
    <x v="0"/>
    <x v="8"/>
    <n v="201210"/>
    <m/>
    <n v="58800"/>
  </r>
  <r>
    <x v="212"/>
    <x v="2"/>
    <m/>
    <x v="1"/>
    <s v="유즈 솔리드퍼퓸 - 30ml (10차 재입고 완료향=커플세트"/>
    <n v="4"/>
    <x v="0"/>
    <x v="3"/>
    <n v="201210"/>
    <m/>
    <n v="276000"/>
  </r>
  <r>
    <x v="212"/>
    <x v="2"/>
    <m/>
    <x v="1"/>
    <s v="유즈 솔리드퍼퓸 - 30ml (10차 재입고 완료향=커플세트"/>
    <n v="1"/>
    <x v="0"/>
    <x v="3"/>
    <n v="201210"/>
    <m/>
    <n v="69000"/>
  </r>
  <r>
    <x v="212"/>
    <x v="2"/>
    <m/>
    <x v="1"/>
    <s v="유즈 솔리드퍼퓸 - 30ml (10차 재입고 완료 )향=스테이포에버 002 SOLID PERFUME, 세트 선택=1개"/>
    <n v="9"/>
    <x v="0"/>
    <x v="2"/>
    <n v="201210"/>
    <m/>
    <n v="342000"/>
  </r>
  <r>
    <x v="212"/>
    <x v="2"/>
    <m/>
    <x v="1"/>
    <s v="유즈 솔리드퍼퓸 - 30ml (10차 재입고 완료 )향=스테이포에버 002 SOLID PERFUME, 세트 선택=best 2개 (28% 할인)"/>
    <n v="3"/>
    <x v="0"/>
    <x v="8"/>
    <n v="201210"/>
    <m/>
    <n v="176400"/>
  </r>
  <r>
    <x v="212"/>
    <x v="2"/>
    <m/>
    <x v="1"/>
    <s v="유즈 솔리드퍼퓸 - 30ml (10차 재입고 완료 )향=커플세트(이그나이트 + 스테이포에버), 세트 선택=1 SET"/>
    <n v="4"/>
    <x v="0"/>
    <x v="3"/>
    <n v="201210"/>
    <m/>
    <n v="276000"/>
  </r>
  <r>
    <x v="212"/>
    <x v="2"/>
    <m/>
    <x v="1"/>
    <s v="유즈 솔리드퍼퓸 - 30ml (10차 재입고 완료 )향=커플세트(이그나이트 + 스테이포에버), 세트 선택=2 SET (42% 할인)"/>
    <n v="1"/>
    <x v="0"/>
    <x v="3"/>
    <n v="201210"/>
    <m/>
    <n v="0"/>
  </r>
  <r>
    <x v="212"/>
    <x v="2"/>
    <m/>
    <x v="1"/>
    <s v="유즈 스테이포에버 솔리드퍼퓸 002 (10차 재입고 완료제품선택=스테이포에버 1개"/>
    <n v="68"/>
    <x v="0"/>
    <x v="2"/>
    <n v="201210"/>
    <m/>
    <n v="2584000"/>
  </r>
  <r>
    <x v="212"/>
    <x v="2"/>
    <m/>
    <x v="1"/>
    <s v="유즈 스테이포에버 솔리드퍼퓸 002 (10차 재입고 완료제품선택=best"/>
    <n v="26"/>
    <x v="0"/>
    <x v="8"/>
    <n v="201210"/>
    <m/>
    <n v="1528800"/>
  </r>
  <r>
    <x v="212"/>
    <x v="2"/>
    <m/>
    <x v="1"/>
    <s v="유즈 스테이포에버 솔리드퍼퓸 002 (10차 재입고 완료제품선택=커플추천"/>
    <n v="11"/>
    <x v="0"/>
    <x v="3"/>
    <n v="201210"/>
    <m/>
    <n v="759000"/>
  </r>
  <r>
    <x v="212"/>
    <x v="2"/>
    <m/>
    <x v="1"/>
    <s v="유즈 스테이포에버 솔리드퍼퓸 002 (10차 재입고 완료)제품선택=스테이포에버 1개"/>
    <n v="103"/>
    <x v="0"/>
    <x v="2"/>
    <n v="201210"/>
    <m/>
    <n v="3914000"/>
  </r>
  <r>
    <x v="212"/>
    <x v="2"/>
    <m/>
    <x v="1"/>
    <s v="유즈 스테이포에버 솔리드퍼퓸 002 (10차 재입고 완료)제품선택=best스테이포에버 2개[28% 할인]"/>
    <n v="38"/>
    <x v="0"/>
    <x v="8"/>
    <n v="201210"/>
    <m/>
    <n v="2234400"/>
  </r>
  <r>
    <x v="212"/>
    <x v="2"/>
    <m/>
    <x v="1"/>
    <s v="유즈 스테이포에버 솔리드퍼퓸 002 (10차 재입고 완료)제품선택=커플추천스테이포에버 + 이그나이트 세트"/>
    <n v="5"/>
    <x v="0"/>
    <x v="3"/>
    <n v="201210"/>
    <m/>
    <n v="0"/>
  </r>
  <r>
    <x v="212"/>
    <x v="2"/>
    <m/>
    <x v="1"/>
    <s v="유즈 스테이포에버 솔리드퍼퓸 002 (10차 재입고 완료)쇼핑백=선물용 쇼핑백"/>
    <n v="6"/>
    <x v="0"/>
    <x v="11"/>
    <n v="201210"/>
    <m/>
    <n v="12000"/>
  </r>
  <r>
    <x v="212"/>
    <x v="2"/>
    <m/>
    <x v="1"/>
    <s v="유즈 이그나이트 솔리드퍼퓸 001제품선택=이그나이트 솔리드퍼퓸 - 30ml"/>
    <n v="4"/>
    <x v="0"/>
    <x v="1"/>
    <n v="201210"/>
    <m/>
    <n v="152000"/>
  </r>
  <r>
    <x v="212"/>
    <x v="2"/>
    <m/>
    <x v="1"/>
    <s v="유즈 이그나이트 솔리드퍼퓸 001쇼핑백=선물용 쇼핑백"/>
    <n v="1"/>
    <x v="2"/>
    <x v="11"/>
    <n v="201210"/>
    <m/>
    <n v="2000"/>
  </r>
  <r>
    <x v="213"/>
    <x v="3"/>
    <m/>
    <x v="1"/>
    <s v="스테이포에버 솔리드퍼퓸 002 (10차 재입고 완료제품선택=best"/>
    <n v="1"/>
    <x v="0"/>
    <x v="8"/>
    <n v="201210"/>
    <m/>
    <n v="58800"/>
  </r>
  <r>
    <x v="213"/>
    <x v="3"/>
    <m/>
    <x v="1"/>
    <s v="유즈 솔리드퍼퓸 - 30ml (10차 재입고 완료향=스테이포에버 002 SOLID PERFUME, 세트 선택=1개"/>
    <n v="5"/>
    <x v="0"/>
    <x v="2"/>
    <n v="201210"/>
    <m/>
    <n v="190000"/>
  </r>
  <r>
    <x v="213"/>
    <x v="3"/>
    <m/>
    <x v="1"/>
    <s v="유즈 솔리드퍼퓸 - 30ml (10차 재입고 완료향=스테이포에버 002 SOLID PERFUME, 세트 선택=best"/>
    <n v="1"/>
    <x v="0"/>
    <x v="8"/>
    <n v="201210"/>
    <m/>
    <n v="58800"/>
  </r>
  <r>
    <x v="213"/>
    <x v="3"/>
    <m/>
    <x v="1"/>
    <s v="유즈 솔리드퍼퓸 - 30ml (10차 재입고 완료향=커플세트"/>
    <n v="6"/>
    <x v="0"/>
    <x v="3"/>
    <n v="201210"/>
    <m/>
    <n v="414000"/>
  </r>
  <r>
    <x v="213"/>
    <x v="3"/>
    <m/>
    <x v="1"/>
    <s v="유즈 솔리드퍼퓸 - 30ml (10차 재입고 완료향=커플세트"/>
    <n v="1"/>
    <x v="0"/>
    <x v="3"/>
    <n v="201210"/>
    <m/>
    <n v="69000"/>
  </r>
  <r>
    <x v="213"/>
    <x v="3"/>
    <m/>
    <x v="1"/>
    <s v="유즈 솔리드퍼퓸 - 30ml (10차 재입고 완료 )향=스테이포에버 002 SOLID PERFUME, 세트 선택=1개"/>
    <n v="8"/>
    <x v="0"/>
    <x v="2"/>
    <n v="201210"/>
    <m/>
    <n v="304000"/>
  </r>
  <r>
    <x v="213"/>
    <x v="3"/>
    <m/>
    <x v="1"/>
    <s v="유즈 솔리드퍼퓸 - 30ml (10차 재입고 완료 )향=스테이포에버 002 SOLID PERFUME, 세트 선택=best 2개 (28% 할인)"/>
    <n v="8"/>
    <x v="0"/>
    <x v="8"/>
    <n v="201210"/>
    <m/>
    <n v="470400"/>
  </r>
  <r>
    <x v="213"/>
    <x v="3"/>
    <m/>
    <x v="1"/>
    <s v="유즈 솔리드퍼퓸 - 30ml (10차 재입고 완료 )향=커플세트(이그나이트 + 스테이포에버), 세트 선택=1 SET"/>
    <n v="1"/>
    <x v="0"/>
    <x v="3"/>
    <n v="201210"/>
    <m/>
    <n v="69000"/>
  </r>
  <r>
    <x v="213"/>
    <x v="3"/>
    <m/>
    <x v="1"/>
    <s v="유즈 스테이포에버 솔리드퍼퓸 002 (10차 재입고 완료제품선택=스테이포에버 1개"/>
    <n v="85"/>
    <x v="0"/>
    <x v="2"/>
    <n v="201210"/>
    <m/>
    <n v="3230000"/>
  </r>
  <r>
    <x v="213"/>
    <x v="3"/>
    <m/>
    <x v="1"/>
    <s v="유즈 스테이포에버 솔리드퍼퓸 002 (10차 재입고 완료제품선택=best"/>
    <n v="45"/>
    <x v="0"/>
    <x v="8"/>
    <n v="201210"/>
    <m/>
    <n v="2646000"/>
  </r>
  <r>
    <x v="213"/>
    <x v="3"/>
    <m/>
    <x v="1"/>
    <s v="유즈 스테이포에버 솔리드퍼퓸 002 (10차 재입고 완료제품선택=커플추천"/>
    <n v="8"/>
    <x v="0"/>
    <x v="3"/>
    <n v="201210"/>
    <m/>
    <n v="552000"/>
  </r>
  <r>
    <x v="213"/>
    <x v="3"/>
    <m/>
    <x v="1"/>
    <s v="유즈 스테이포에버 솔리드퍼퓸 002 (10차 재입고 완료쇼핑백=선물용 쇼핑백"/>
    <n v="3"/>
    <x v="0"/>
    <x v="11"/>
    <n v="201210"/>
    <m/>
    <n v="6000"/>
  </r>
  <r>
    <x v="213"/>
    <x v="3"/>
    <m/>
    <x v="1"/>
    <s v="유즈 스테이포에버 솔리드퍼퓸 002 (10차 재입고 완료)제품선택=스테이포에버 1개"/>
    <n v="157"/>
    <x v="0"/>
    <x v="2"/>
    <n v="201210"/>
    <m/>
    <n v="5966000"/>
  </r>
  <r>
    <x v="213"/>
    <x v="3"/>
    <m/>
    <x v="1"/>
    <s v="유즈 스테이포에버 솔리드퍼퓸 002 (10차 재입고 완료)제품선택=best스테이포에버 2개[28% 할인]"/>
    <n v="72"/>
    <x v="0"/>
    <x v="8"/>
    <n v="201210"/>
    <m/>
    <n v="4233600"/>
  </r>
  <r>
    <x v="213"/>
    <x v="3"/>
    <m/>
    <x v="1"/>
    <s v="유즈 스테이포에버 솔리드퍼퓸 002 (10차 재입고 완료)제품선택=커플추천스테이포에버 + 이그나이트 세트"/>
    <n v="7"/>
    <x v="0"/>
    <x v="3"/>
    <n v="201210"/>
    <m/>
    <n v="0"/>
  </r>
  <r>
    <x v="213"/>
    <x v="3"/>
    <m/>
    <x v="1"/>
    <s v="유즈 스테이포에버 솔리드퍼퓸 002 (10차 재입고 완료)쇼핑백=선물용 쇼핑백"/>
    <n v="9"/>
    <x v="0"/>
    <x v="11"/>
    <n v="201210"/>
    <m/>
    <n v="18000"/>
  </r>
  <r>
    <x v="213"/>
    <x v="3"/>
    <m/>
    <x v="1"/>
    <s v="유즈 이그나이트 솔리드퍼퓸 001제품선택=이그나이트 솔리드퍼퓸 - 30ml"/>
    <n v="4"/>
    <x v="0"/>
    <x v="1"/>
    <n v="201210"/>
    <m/>
    <n v="152000"/>
  </r>
  <r>
    <x v="213"/>
    <x v="3"/>
    <m/>
    <x v="1"/>
    <s v="유즈 이그나이트 솔리드퍼퓸 001제품선택=이그나이트 2개 세트"/>
    <n v="4"/>
    <x v="0"/>
    <x v="9"/>
    <n v="201210"/>
    <m/>
    <n v="235200"/>
  </r>
  <r>
    <x v="214"/>
    <x v="4"/>
    <m/>
    <x v="2"/>
    <s v="유즈 스테이포에버 솔리드퍼퓸 002 (10차 재입고 완료)제품선택=커플추천스테이포에버 + 이그나이트 세트"/>
    <n v="1"/>
    <x v="0"/>
    <x v="3"/>
    <n v="201210"/>
    <m/>
    <n v="0"/>
  </r>
  <r>
    <x v="214"/>
    <x v="4"/>
    <m/>
    <x v="1"/>
    <s v="유즈 솔리드퍼퓸 - 30ml (10차 재입고 완료향=이그나이트 001 SOLID PERFUME, 세트 선택=1개"/>
    <n v="1"/>
    <x v="0"/>
    <x v="1"/>
    <n v="201210"/>
    <m/>
    <n v="38000"/>
  </r>
  <r>
    <x v="214"/>
    <x v="4"/>
    <m/>
    <x v="1"/>
    <s v="유즈 솔리드퍼퓸 - 30ml (10차 재입고 완료향=스테이포에버 002 SOLID PERFUME, 세트 선택=1개"/>
    <n v="8"/>
    <x v="0"/>
    <x v="2"/>
    <n v="201210"/>
    <m/>
    <n v="304000"/>
  </r>
  <r>
    <x v="214"/>
    <x v="4"/>
    <m/>
    <x v="1"/>
    <s v="유즈 솔리드퍼퓸 - 30ml (10차 재입고 완료향=스테이포에버 002 SOLID PERFUME, 세트 선택=best"/>
    <n v="3"/>
    <x v="0"/>
    <x v="8"/>
    <n v="201210"/>
    <m/>
    <n v="176400"/>
  </r>
  <r>
    <x v="214"/>
    <x v="4"/>
    <m/>
    <x v="1"/>
    <s v="유즈 솔리드퍼퓸 - 30ml (10차 재입고 완료향=커플세트"/>
    <n v="7"/>
    <x v="0"/>
    <x v="3"/>
    <n v="201210"/>
    <m/>
    <n v="483000"/>
  </r>
  <r>
    <x v="214"/>
    <x v="4"/>
    <m/>
    <x v="1"/>
    <s v="유즈 솔리드퍼퓸 - 30ml (10차 재입고 완료 )향=이그나이트 001 SOLID PERFUME, 세트 선택=1개"/>
    <n v="1"/>
    <x v="0"/>
    <x v="1"/>
    <n v="201210"/>
    <m/>
    <n v="38000"/>
  </r>
  <r>
    <x v="214"/>
    <x v="4"/>
    <m/>
    <x v="1"/>
    <s v="유즈 솔리드퍼퓸 - 30ml (10차 재입고 완료 )향=스테이포에버 002 SOLID PERFUME, 세트 선택=1개"/>
    <n v="4"/>
    <x v="0"/>
    <x v="2"/>
    <n v="201210"/>
    <m/>
    <n v="152000"/>
  </r>
  <r>
    <x v="214"/>
    <x v="4"/>
    <m/>
    <x v="1"/>
    <s v="유즈 솔리드퍼퓸 - 30ml (10차 재입고 완료 )향=스테이포에버 002 SOLID PERFUME, 세트 선택=best 2개 (28% 할인)"/>
    <n v="1"/>
    <x v="0"/>
    <x v="8"/>
    <n v="201210"/>
    <m/>
    <n v="58800"/>
  </r>
  <r>
    <x v="214"/>
    <x v="4"/>
    <m/>
    <x v="1"/>
    <s v="유즈 스테이포에버 솔리드퍼퓸 002 (10차 재입고 완료제품선택=스테이포에버 1개"/>
    <n v="95"/>
    <x v="0"/>
    <x v="2"/>
    <n v="201210"/>
    <m/>
    <n v="3610000"/>
  </r>
  <r>
    <x v="214"/>
    <x v="4"/>
    <m/>
    <x v="1"/>
    <s v="유즈 스테이포에버 솔리드퍼퓸 002 (10차 재입고 완료제품선택=best"/>
    <n v="50"/>
    <x v="0"/>
    <x v="8"/>
    <n v="201210"/>
    <m/>
    <n v="2940000"/>
  </r>
  <r>
    <x v="214"/>
    <x v="4"/>
    <m/>
    <x v="1"/>
    <s v="유즈 스테이포에버 솔리드퍼퓸 002 (10차 재입고 완료제품선택=커플추천"/>
    <n v="7"/>
    <x v="0"/>
    <x v="3"/>
    <n v="201210"/>
    <m/>
    <n v="483000"/>
  </r>
  <r>
    <x v="214"/>
    <x v="4"/>
    <m/>
    <x v="1"/>
    <s v="유즈 스테이포에버 솔리드퍼퓸 002 (10차 재입고 완료쇼핑백=선물용 쇼핑백"/>
    <n v="4"/>
    <x v="0"/>
    <x v="11"/>
    <n v="201210"/>
    <m/>
    <n v="8000"/>
  </r>
  <r>
    <x v="214"/>
    <x v="4"/>
    <m/>
    <x v="1"/>
    <s v="유즈 스테이포에버 솔리드퍼퓸 002 (10차 재입고 완료)제품선택=스테이포에버 1개"/>
    <n v="168"/>
    <x v="0"/>
    <x v="2"/>
    <n v="201210"/>
    <m/>
    <n v="6384000"/>
  </r>
  <r>
    <x v="214"/>
    <x v="4"/>
    <m/>
    <x v="1"/>
    <s v="유즈 스테이포에버 솔리드퍼퓸 002 (10차 재입고 완료)제품선택=best스테이포에버 2개[28% 할인]"/>
    <n v="69"/>
    <x v="0"/>
    <x v="8"/>
    <n v="201210"/>
    <m/>
    <n v="4057200"/>
  </r>
  <r>
    <x v="214"/>
    <x v="4"/>
    <m/>
    <x v="1"/>
    <s v="유즈 스테이포에버 솔리드퍼퓸 002 (10차 재입고 완료)제품선택=커플추천스테이포에버 + 이그나이트 세트"/>
    <n v="10"/>
    <x v="0"/>
    <x v="3"/>
    <n v="201210"/>
    <m/>
    <n v="0"/>
  </r>
  <r>
    <x v="214"/>
    <x v="4"/>
    <m/>
    <x v="1"/>
    <s v="유즈 스테이포에버 솔리드퍼퓸 002 (10차 재입고 완료)쇼핑백=선물용 쇼핑백"/>
    <n v="6"/>
    <x v="0"/>
    <x v="11"/>
    <n v="201210"/>
    <m/>
    <n v="12000"/>
  </r>
  <r>
    <x v="214"/>
    <x v="4"/>
    <m/>
    <x v="1"/>
    <s v="유즈 이그나이트 솔리드퍼퓸 001제품선택=이그나이트 솔리드퍼퓸 - 30ml"/>
    <n v="2"/>
    <x v="0"/>
    <x v="1"/>
    <n v="201210"/>
    <m/>
    <n v="76000"/>
  </r>
  <r>
    <x v="215"/>
    <x v="0"/>
    <m/>
    <x v="1"/>
    <s v="유즈 솔리드퍼퓸 - 30ml (10차 재입고 완료향=이그나이트 001 SOLID PERFUME, 세트 선택=1개"/>
    <n v="1"/>
    <x v="0"/>
    <x v="1"/>
    <n v="201210"/>
    <m/>
    <n v="38000"/>
  </r>
  <r>
    <x v="215"/>
    <x v="0"/>
    <m/>
    <x v="1"/>
    <s v="유즈 솔리드퍼퓸 - 30ml (10차 재입고 완료향=이그나이트 001 SOLID PERFUME, 세트 선택=best"/>
    <n v="1"/>
    <x v="0"/>
    <x v="9"/>
    <n v="201210"/>
    <m/>
    <n v="58800"/>
  </r>
  <r>
    <x v="215"/>
    <x v="0"/>
    <m/>
    <x v="1"/>
    <s v="유즈 솔리드퍼퓸 - 30ml (10차 재입고 완료향=스테이포에버 002 SOLID PERFUME, 세트 선택=1개"/>
    <n v="9"/>
    <x v="0"/>
    <x v="2"/>
    <n v="201210"/>
    <m/>
    <n v="342000"/>
  </r>
  <r>
    <x v="215"/>
    <x v="0"/>
    <m/>
    <x v="1"/>
    <s v="유즈 솔리드퍼퓸 - 30ml (10차 재입고 완료향=스테이포에버 002 SOLID PERFUME, 세트 선택=best"/>
    <n v="4"/>
    <x v="0"/>
    <x v="8"/>
    <n v="201210"/>
    <m/>
    <n v="235200"/>
  </r>
  <r>
    <x v="215"/>
    <x v="0"/>
    <m/>
    <x v="1"/>
    <s v="유즈 솔리드퍼퓸 - 30ml (10차 재입고 완료향=커플세트"/>
    <n v="4"/>
    <x v="0"/>
    <x v="3"/>
    <n v="201210"/>
    <m/>
    <n v="276000"/>
  </r>
  <r>
    <x v="215"/>
    <x v="0"/>
    <m/>
    <x v="1"/>
    <s v="유즈 솔리드퍼퓸 - 30ml (10차 재입고 완료향=커플세트"/>
    <n v="2"/>
    <x v="0"/>
    <x v="3"/>
    <n v="201210"/>
    <m/>
    <n v="138000"/>
  </r>
  <r>
    <x v="215"/>
    <x v="0"/>
    <m/>
    <x v="1"/>
    <s v="유즈 솔리드퍼퓸 - 30ml (10차 재입고 완료 )향=스테이포에버 002 SOLID PERFUME, 세트 선택=1개"/>
    <n v="4"/>
    <x v="0"/>
    <x v="2"/>
    <n v="201210"/>
    <m/>
    <n v="152000"/>
  </r>
  <r>
    <x v="215"/>
    <x v="0"/>
    <m/>
    <x v="1"/>
    <s v="유즈 솔리드퍼퓸 - 30ml (10차 재입고 완료 )향=스테이포에버 002 SOLID PERFUME, 세트 선택=best 2개 (28% 할인)"/>
    <n v="2"/>
    <x v="0"/>
    <x v="8"/>
    <n v="201210"/>
    <m/>
    <n v="117600"/>
  </r>
  <r>
    <x v="215"/>
    <x v="0"/>
    <m/>
    <x v="1"/>
    <s v="유즈 솔리드퍼퓸 - 30ml (10차 재입고 완료 )향=커플세트(이그나이트 + 스테이포에버), 세트 선택=1 SET"/>
    <n v="5"/>
    <x v="0"/>
    <x v="3"/>
    <n v="201210"/>
    <m/>
    <n v="345000"/>
  </r>
  <r>
    <x v="215"/>
    <x v="0"/>
    <m/>
    <x v="1"/>
    <s v="유즈 솔리드퍼퓸 - 30ml (10차 재입고 완료)향=커플세트"/>
    <n v="1"/>
    <x v="0"/>
    <x v="3"/>
    <n v="201210"/>
    <m/>
    <n v="69000"/>
  </r>
  <r>
    <x v="215"/>
    <x v="0"/>
    <m/>
    <x v="1"/>
    <s v="유즈 스테이포에버 솔리드퍼퓸 002 (10차 재입고 완료제품선택=스테이포에버 1개"/>
    <n v="141"/>
    <x v="0"/>
    <x v="2"/>
    <n v="201210"/>
    <m/>
    <n v="5358000"/>
  </r>
  <r>
    <x v="215"/>
    <x v="0"/>
    <m/>
    <x v="1"/>
    <s v="유즈 스테이포에버 솔리드퍼퓸 002 (10차 재입고 완료제품선택=best"/>
    <n v="76"/>
    <x v="0"/>
    <x v="8"/>
    <n v="201210"/>
    <m/>
    <n v="4468800"/>
  </r>
  <r>
    <x v="215"/>
    <x v="0"/>
    <m/>
    <x v="1"/>
    <s v="유즈 스테이포에버 솔리드퍼퓸 002 (10차 재입고 완료제품선택=커플추천"/>
    <n v="11"/>
    <x v="0"/>
    <x v="3"/>
    <n v="201210"/>
    <m/>
    <n v="759000"/>
  </r>
  <r>
    <x v="215"/>
    <x v="0"/>
    <m/>
    <x v="1"/>
    <s v="유즈 스테이포에버 솔리드퍼퓸 002 (10차 재입고 완료쇼핑백=선물용 쇼핑백"/>
    <n v="4"/>
    <x v="0"/>
    <x v="11"/>
    <n v="201210"/>
    <m/>
    <n v="8000"/>
  </r>
  <r>
    <x v="215"/>
    <x v="0"/>
    <m/>
    <x v="1"/>
    <s v="유즈 스테이포에버 솔리드퍼퓸 002 (10차 재입고 완료)제품선택=스테이포에버 1개"/>
    <n v="264"/>
    <x v="0"/>
    <x v="2"/>
    <n v="201210"/>
    <m/>
    <n v="10032000"/>
  </r>
  <r>
    <x v="215"/>
    <x v="0"/>
    <m/>
    <x v="1"/>
    <s v="유즈 스테이포에버 솔리드퍼퓸 002 (10차 재입고 완료)제품선택=best스테이포에버 2개[28% 할인]"/>
    <n v="115"/>
    <x v="0"/>
    <x v="8"/>
    <n v="201210"/>
    <m/>
    <n v="6762000"/>
  </r>
  <r>
    <x v="215"/>
    <x v="0"/>
    <m/>
    <x v="1"/>
    <s v="유즈 스테이포에버 솔리드퍼퓸 002 (10차 재입고 완료)제품선택=커플추천스테이포에버 + 이그나이트 세트"/>
    <n v="21"/>
    <x v="0"/>
    <x v="3"/>
    <n v="201210"/>
    <m/>
    <n v="0"/>
  </r>
  <r>
    <x v="215"/>
    <x v="0"/>
    <m/>
    <x v="1"/>
    <s v="유즈 스테이포에버 솔리드퍼퓸 002 (10차 재입고 완료)쇼핑백=선물용 쇼핑백"/>
    <n v="13"/>
    <x v="0"/>
    <x v="11"/>
    <n v="201210"/>
    <m/>
    <n v="26000"/>
  </r>
  <r>
    <x v="215"/>
    <x v="0"/>
    <m/>
    <x v="1"/>
    <s v="유즈 이그나이트 솔리드퍼퓸 001제품선택=이그나이트 솔리드퍼퓸 - 30ml"/>
    <n v="6"/>
    <x v="0"/>
    <x v="1"/>
    <n v="201210"/>
    <m/>
    <n v="228000"/>
  </r>
  <r>
    <x v="215"/>
    <x v="0"/>
    <m/>
    <x v="1"/>
    <s v="유즈 이그나이트 솔리드퍼퓸 001제품선택=이그나이트 2개 세트"/>
    <n v="2"/>
    <x v="0"/>
    <x v="9"/>
    <n v="201210"/>
    <m/>
    <n v="117600"/>
  </r>
  <r>
    <x v="216"/>
    <x v="1"/>
    <m/>
    <x v="1"/>
    <s v="유즈 솔리드퍼퓸 - 30ml (10차 재입고 완료향=스테이포에버 002 SOLID PERFUME, 세트 선택=1개"/>
    <n v="7"/>
    <x v="0"/>
    <x v="2"/>
    <n v="201210"/>
    <m/>
    <n v="266000"/>
  </r>
  <r>
    <x v="216"/>
    <x v="1"/>
    <m/>
    <x v="1"/>
    <s v="유즈 솔리드퍼퓸 - 30ml (10차 재입고 완료향=스테이포에버 002 SOLID PERFUME, 세트 선택=best"/>
    <n v="5"/>
    <x v="0"/>
    <x v="8"/>
    <n v="201210"/>
    <m/>
    <n v="294000"/>
  </r>
  <r>
    <x v="216"/>
    <x v="1"/>
    <m/>
    <x v="1"/>
    <s v="유즈 솔리드퍼퓸 - 30ml (10차 재입고 완료향=커플세트"/>
    <n v="7"/>
    <x v="0"/>
    <x v="3"/>
    <n v="201210"/>
    <m/>
    <n v="483000"/>
  </r>
  <r>
    <x v="216"/>
    <x v="1"/>
    <m/>
    <x v="1"/>
    <s v="유즈 솔리드퍼퓸 - 30ml (10차 재입고 완료 )향=스테이포에버 002 SOLID PERFUME, 세트 선택=1개"/>
    <n v="11"/>
    <x v="0"/>
    <x v="2"/>
    <n v="201210"/>
    <m/>
    <n v="418000"/>
  </r>
  <r>
    <x v="216"/>
    <x v="1"/>
    <m/>
    <x v="1"/>
    <s v="유즈 솔리드퍼퓸 - 30ml (10차 재입고 완료 )향=스테이포에버 002 SOLID PERFUME, 세트 선택=best 2개 (28% 할인)"/>
    <n v="2"/>
    <x v="0"/>
    <x v="8"/>
    <n v="201210"/>
    <m/>
    <n v="117600"/>
  </r>
  <r>
    <x v="216"/>
    <x v="1"/>
    <m/>
    <x v="1"/>
    <s v="유즈 솔리드퍼퓸 - 30ml (10차 재입고 완료 )향=커플세트(이그나이트 + 스테이포에버), 세트 선택=1 SET"/>
    <n v="4"/>
    <x v="0"/>
    <x v="3"/>
    <n v="201210"/>
    <m/>
    <n v="276000"/>
  </r>
  <r>
    <x v="216"/>
    <x v="1"/>
    <m/>
    <x v="1"/>
    <s v="유즈 스테이포에버 솔리드퍼퓸 002 (10차 재입고 완료제품선택=스테이포에버 1개"/>
    <n v="179"/>
    <x v="0"/>
    <x v="2"/>
    <n v="201210"/>
    <m/>
    <n v="6802000"/>
  </r>
  <r>
    <x v="216"/>
    <x v="1"/>
    <m/>
    <x v="1"/>
    <s v="유즈 스테이포에버 솔리드퍼퓸 002 (10차 재입고 완료제품선택=best"/>
    <n v="93"/>
    <x v="0"/>
    <x v="8"/>
    <n v="201210"/>
    <m/>
    <n v="5468400"/>
  </r>
  <r>
    <x v="216"/>
    <x v="1"/>
    <m/>
    <x v="1"/>
    <s v="유즈 스테이포에버 솔리드퍼퓸 002 (10차 재입고 완료제품선택=커플추천"/>
    <n v="7"/>
    <x v="0"/>
    <x v="3"/>
    <n v="201210"/>
    <m/>
    <n v="483000"/>
  </r>
  <r>
    <x v="216"/>
    <x v="1"/>
    <m/>
    <x v="1"/>
    <s v="유즈 스테이포에버 솔리드퍼퓸 002 (10차 재입고 완료쇼핑백=선물용 쇼핑백"/>
    <n v="4"/>
    <x v="0"/>
    <x v="11"/>
    <n v="201210"/>
    <m/>
    <n v="8000"/>
  </r>
  <r>
    <x v="216"/>
    <x v="1"/>
    <m/>
    <x v="1"/>
    <s v="유즈 스테이포에버 솔리드퍼퓸 002 (10차 재입고 완료)제품선택=스테이포에버 1개"/>
    <n v="317"/>
    <x v="0"/>
    <x v="2"/>
    <n v="201210"/>
    <m/>
    <n v="12046000"/>
  </r>
  <r>
    <x v="216"/>
    <x v="1"/>
    <m/>
    <x v="1"/>
    <s v="유즈 스테이포에버 솔리드퍼퓸 002 (10차 재입고 완료)제품선택=best스테이포에버 2개[28% 할인]"/>
    <n v="112"/>
    <x v="0"/>
    <x v="8"/>
    <n v="201210"/>
    <m/>
    <n v="6585600"/>
  </r>
  <r>
    <x v="216"/>
    <x v="1"/>
    <m/>
    <x v="1"/>
    <s v="유즈 스테이포에버 솔리드퍼퓸 002 (10차 재입고 완료)제품선택=커플추천스테이포에버 + 이그나이트 세트"/>
    <n v="19"/>
    <x v="0"/>
    <x v="3"/>
    <n v="201210"/>
    <m/>
    <n v="0"/>
  </r>
  <r>
    <x v="216"/>
    <x v="1"/>
    <m/>
    <x v="1"/>
    <s v="유즈 스테이포에버 솔리드퍼퓸 002 (10차 재입고 완료)쇼핑백=선물용 쇼핑백"/>
    <n v="9"/>
    <x v="0"/>
    <x v="11"/>
    <n v="201210"/>
    <m/>
    <n v="18000"/>
  </r>
  <r>
    <x v="216"/>
    <x v="1"/>
    <m/>
    <x v="1"/>
    <s v="유즈 이그나이트 솔리드퍼퓸 001제품선택=이그나이트 솔리드퍼퓸 - 30ml"/>
    <n v="6"/>
    <x v="0"/>
    <x v="1"/>
    <n v="201210"/>
    <m/>
    <n v="228000"/>
  </r>
  <r>
    <x v="217"/>
    <x v="5"/>
    <m/>
    <x v="1"/>
    <s v="SHOPPING BAG"/>
    <n v="3"/>
    <x v="2"/>
    <x v="11"/>
    <n v="201210"/>
    <m/>
    <n v="6000"/>
  </r>
  <r>
    <x v="217"/>
    <x v="5"/>
    <m/>
    <x v="1"/>
    <s v="유즈 솔리드퍼퓸 - 30ml (10차 재입고 완료향=이그나이트 001 SOLID PERFUME, 세트 선택=1개"/>
    <n v="1"/>
    <x v="0"/>
    <x v="1"/>
    <n v="201210"/>
    <m/>
    <n v="38000"/>
  </r>
  <r>
    <x v="217"/>
    <x v="5"/>
    <m/>
    <x v="1"/>
    <s v="유즈 솔리드퍼퓸 - 30ml (10차 재입고 완료향=이그나이트 001 SOLID PERFUME, 세트 선택=best"/>
    <n v="1"/>
    <x v="0"/>
    <x v="9"/>
    <n v="201210"/>
    <m/>
    <n v="58800"/>
  </r>
  <r>
    <x v="217"/>
    <x v="5"/>
    <m/>
    <x v="1"/>
    <s v="유즈 솔리드퍼퓸 - 30ml (10차 재입고 완료향=스테이포에버 002 SOLID PERFUME, 세트 선택=1개"/>
    <n v="6"/>
    <x v="0"/>
    <x v="2"/>
    <n v="201210"/>
    <m/>
    <n v="228000"/>
  </r>
  <r>
    <x v="217"/>
    <x v="5"/>
    <m/>
    <x v="1"/>
    <s v="유즈 솔리드퍼퓸 - 30ml (10차 재입고 완료향=스테이포에버 002 SOLID PERFUME, 세트 선택=best"/>
    <n v="2"/>
    <x v="0"/>
    <x v="8"/>
    <n v="201210"/>
    <m/>
    <n v="117600"/>
  </r>
  <r>
    <x v="217"/>
    <x v="5"/>
    <m/>
    <x v="1"/>
    <s v="유즈 솔리드퍼퓸 - 30ml (10차 재입고 완료향=커플세트"/>
    <n v="3"/>
    <x v="0"/>
    <x v="3"/>
    <n v="201210"/>
    <m/>
    <n v="207000"/>
  </r>
  <r>
    <x v="217"/>
    <x v="5"/>
    <m/>
    <x v="1"/>
    <s v="유즈 솔리드퍼퓸 - 30ml (10차 재입고 완료향=커플세트"/>
    <n v="2"/>
    <x v="0"/>
    <x v="3"/>
    <n v="201210"/>
    <m/>
    <n v="138000"/>
  </r>
  <r>
    <x v="217"/>
    <x v="5"/>
    <m/>
    <x v="1"/>
    <s v="유즈 솔리드퍼퓸 - 30ml (10차 재입고 완료 )향=이그나이트 001 SOLID PERFUME, 세트 선택=1개"/>
    <n v="1"/>
    <x v="0"/>
    <x v="1"/>
    <n v="201210"/>
    <m/>
    <n v="38000"/>
  </r>
  <r>
    <x v="217"/>
    <x v="5"/>
    <m/>
    <x v="1"/>
    <s v="유즈 솔리드퍼퓸 - 30ml (10차 재입고 완료 )향=스테이포에버 002 SOLID PERFUME, 세트 선택=1개"/>
    <n v="8"/>
    <x v="0"/>
    <x v="2"/>
    <n v="201210"/>
    <m/>
    <n v="304000"/>
  </r>
  <r>
    <x v="217"/>
    <x v="5"/>
    <m/>
    <x v="1"/>
    <s v="유즈 솔리드퍼퓸 - 30ml (10차 재입고 완료 )향=스테이포에버 002 SOLID PERFUME, 세트 선택=best 2개 (28% 할인)"/>
    <n v="1"/>
    <x v="0"/>
    <x v="8"/>
    <n v="201210"/>
    <m/>
    <n v="58800"/>
  </r>
  <r>
    <x v="217"/>
    <x v="5"/>
    <m/>
    <x v="1"/>
    <s v="유즈 솔리드퍼퓸 - 30ml (10차 재입고 완료 )향=커플세트(이그나이트 + 스테이포에버), 세트 선택=1 SET"/>
    <n v="7"/>
    <x v="0"/>
    <x v="3"/>
    <n v="201210"/>
    <m/>
    <n v="483000"/>
  </r>
  <r>
    <x v="217"/>
    <x v="5"/>
    <m/>
    <x v="1"/>
    <s v="유즈 스테이포에버 솔리드퍼퓸 002 (10차 재입고 완료제품선택=스테이포에버 1개"/>
    <n v="143"/>
    <x v="0"/>
    <x v="2"/>
    <n v="201210"/>
    <m/>
    <n v="5434000"/>
  </r>
  <r>
    <x v="217"/>
    <x v="5"/>
    <m/>
    <x v="1"/>
    <s v="유즈 스테이포에버 솔리드퍼퓸 002 (10차 재입고 완료제품선택=best"/>
    <n v="114"/>
    <x v="0"/>
    <x v="8"/>
    <n v="201210"/>
    <m/>
    <n v="6703200"/>
  </r>
  <r>
    <x v="217"/>
    <x v="5"/>
    <m/>
    <x v="1"/>
    <s v="유즈 스테이포에버 솔리드퍼퓸 002 (10차 재입고 완료제품선택=커플추천"/>
    <n v="10"/>
    <x v="0"/>
    <x v="3"/>
    <n v="201210"/>
    <m/>
    <n v="690000"/>
  </r>
  <r>
    <x v="217"/>
    <x v="5"/>
    <m/>
    <x v="1"/>
    <s v="유즈 스테이포에버 솔리드퍼퓸 002 (10차 재입고 완료쇼핑백=선물용 쇼핑백"/>
    <n v="3"/>
    <x v="0"/>
    <x v="11"/>
    <n v="201210"/>
    <m/>
    <n v="6000"/>
  </r>
  <r>
    <x v="217"/>
    <x v="5"/>
    <m/>
    <x v="1"/>
    <s v="유즈 스테이포에버 솔리드퍼퓸 002 (10차 재입고 완료)제품선택=스테이포에버 1개"/>
    <n v="226"/>
    <x v="0"/>
    <x v="2"/>
    <n v="201210"/>
    <m/>
    <n v="8588000"/>
  </r>
  <r>
    <x v="217"/>
    <x v="5"/>
    <m/>
    <x v="1"/>
    <s v="유즈 스테이포에버 솔리드퍼퓸 002 (10차 재입고 완료)제품선택=best스테이포에버 2개[28% 할인]"/>
    <n v="117"/>
    <x v="0"/>
    <x v="8"/>
    <n v="201210"/>
    <m/>
    <n v="6879600"/>
  </r>
  <r>
    <x v="217"/>
    <x v="5"/>
    <m/>
    <x v="1"/>
    <s v="유즈 스테이포에버 솔리드퍼퓸 002 (10차 재입고 완료)제품선택=커플추천스테이포에버 + 이그나이트 세트"/>
    <n v="21"/>
    <x v="0"/>
    <x v="3"/>
    <n v="201210"/>
    <m/>
    <n v="0"/>
  </r>
  <r>
    <x v="217"/>
    <x v="5"/>
    <m/>
    <x v="1"/>
    <s v="유즈 스테이포에버 솔리드퍼퓸 002 (10차 재입고 완료)쇼핑백=선물용 쇼핑백"/>
    <n v="15"/>
    <x v="0"/>
    <x v="11"/>
    <n v="201210"/>
    <m/>
    <n v="30000"/>
  </r>
  <r>
    <x v="217"/>
    <x v="5"/>
    <m/>
    <x v="1"/>
    <s v="유즈 이그나이트 솔리드퍼퓸 001제품선택=이그나이트 솔리드퍼퓸 - 30ml"/>
    <n v="3"/>
    <x v="0"/>
    <x v="1"/>
    <n v="201210"/>
    <m/>
    <n v="114000"/>
  </r>
  <r>
    <x v="217"/>
    <x v="5"/>
    <m/>
    <x v="1"/>
    <s v="유즈 이그나이트 솔리드퍼퓸 001제품선택=이그나이트 2개 세트"/>
    <n v="1"/>
    <x v="0"/>
    <x v="9"/>
    <n v="201210"/>
    <m/>
    <n v="58800"/>
  </r>
  <r>
    <x v="218"/>
    <x v="6"/>
    <m/>
    <x v="1"/>
    <s v="유즈 솔리드퍼퓸 - 30ml (10차 재입고 완료향=스테이포에버 002 SOLID PERFUME, 세트 선택=1개"/>
    <n v="2"/>
    <x v="0"/>
    <x v="2"/>
    <n v="201210"/>
    <m/>
    <n v="76000"/>
  </r>
  <r>
    <x v="218"/>
    <x v="6"/>
    <m/>
    <x v="1"/>
    <s v="유즈 솔리드퍼퓸 - 30ml (10차 재입고 완료 )향=스테이포에버 002 SOLID PERFUME, 세트 선택=1개"/>
    <n v="1"/>
    <x v="0"/>
    <x v="2"/>
    <n v="201210"/>
    <m/>
    <n v="38000"/>
  </r>
  <r>
    <x v="218"/>
    <x v="6"/>
    <m/>
    <x v="1"/>
    <s v="유즈 솔리드퍼퓸 - 30ml (10차 재입고 완료 )향=스테이포에버 002 SOLID PERFUME, 세트 선택=best 2개 (28% 할인)"/>
    <n v="1"/>
    <x v="0"/>
    <x v="8"/>
    <n v="201210"/>
    <m/>
    <n v="58800"/>
  </r>
  <r>
    <x v="218"/>
    <x v="6"/>
    <m/>
    <x v="1"/>
    <s v="유즈 솔리드퍼퓸 - 30ml (10차 재입고 완료)향=이그나이트 001 SOLID PERFUME, 세트 선택=1개"/>
    <n v="1"/>
    <x v="0"/>
    <x v="1"/>
    <n v="201210"/>
    <m/>
    <n v="38000"/>
  </r>
  <r>
    <x v="218"/>
    <x v="6"/>
    <m/>
    <x v="1"/>
    <s v="유즈 솔리드퍼퓸 - 30ml (10차 재입고 완료)향=이그나이트 001 SOLID PERFUME, 세트 선택=best"/>
    <n v="1"/>
    <x v="0"/>
    <x v="9"/>
    <n v="201210"/>
    <m/>
    <n v="58800"/>
  </r>
  <r>
    <x v="218"/>
    <x v="6"/>
    <m/>
    <x v="1"/>
    <s v="유즈 솔리드퍼퓸 - 30ml (10차 재입고 완료)향=스테이포에버 002 SOLID PERFUME, 세트 선택=1개"/>
    <n v="8"/>
    <x v="0"/>
    <x v="2"/>
    <n v="201210"/>
    <m/>
    <n v="304000"/>
  </r>
  <r>
    <x v="218"/>
    <x v="6"/>
    <m/>
    <x v="1"/>
    <s v="유즈 솔리드퍼퓸 - 30ml (10차 재입고 완료)향=스테이포에버 002 SOLID PERFUME, 세트 선택=best 2개 (28% 할인)"/>
    <n v="2"/>
    <x v="0"/>
    <x v="8"/>
    <n v="201210"/>
    <m/>
    <n v="117600"/>
  </r>
  <r>
    <x v="218"/>
    <x v="6"/>
    <m/>
    <x v="1"/>
    <s v="유즈 솔리드퍼퓸 - 30ml (10차 재입고 완료)향=커플세트"/>
    <n v="6"/>
    <x v="0"/>
    <x v="3"/>
    <n v="201210"/>
    <m/>
    <n v="414000"/>
  </r>
  <r>
    <x v="218"/>
    <x v="6"/>
    <m/>
    <x v="1"/>
    <s v="유즈 솔리드퍼퓸 - 30ml (10차 재입고 완료)향=커플세트(이그나이트 + 스테이포에버), 세트 선택=1 SET"/>
    <n v="2"/>
    <x v="0"/>
    <x v="3"/>
    <n v="201210"/>
    <m/>
    <n v="138000"/>
  </r>
  <r>
    <x v="218"/>
    <x v="6"/>
    <m/>
    <x v="1"/>
    <s v="유즈 스테이포에버 솔리드퍼퓸 002 (10차 재입고 완료제품선택=스테이포에버 1개"/>
    <n v="32"/>
    <x v="0"/>
    <x v="2"/>
    <n v="201210"/>
    <m/>
    <n v="1216000"/>
  </r>
  <r>
    <x v="218"/>
    <x v="6"/>
    <m/>
    <x v="1"/>
    <s v="유즈 스테이포에버 솔리드퍼퓸 002 (10차 재입고 완료제품선택=best"/>
    <n v="14"/>
    <x v="0"/>
    <x v="8"/>
    <n v="201210"/>
    <m/>
    <n v="823200"/>
  </r>
  <r>
    <x v="218"/>
    <x v="6"/>
    <m/>
    <x v="1"/>
    <s v="유즈 스테이포에버 솔리드퍼퓸 002 (10차 재입고 완료제품선택=커플추천"/>
    <n v="4"/>
    <x v="0"/>
    <x v="3"/>
    <n v="201210"/>
    <m/>
    <n v="276000"/>
  </r>
  <r>
    <x v="218"/>
    <x v="6"/>
    <m/>
    <x v="1"/>
    <s v="유즈 스테이포에버 솔리드퍼퓸 002 (10차 재입고 완료)제품선택=스테이포에버 1개"/>
    <n v="251"/>
    <x v="0"/>
    <x v="2"/>
    <n v="201210"/>
    <m/>
    <n v="9538000"/>
  </r>
  <r>
    <x v="218"/>
    <x v="6"/>
    <m/>
    <x v="1"/>
    <s v="유즈 스테이포에버 솔리드퍼퓸 002 (10차 재입고 완료)제품선택=best"/>
    <n v="29"/>
    <x v="0"/>
    <x v="8"/>
    <n v="201210"/>
    <m/>
    <n v="1705200"/>
  </r>
  <r>
    <x v="218"/>
    <x v="6"/>
    <m/>
    <x v="1"/>
    <s v="유즈 스테이포에버 솔리드퍼퓸 002 (10차 재입고 완료)제품선택=best스테이포에버 2개[28% 할인]"/>
    <n v="63"/>
    <x v="0"/>
    <x v="8"/>
    <n v="201210"/>
    <m/>
    <n v="3704400"/>
  </r>
  <r>
    <x v="218"/>
    <x v="6"/>
    <m/>
    <x v="1"/>
    <s v="유즈 스테이포에버 솔리드퍼퓸 002 (10차 재입고 완료)제품선택=커플추천"/>
    <n v="6"/>
    <x v="0"/>
    <x v="3"/>
    <n v="201210"/>
    <m/>
    <n v="352800"/>
  </r>
  <r>
    <x v="218"/>
    <x v="6"/>
    <m/>
    <x v="1"/>
    <s v="유즈 스테이포에버 솔리드퍼퓸 002 (10차 재입고 완료)제품선택=커플추천스테이포에버 + 이그나이트 세트"/>
    <n v="9"/>
    <x v="0"/>
    <x v="3"/>
    <n v="201210"/>
    <m/>
    <n v="0"/>
  </r>
  <r>
    <x v="218"/>
    <x v="6"/>
    <m/>
    <x v="1"/>
    <s v="유즈 스테이포에버 솔리드퍼퓸 002 (10차 재입고 완료)쇼핑백=선물용 쇼핑백"/>
    <n v="14"/>
    <x v="0"/>
    <x v="11"/>
    <n v="201210"/>
    <m/>
    <n v="28000"/>
  </r>
  <r>
    <x v="218"/>
    <x v="6"/>
    <m/>
    <x v="1"/>
    <s v="유즈 이그나이트 솔리드퍼퓸 001제품선택=이그나이트 솔리드퍼퓸 - 30ml"/>
    <n v="3"/>
    <x v="0"/>
    <x v="1"/>
    <n v="201210"/>
    <m/>
    <n v="114000"/>
  </r>
  <r>
    <x v="218"/>
    <x v="6"/>
    <m/>
    <x v="1"/>
    <s v="유즈 이그나이트 솔리드퍼퓸 001제품선택=이그나이트 2개 세트"/>
    <n v="1"/>
    <x v="0"/>
    <x v="9"/>
    <n v="201210"/>
    <m/>
    <n v="58800"/>
  </r>
  <r>
    <x v="219"/>
    <x v="2"/>
    <m/>
    <x v="1"/>
    <s v="유즈 솔리드퍼퓸 - 30ml (10차 재입고 완료)향=이그나이트 001 SOLID PERFUME, 세트 선택=1개"/>
    <n v="3"/>
    <x v="0"/>
    <x v="1"/>
    <n v="201210"/>
    <m/>
    <n v="114000"/>
  </r>
  <r>
    <x v="219"/>
    <x v="2"/>
    <m/>
    <x v="1"/>
    <s v="유즈 솔리드퍼퓸 - 30ml (10차 재입고 완료)향=이그나이트 001 SOLID PERFUME, 세트 선택=best"/>
    <n v="1"/>
    <x v="0"/>
    <x v="9"/>
    <n v="201210"/>
    <m/>
    <n v="58800"/>
  </r>
  <r>
    <x v="219"/>
    <x v="2"/>
    <m/>
    <x v="1"/>
    <s v="유즈 솔리드퍼퓸 - 30ml (10차 재입고 완료)향=스테이포에버 002 SOLID PERFUME, 세트 선택=1개"/>
    <n v="9"/>
    <x v="0"/>
    <x v="2"/>
    <n v="201210"/>
    <m/>
    <n v="342000"/>
  </r>
  <r>
    <x v="219"/>
    <x v="2"/>
    <m/>
    <x v="1"/>
    <s v="유즈 솔리드퍼퓸 - 30ml (10차 재입고 완료)향=스테이포에버 002 SOLID PERFUME, 세트 선택=best"/>
    <n v="5"/>
    <x v="0"/>
    <x v="8"/>
    <n v="201210"/>
    <m/>
    <n v="294000"/>
  </r>
  <r>
    <x v="219"/>
    <x v="2"/>
    <m/>
    <x v="1"/>
    <s v="유즈 솔리드퍼퓸 - 30ml (10차 재입고 완료)향=스테이포에버 002 SOLID PERFUME, 세트 선택=best 2개 (28% 할인)"/>
    <n v="2"/>
    <x v="0"/>
    <x v="8"/>
    <n v="201210"/>
    <m/>
    <n v="117600"/>
  </r>
  <r>
    <x v="219"/>
    <x v="2"/>
    <m/>
    <x v="1"/>
    <s v="유즈 솔리드퍼퓸 - 30ml (10차 재입고 완료)향=커플세트"/>
    <n v="1"/>
    <x v="0"/>
    <x v="3"/>
    <n v="201210"/>
    <m/>
    <n v="69000"/>
  </r>
  <r>
    <x v="219"/>
    <x v="2"/>
    <m/>
    <x v="1"/>
    <s v="유즈 솔리드퍼퓸 - 30ml (10차 재입고 완료)향=커플세트(이그나이트 + 스테이포에버), 세트 선택=1 SET"/>
    <n v="3"/>
    <x v="0"/>
    <x v="3"/>
    <n v="201210"/>
    <m/>
    <n v="207000"/>
  </r>
  <r>
    <x v="219"/>
    <x v="2"/>
    <m/>
    <x v="1"/>
    <s v="유즈 솔리드퍼퓸 - 30ml (10차 재입고 완료)향=커플세트"/>
    <n v="1"/>
    <x v="0"/>
    <x v="3"/>
    <n v="201210"/>
    <m/>
    <n v="69000"/>
  </r>
  <r>
    <x v="219"/>
    <x v="2"/>
    <m/>
    <x v="1"/>
    <s v="유즈 솔리드퍼퓸 - 30ml (10차 재입고 완료)향=커플세트(이그나이트 + 스테이포에버), 세트 선택=2 SET (42% 할인)"/>
    <n v="1"/>
    <x v="0"/>
    <x v="3"/>
    <n v="201210"/>
    <m/>
    <n v="58800"/>
  </r>
  <r>
    <x v="219"/>
    <x v="2"/>
    <m/>
    <x v="1"/>
    <s v="유즈 스테이포에버 솔리드퍼퓸 002 (10차 재입고 완료제품선택=스테이포에버 1개"/>
    <n v="1"/>
    <x v="0"/>
    <x v="2"/>
    <n v="201210"/>
    <m/>
    <n v="38000"/>
  </r>
  <r>
    <x v="219"/>
    <x v="2"/>
    <m/>
    <x v="1"/>
    <s v="유즈 스테이포에버 솔리드퍼퓸 002 (10차 재입고 완료제품선택=best"/>
    <n v="1"/>
    <x v="0"/>
    <x v="8"/>
    <n v="201210"/>
    <m/>
    <n v="58800"/>
  </r>
  <r>
    <x v="219"/>
    <x v="2"/>
    <m/>
    <x v="1"/>
    <s v="유즈 스테이포에버 솔리드퍼퓸 002 (10차 재입고 완료제품선택=커플추천"/>
    <n v="1"/>
    <x v="0"/>
    <x v="3"/>
    <n v="201210"/>
    <m/>
    <n v="69000"/>
  </r>
  <r>
    <x v="219"/>
    <x v="2"/>
    <m/>
    <x v="1"/>
    <s v="유즈 스테이포에버 솔리드퍼퓸 002 (10차 재입고 완료)제품선택=스테이포에버 1개"/>
    <n v="281"/>
    <x v="0"/>
    <x v="2"/>
    <n v="201210"/>
    <m/>
    <n v="10678000"/>
  </r>
  <r>
    <x v="219"/>
    <x v="2"/>
    <m/>
    <x v="1"/>
    <s v="유즈 스테이포에버 솔리드퍼퓸 002 (10차 재입고 완료)제품선택=best"/>
    <n v="46"/>
    <x v="0"/>
    <x v="8"/>
    <n v="201210"/>
    <m/>
    <n v="2704800"/>
  </r>
  <r>
    <x v="219"/>
    <x v="2"/>
    <m/>
    <x v="1"/>
    <s v="유즈 스테이포에버 솔리드퍼퓸 002 (10차 재입고 완료)제품선택=best스테이포에버 2개[28% 할인]"/>
    <n v="58"/>
    <x v="0"/>
    <x v="8"/>
    <n v="201210"/>
    <m/>
    <n v="3410400"/>
  </r>
  <r>
    <x v="219"/>
    <x v="2"/>
    <m/>
    <x v="1"/>
    <s v="유즈 스테이포에버 솔리드퍼퓸 002 (10차 재입고 완료)제품선택=커플추천"/>
    <n v="9"/>
    <x v="0"/>
    <x v="3"/>
    <n v="201210"/>
    <m/>
    <n v="529200"/>
  </r>
  <r>
    <x v="219"/>
    <x v="2"/>
    <m/>
    <x v="1"/>
    <s v="유즈 스테이포에버 솔리드퍼퓸 002 (10차 재입고 완료)제품선택=커플추천스테이포에버 + 이그나이트 세트"/>
    <n v="9"/>
    <x v="0"/>
    <x v="3"/>
    <n v="201210"/>
    <m/>
    <n v="0"/>
  </r>
  <r>
    <x v="219"/>
    <x v="2"/>
    <m/>
    <x v="1"/>
    <s v="유즈 스테이포에버 솔리드퍼퓸 002 (10차 재입고 완료)쇼핑백=선물용 쇼핑백"/>
    <n v="13"/>
    <x v="0"/>
    <x v="11"/>
    <n v="201210"/>
    <m/>
    <n v="26000"/>
  </r>
  <r>
    <x v="219"/>
    <x v="2"/>
    <m/>
    <x v="1"/>
    <s v="유즈 이그나이트 솔리드퍼퓸 001제품선택=이그나이트 솔리드퍼퓸 - 30ml"/>
    <n v="4"/>
    <x v="0"/>
    <x v="1"/>
    <n v="201210"/>
    <m/>
    <n v="152000"/>
  </r>
  <r>
    <x v="219"/>
    <x v="2"/>
    <m/>
    <x v="1"/>
    <s v="유즈 이그나이트 솔리드퍼퓸 001제품선택=이그나이트 2개 세트"/>
    <n v="4"/>
    <x v="0"/>
    <x v="9"/>
    <n v="201210"/>
    <m/>
    <n v="235200"/>
  </r>
  <r>
    <x v="220"/>
    <x v="3"/>
    <m/>
    <x v="1"/>
    <s v="SHOPPING BAG"/>
    <n v="1"/>
    <x v="2"/>
    <x v="11"/>
    <n v="201210"/>
    <m/>
    <n v="2000"/>
  </r>
  <r>
    <x v="220"/>
    <x v="3"/>
    <m/>
    <x v="1"/>
    <s v="솔리드퍼퓸 스테이포에버 002 30ml"/>
    <n v="1"/>
    <x v="0"/>
    <x v="2"/>
    <n v="201210"/>
    <m/>
    <n v="38000"/>
  </r>
  <r>
    <x v="220"/>
    <x v="3"/>
    <m/>
    <x v="1"/>
    <s v="유즈 솔리드퍼퓸 - 30ml (10차 재입고 완료)향=이그나이트 001 SOLID PERFUME, 세트 선택=1개"/>
    <n v="1"/>
    <x v="0"/>
    <x v="1"/>
    <n v="201210"/>
    <m/>
    <n v="38000"/>
  </r>
  <r>
    <x v="220"/>
    <x v="3"/>
    <m/>
    <x v="1"/>
    <s v="유즈 솔리드퍼퓸 - 30ml (10차 재입고 완료)향=스테이포에버 002 SOLID PERFUME, 세트 선택=1개"/>
    <n v="11"/>
    <x v="0"/>
    <x v="2"/>
    <n v="201210"/>
    <m/>
    <n v="418000"/>
  </r>
  <r>
    <x v="220"/>
    <x v="3"/>
    <m/>
    <x v="1"/>
    <s v="유즈 솔리드퍼퓸 - 30ml (10차 재입고 완료)향=스테이포에버 002 SOLID PERFUME, 세트 선택=best"/>
    <n v="1"/>
    <x v="0"/>
    <x v="8"/>
    <n v="201210"/>
    <m/>
    <n v="58800"/>
  </r>
  <r>
    <x v="220"/>
    <x v="3"/>
    <m/>
    <x v="1"/>
    <s v="유즈 솔리드퍼퓸 - 30ml (10차 재입고 완료)향=스테이포에버 002 SOLID PERFUME, 세트 선택=best 2개 (28% 할인)"/>
    <n v="2"/>
    <x v="0"/>
    <x v="8"/>
    <n v="201210"/>
    <m/>
    <n v="117600"/>
  </r>
  <r>
    <x v="220"/>
    <x v="3"/>
    <m/>
    <x v="1"/>
    <s v="유즈 솔리드퍼퓸 - 30ml (10차 재입고 완료)향=커플세트"/>
    <n v="4"/>
    <x v="0"/>
    <x v="3"/>
    <n v="201210"/>
    <m/>
    <n v="276000"/>
  </r>
  <r>
    <x v="220"/>
    <x v="3"/>
    <m/>
    <x v="1"/>
    <s v="유즈 솔리드퍼퓸 - 30ml (10차 재입고 완료)향=커플세트(이그나이트 + 스테이포에버), 세트 선택=1 SET"/>
    <n v="3"/>
    <x v="0"/>
    <x v="3"/>
    <n v="201210"/>
    <m/>
    <n v="207000"/>
  </r>
  <r>
    <x v="220"/>
    <x v="3"/>
    <m/>
    <x v="1"/>
    <s v="유즈 솔리드퍼퓸 - 30ml (10차 재입고 완료)향=커플세트"/>
    <n v="1"/>
    <x v="0"/>
    <x v="3"/>
    <n v="201210"/>
    <m/>
    <n v="69000"/>
  </r>
  <r>
    <x v="220"/>
    <x v="3"/>
    <m/>
    <x v="1"/>
    <s v="유즈 솔리드퍼퓸 - 30ml (10차 재입고 완료)향=커플세트(이그나이트 + 스테이포에버), 세트 선택=2 SET (42% 할인)"/>
    <n v="1"/>
    <x v="0"/>
    <x v="3"/>
    <n v="201210"/>
    <m/>
    <n v="58800"/>
  </r>
  <r>
    <x v="220"/>
    <x v="3"/>
    <m/>
    <x v="1"/>
    <s v="유즈 스테이포에버 솔리드퍼퓸 002 (10차 재입고 완료)제품선택=스테이포에버 1개"/>
    <n v="305"/>
    <x v="0"/>
    <x v="2"/>
    <n v="201210"/>
    <m/>
    <n v="11590000"/>
  </r>
  <r>
    <x v="220"/>
    <x v="3"/>
    <m/>
    <x v="1"/>
    <s v="유즈 스테이포에버 솔리드퍼퓸 002 (10차 재입고 완료)제품선택=best"/>
    <n v="42"/>
    <x v="0"/>
    <x v="8"/>
    <n v="201210"/>
    <m/>
    <n v="2469600"/>
  </r>
  <r>
    <x v="220"/>
    <x v="3"/>
    <m/>
    <x v="1"/>
    <s v="유즈 스테이포에버 솔리드퍼퓸 002 (10차 재입고 완료)제품선택=best스테이포에버 2개[28% 할인]"/>
    <n v="64"/>
    <x v="0"/>
    <x v="8"/>
    <n v="201210"/>
    <m/>
    <n v="3763200"/>
  </r>
  <r>
    <x v="220"/>
    <x v="3"/>
    <m/>
    <x v="1"/>
    <s v="유즈 스테이포에버 솔리드퍼퓸 002 (10차 재입고 완료)제품선택=커플추천"/>
    <n v="10"/>
    <x v="0"/>
    <x v="3"/>
    <n v="201210"/>
    <m/>
    <n v="588000"/>
  </r>
  <r>
    <x v="220"/>
    <x v="3"/>
    <m/>
    <x v="1"/>
    <s v="유즈 스테이포에버 솔리드퍼퓸 002 (10차 재입고 완료)제품선택=커플추천스테이포에버 + 이그나이트 세트"/>
    <n v="13"/>
    <x v="0"/>
    <x v="3"/>
    <n v="201210"/>
    <m/>
    <n v="0"/>
  </r>
  <r>
    <x v="220"/>
    <x v="3"/>
    <m/>
    <x v="1"/>
    <s v="유즈 스테이포에버 솔리드퍼퓸 002 (10차 재입고 완료)쇼핑백=선물용 쇼핑백"/>
    <n v="10"/>
    <x v="0"/>
    <x v="11"/>
    <n v="201210"/>
    <m/>
    <n v="20000"/>
  </r>
  <r>
    <x v="220"/>
    <x v="3"/>
    <m/>
    <x v="1"/>
    <s v="유즈 이그나이트 솔리드퍼퓸 001제품선택=이그나이트 솔리드퍼퓸 - 30ml"/>
    <n v="3"/>
    <x v="0"/>
    <x v="1"/>
    <n v="201210"/>
    <m/>
    <n v="114000"/>
  </r>
  <r>
    <x v="220"/>
    <x v="3"/>
    <m/>
    <x v="1"/>
    <s v="유즈 이그나이트 솔리드퍼퓸 001제품선택=이그나이트 2개 세트"/>
    <n v="1"/>
    <x v="0"/>
    <x v="9"/>
    <n v="201210"/>
    <m/>
    <n v="58800"/>
  </r>
  <r>
    <x v="221"/>
    <x v="4"/>
    <m/>
    <x v="1"/>
    <s v="솔리드퍼퓸 스테이포에버 002 30ml"/>
    <n v="2"/>
    <x v="0"/>
    <x v="2"/>
    <n v="201210"/>
    <m/>
    <n v="76000"/>
  </r>
  <r>
    <x v="221"/>
    <x v="4"/>
    <m/>
    <x v="1"/>
    <s v="유즈 솔리드퍼퓸 - 30ml (10차 재입고 완료)향=스테이포에버 002 SOLID PERFUME, 세트 선택=1개"/>
    <n v="3"/>
    <x v="0"/>
    <x v="2"/>
    <n v="201210"/>
    <m/>
    <n v="114000"/>
  </r>
  <r>
    <x v="221"/>
    <x v="4"/>
    <m/>
    <x v="1"/>
    <s v="유즈 솔리드퍼퓸 - 30ml (10차 재입고 완료)향=스테이포에버 002 SOLID PERFUME, 세트 선택=best"/>
    <n v="1"/>
    <x v="0"/>
    <x v="8"/>
    <n v="201210"/>
    <m/>
    <n v="58800"/>
  </r>
  <r>
    <x v="221"/>
    <x v="4"/>
    <m/>
    <x v="1"/>
    <s v="유즈 솔리드퍼퓸 - 30ml (10차 재입고 완료)향=스테이포에버 002 SOLID PERFUME, 세트 선택=best 2개 (28% 할인)"/>
    <n v="1"/>
    <x v="0"/>
    <x v="8"/>
    <n v="201210"/>
    <m/>
    <n v="58800"/>
  </r>
  <r>
    <x v="221"/>
    <x v="4"/>
    <m/>
    <x v="1"/>
    <s v="유즈 솔리드퍼퓸 - 30ml (10차 재입고 완료)향=커플세트(이그나이트 + 스테이포에버), 세트 선택=1 SET"/>
    <n v="5"/>
    <x v="0"/>
    <x v="3"/>
    <n v="201210"/>
    <m/>
    <n v="345000"/>
  </r>
  <r>
    <x v="221"/>
    <x v="4"/>
    <m/>
    <x v="1"/>
    <s v="유즈 솔리드퍼퓸 - 30ml (10차 재입고 완료)향=커플세트"/>
    <n v="1"/>
    <x v="0"/>
    <x v="3"/>
    <n v="201210"/>
    <m/>
    <n v="69000"/>
  </r>
  <r>
    <x v="221"/>
    <x v="4"/>
    <m/>
    <x v="1"/>
    <s v="유즈 솔리드퍼퓸 - 30ml (11차 예약구매 진행중)향=스테이포에버 002 SOLID PERFUME, 세트 선택=1개"/>
    <n v="2"/>
    <x v="0"/>
    <x v="2"/>
    <n v="201210"/>
    <m/>
    <n v="68000"/>
  </r>
  <r>
    <x v="221"/>
    <x v="4"/>
    <m/>
    <x v="1"/>
    <s v="유즈 솔리드퍼퓸 - 30ml (11차 예약구매 진행중)향=스테이포에버 002 SOLID PERFUME, 세트 선택=best 2개 (28% 할인)"/>
    <n v="1"/>
    <x v="0"/>
    <x v="8"/>
    <n v="201210"/>
    <m/>
    <n v="58800"/>
  </r>
  <r>
    <x v="221"/>
    <x v="4"/>
    <m/>
    <x v="1"/>
    <s v="유즈 스테이포에버 솔리드퍼퓸 002 (10차 재입고 완료제품선택=스테이포에버 1개"/>
    <n v="2"/>
    <x v="0"/>
    <x v="2"/>
    <n v="201210"/>
    <m/>
    <n v="76000"/>
  </r>
  <r>
    <x v="221"/>
    <x v="4"/>
    <m/>
    <x v="1"/>
    <s v="유즈 스테이포에버 솔리드퍼퓸 002 (10차 재입고 완료쇼핑백=선물용 쇼핑백"/>
    <n v="1"/>
    <x v="0"/>
    <x v="11"/>
    <n v="201210"/>
    <m/>
    <n v="2000"/>
  </r>
  <r>
    <x v="221"/>
    <x v="4"/>
    <m/>
    <x v="1"/>
    <s v="유즈 스테이포에버 솔리드퍼퓸 002 (10차 재입고 완료)제품선택=스테이포에버 1개"/>
    <n v="198"/>
    <x v="0"/>
    <x v="2"/>
    <n v="201210"/>
    <m/>
    <n v="7524000"/>
  </r>
  <r>
    <x v="221"/>
    <x v="4"/>
    <m/>
    <x v="1"/>
    <s v="유즈 스테이포에버 솔리드퍼퓸 002 (10차 재입고 완료)제품선택=best"/>
    <n v="36"/>
    <x v="0"/>
    <x v="8"/>
    <n v="201210"/>
    <m/>
    <n v="2116800"/>
  </r>
  <r>
    <x v="221"/>
    <x v="4"/>
    <m/>
    <x v="1"/>
    <s v="유즈 스테이포에버 솔리드퍼퓸 002 (10차 재입고 완료)제품선택=best스테이포에버 2개[28% 할인]"/>
    <n v="45"/>
    <x v="0"/>
    <x v="8"/>
    <n v="201210"/>
    <m/>
    <n v="2646000"/>
  </r>
  <r>
    <x v="221"/>
    <x v="4"/>
    <m/>
    <x v="1"/>
    <s v="유즈 스테이포에버 솔리드퍼퓸 002 (10차 재입고 완료)제품선택=커플추천"/>
    <n v="6"/>
    <x v="0"/>
    <x v="3"/>
    <n v="201210"/>
    <m/>
    <n v="352800"/>
  </r>
  <r>
    <x v="221"/>
    <x v="4"/>
    <m/>
    <x v="1"/>
    <s v="유즈 스테이포에버 솔리드퍼퓸 002 (10차 재입고 완료)제품선택=커플추천스테이포에버 + 이그나이트 세트"/>
    <n v="13"/>
    <x v="0"/>
    <x v="3"/>
    <n v="201210"/>
    <m/>
    <n v="0"/>
  </r>
  <r>
    <x v="221"/>
    <x v="4"/>
    <m/>
    <x v="1"/>
    <s v="유즈 스테이포에버 솔리드퍼퓸 002 (10차 재입고 완료)쇼핑백=선물용 쇼핑백"/>
    <n v="7"/>
    <x v="0"/>
    <x v="11"/>
    <n v="201210"/>
    <m/>
    <n v="14000"/>
  </r>
  <r>
    <x v="221"/>
    <x v="4"/>
    <m/>
    <x v="1"/>
    <s v="유즈 스테이포에버 솔리드퍼퓸 002 (11차 예약구매 진행중)제품선택=스테이포에버 1개"/>
    <n v="70"/>
    <x v="0"/>
    <x v="2"/>
    <n v="201210"/>
    <m/>
    <n v="2380000"/>
  </r>
  <r>
    <x v="221"/>
    <x v="4"/>
    <m/>
    <x v="1"/>
    <s v="유즈 스테이포에버 솔리드퍼퓸 002 (11차 예약구매 진행중)제품선택=best"/>
    <n v="21"/>
    <x v="0"/>
    <x v="2"/>
    <n v="201210"/>
    <m/>
    <n v="714000"/>
  </r>
  <r>
    <x v="221"/>
    <x v="4"/>
    <m/>
    <x v="1"/>
    <s v="유즈 스테이포에버 솔리드퍼퓸 002 (11차 예약구매 진행중)제품선택=best스테이포에버 2개[28% 할인]"/>
    <n v="24"/>
    <x v="0"/>
    <x v="8"/>
    <n v="201210"/>
    <m/>
    <n v="1411200"/>
  </r>
  <r>
    <x v="221"/>
    <x v="4"/>
    <m/>
    <x v="1"/>
    <s v="유즈 스테이포에버 솔리드퍼퓸 002 (11차 예약구매 진행중)제품선택=커플추천"/>
    <n v="1"/>
    <x v="0"/>
    <x v="2"/>
    <n v="201210"/>
    <m/>
    <n v="34000"/>
  </r>
  <r>
    <x v="221"/>
    <x v="4"/>
    <m/>
    <x v="1"/>
    <s v="유즈 스테이포에버 솔리드퍼퓸 002 (11차 예약구매 진행중)제품선택=커플추천스테이포에버 + 이그나이트 세트"/>
    <n v="1"/>
    <x v="0"/>
    <x v="3"/>
    <n v="201210"/>
    <m/>
    <n v="58800"/>
  </r>
  <r>
    <x v="221"/>
    <x v="4"/>
    <m/>
    <x v="1"/>
    <s v="유즈 스테이포에버 솔리드퍼퓸 002 (11차 예약구매 진행중)쇼핑백=선물용 쇼핑백"/>
    <n v="4"/>
    <x v="0"/>
    <x v="11"/>
    <n v="201210"/>
    <m/>
    <n v="8000"/>
  </r>
  <r>
    <x v="221"/>
    <x v="4"/>
    <m/>
    <x v="1"/>
    <s v="유즈 이그나이트 솔리드퍼퓸 001제품선택=이그나이트 솔리드퍼퓸 - 30ml"/>
    <n v="5"/>
    <x v="0"/>
    <x v="1"/>
    <n v="201210"/>
    <m/>
    <n v="190000"/>
  </r>
  <r>
    <x v="221"/>
    <x v="4"/>
    <m/>
    <x v="1"/>
    <s v="유즈 이그나이트 솔리드퍼퓸 001제품선택=이그나이트 2개 세트"/>
    <n v="1"/>
    <x v="0"/>
    <x v="9"/>
    <n v="201210"/>
    <m/>
    <n v="58800"/>
  </r>
  <r>
    <x v="221"/>
    <x v="4"/>
    <m/>
    <x v="1"/>
    <s v="유즈 이그나이트 솔리드퍼퓸 001쇼핑백=선물용 쇼핑백"/>
    <n v="1"/>
    <x v="2"/>
    <x v="11"/>
    <n v="201210"/>
    <m/>
    <n v="2000"/>
  </r>
  <r>
    <x v="222"/>
    <x v="0"/>
    <m/>
    <x v="1"/>
    <s v="SHOPPING BAG"/>
    <n v="1"/>
    <x v="2"/>
    <x v="11"/>
    <n v="210101"/>
    <m/>
    <n v="2000"/>
  </r>
  <r>
    <x v="222"/>
    <x v="0"/>
    <m/>
    <x v="1"/>
    <s v="유즈 솔리드퍼퓸 - 30ml (11차 예약구매 진행중)향=이그나이트 001 SOLID PERFUME, 세트 선택=1개"/>
    <n v="2"/>
    <x v="0"/>
    <x v="1"/>
    <n v="210101"/>
    <m/>
    <n v="68000"/>
  </r>
  <r>
    <x v="222"/>
    <x v="0"/>
    <m/>
    <x v="1"/>
    <s v="유즈 솔리드퍼퓸 - 30ml (11차 예약구매 진행중)향=스테이포에버 002 SOLID PERFUME, 세트 선택=1개"/>
    <n v="24"/>
    <x v="0"/>
    <x v="2"/>
    <n v="210101"/>
    <m/>
    <n v="816000"/>
  </r>
  <r>
    <x v="222"/>
    <x v="0"/>
    <m/>
    <x v="1"/>
    <s v="유즈 솔리드퍼퓸 - 30ml (11차 예약구매 진행중)향=스테이포에버 002 SOLID PERFUME, 세트 선택=best"/>
    <n v="3"/>
    <x v="0"/>
    <x v="2"/>
    <n v="210101"/>
    <m/>
    <n v="102000"/>
  </r>
  <r>
    <x v="222"/>
    <x v="0"/>
    <m/>
    <x v="1"/>
    <s v="유즈 솔리드퍼퓸 - 30ml (11차 예약구매 진행중)향=스테이포에버 002 SOLID PERFUME, 세트 선택=best 2개 (28% 할인)"/>
    <n v="2"/>
    <x v="0"/>
    <x v="8"/>
    <n v="210101"/>
    <m/>
    <n v="117600"/>
  </r>
  <r>
    <x v="222"/>
    <x v="0"/>
    <m/>
    <x v="1"/>
    <s v="유즈 솔리드퍼퓸 - 30ml (11차 예약구매 진행중)향=커플세트"/>
    <n v="6"/>
    <x v="0"/>
    <x v="3"/>
    <n v="210101"/>
    <m/>
    <n v="352800"/>
  </r>
  <r>
    <x v="222"/>
    <x v="0"/>
    <m/>
    <x v="1"/>
    <s v="유즈 솔리드퍼퓸 - 30ml (11차 예약구매 진행중)향=커플세트(이그나이트 + 스테이포에버), 세트 선택=1 SET"/>
    <n v="7"/>
    <x v="0"/>
    <x v="3"/>
    <n v="210101"/>
    <m/>
    <n v="411600"/>
  </r>
  <r>
    <x v="222"/>
    <x v="0"/>
    <m/>
    <x v="1"/>
    <s v="유즈 스테이포에버 솔리드퍼퓸 002 (10차 재입고 완료)제품선택=스테이포에버 1개"/>
    <n v="2"/>
    <x v="0"/>
    <x v="2"/>
    <n v="210101"/>
    <m/>
    <n v="76000"/>
  </r>
  <r>
    <x v="222"/>
    <x v="0"/>
    <m/>
    <x v="1"/>
    <s v="유즈 스테이포에버 솔리드퍼퓸 002 (11차 예약구매 진행중)제품선택=스테이포에버 1개"/>
    <n v="512"/>
    <x v="0"/>
    <x v="2"/>
    <n v="210101"/>
    <m/>
    <n v="17408000"/>
  </r>
  <r>
    <x v="222"/>
    <x v="0"/>
    <m/>
    <x v="1"/>
    <s v="유즈 스테이포에버 솔리드퍼퓸 002 (11차 예약구매 진행중)제품선택=best"/>
    <n v="105"/>
    <x v="0"/>
    <x v="2"/>
    <n v="210101"/>
    <m/>
    <n v="3570000"/>
  </r>
  <r>
    <x v="222"/>
    <x v="0"/>
    <m/>
    <x v="1"/>
    <s v="유즈 스테이포에버 솔리드퍼퓸 002 (11차 예약구매 진행중)제품선택=best스테이포에버 2개[28% 할인]"/>
    <n v="152"/>
    <x v="0"/>
    <x v="8"/>
    <n v="210101"/>
    <m/>
    <n v="8937600"/>
  </r>
  <r>
    <x v="222"/>
    <x v="0"/>
    <m/>
    <x v="1"/>
    <s v="유즈 스테이포에버 솔리드퍼퓸 002 (11차 예약구매 진행중)제품선택=커플추천"/>
    <n v="16"/>
    <x v="0"/>
    <x v="2"/>
    <n v="210101"/>
    <m/>
    <n v="544000"/>
  </r>
  <r>
    <x v="222"/>
    <x v="0"/>
    <m/>
    <x v="1"/>
    <s v="유즈 스테이포에버 솔리드퍼퓸 002 (11차 예약구매 진행중)제품선택=커플추천스테이포에버 + 이그나이트 세트"/>
    <n v="15"/>
    <x v="0"/>
    <x v="3"/>
    <n v="210101"/>
    <m/>
    <n v="882000"/>
  </r>
  <r>
    <x v="222"/>
    <x v="0"/>
    <m/>
    <x v="1"/>
    <s v="유즈 스테이포에버 솔리드퍼퓸 002 (11차 예약구매 진행중)쇼핑백=선물용 쇼핑백"/>
    <n v="17"/>
    <x v="0"/>
    <x v="11"/>
    <n v="210101"/>
    <m/>
    <n v="34000"/>
  </r>
  <r>
    <x v="222"/>
    <x v="0"/>
    <m/>
    <x v="1"/>
    <s v="유즈 이그나이트 솔리드퍼퓸 001제품선택=이그나이트 솔리드퍼퓸 - 30ml"/>
    <n v="6"/>
    <x v="0"/>
    <x v="1"/>
    <n v="210101"/>
    <m/>
    <n v="228000"/>
  </r>
  <r>
    <x v="222"/>
    <x v="0"/>
    <m/>
    <x v="1"/>
    <s v="유즈 이그나이트 솔리드퍼퓸 001제품선택=이그나이트 2개 세트"/>
    <n v="5"/>
    <x v="0"/>
    <x v="9"/>
    <n v="210101"/>
    <m/>
    <n v="294000"/>
  </r>
  <r>
    <x v="223"/>
    <x v="1"/>
    <m/>
    <x v="1"/>
    <s v="유즈 솔리드퍼퓸 - 30ml (11차 예약구매 진행중)향=이그나이트 001 SOLID PERFUME, 세트 선택=1개"/>
    <n v="2"/>
    <x v="0"/>
    <x v="1"/>
    <n v="210101"/>
    <m/>
    <n v="68000"/>
  </r>
  <r>
    <x v="223"/>
    <x v="1"/>
    <m/>
    <x v="1"/>
    <s v="유즈 솔리드퍼퓸 - 30ml (11차 예약구매 진행중)향=스테이포에버 002 SOLID PERFUME, 세트 선택=1개"/>
    <n v="18"/>
    <x v="0"/>
    <x v="2"/>
    <n v="210101"/>
    <m/>
    <n v="612000"/>
  </r>
  <r>
    <x v="223"/>
    <x v="1"/>
    <m/>
    <x v="1"/>
    <s v="유즈 솔리드퍼퓸 - 30ml (11차 예약구매 진행중)향=스테이포에버 002 SOLID PERFUME, 세트 선택=best"/>
    <n v="2"/>
    <x v="0"/>
    <x v="2"/>
    <n v="210101"/>
    <m/>
    <n v="68000"/>
  </r>
  <r>
    <x v="223"/>
    <x v="1"/>
    <m/>
    <x v="1"/>
    <s v="유즈 솔리드퍼퓸 - 30ml (11차 예약구매 진행중)향=스테이포에버 002 SOLID PERFUME, 세트 선택=best 2개 (28% 할인)"/>
    <n v="4"/>
    <x v="0"/>
    <x v="8"/>
    <n v="210101"/>
    <m/>
    <n v="235200"/>
  </r>
  <r>
    <x v="223"/>
    <x v="1"/>
    <m/>
    <x v="1"/>
    <s v="유즈 솔리드퍼퓸 - 30ml (11차 예약구매 진행중)향=커플세트"/>
    <n v="5"/>
    <x v="0"/>
    <x v="3"/>
    <n v="210101"/>
    <m/>
    <n v="294000"/>
  </r>
  <r>
    <x v="223"/>
    <x v="1"/>
    <m/>
    <x v="1"/>
    <s v="유즈 솔리드퍼퓸 - 30ml (11차 예약구매 진행중)향=커플세트(이그나이트 + 스테이포에버), 세트 선택=1 SET"/>
    <n v="7"/>
    <x v="0"/>
    <x v="3"/>
    <n v="210101"/>
    <m/>
    <n v="411600"/>
  </r>
  <r>
    <x v="223"/>
    <x v="1"/>
    <m/>
    <x v="1"/>
    <s v="유즈 솔리드퍼퓸 - 30ml (11차 예약구매 진행중)향=커플세트"/>
    <n v="2"/>
    <x v="0"/>
    <x v="3"/>
    <n v="210101"/>
    <m/>
    <n v="117600"/>
  </r>
  <r>
    <x v="223"/>
    <x v="1"/>
    <m/>
    <x v="1"/>
    <s v="유즈 솔리드퍼퓸 - 30ml (11차 예약구매 진행중)향=커플세트(이그나이트 + 스테이포에버), 세트 선택=2 SET (42% 할인)"/>
    <n v="1"/>
    <x v="0"/>
    <x v="3"/>
    <n v="210101"/>
    <m/>
    <n v="58800"/>
  </r>
  <r>
    <x v="223"/>
    <x v="1"/>
    <m/>
    <x v="1"/>
    <s v="유즈 스테이포에버 솔리드퍼퓸 002 (10차 재입고 완료)제품선택=best"/>
    <n v="1"/>
    <x v="0"/>
    <x v="8"/>
    <n v="210101"/>
    <m/>
    <n v="58800"/>
  </r>
  <r>
    <x v="223"/>
    <x v="1"/>
    <m/>
    <x v="1"/>
    <s v="유즈 스테이포에버 솔리드퍼퓸 002 (11차 예약구매 진행중)제품선택=스테이포에버 1개"/>
    <n v="426"/>
    <x v="0"/>
    <x v="2"/>
    <n v="210101"/>
    <m/>
    <n v="14484000"/>
  </r>
  <r>
    <x v="223"/>
    <x v="1"/>
    <m/>
    <x v="1"/>
    <s v="유즈 스테이포에버 솔리드퍼퓸 002 (11차 예약구매 진행중)제품선택=best"/>
    <n v="78"/>
    <x v="0"/>
    <x v="2"/>
    <n v="210101"/>
    <m/>
    <n v="2652000"/>
  </r>
  <r>
    <x v="223"/>
    <x v="1"/>
    <m/>
    <x v="1"/>
    <s v="유즈 스테이포에버 솔리드퍼퓸 002 (11차 예약구매 진행중)제품선택=best스테이포에버 2개[28% 할인]"/>
    <n v="137"/>
    <x v="0"/>
    <x v="8"/>
    <n v="210101"/>
    <m/>
    <n v="8055600"/>
  </r>
  <r>
    <x v="223"/>
    <x v="1"/>
    <m/>
    <x v="1"/>
    <s v="유즈 스테이포에버 솔리드퍼퓸 002 (11차 예약구매 진행중)제품선택=커플추천"/>
    <n v="11"/>
    <x v="0"/>
    <x v="2"/>
    <n v="210101"/>
    <m/>
    <n v="374000"/>
  </r>
  <r>
    <x v="223"/>
    <x v="1"/>
    <m/>
    <x v="1"/>
    <s v="유즈 스테이포에버 솔리드퍼퓸 002 (11차 예약구매 진행중)제품선택=커플추천스테이포에버 + 이그나이트 세트"/>
    <n v="19"/>
    <x v="0"/>
    <x v="3"/>
    <n v="210101"/>
    <m/>
    <n v="1117200"/>
  </r>
  <r>
    <x v="223"/>
    <x v="1"/>
    <m/>
    <x v="1"/>
    <s v="유즈 스테이포에버 솔리드퍼퓸 002 (11차 예약구매 진행중)쇼핑백=선물용 쇼핑백"/>
    <n v="17"/>
    <x v="0"/>
    <x v="11"/>
    <n v="210101"/>
    <m/>
    <n v="34000"/>
  </r>
  <r>
    <x v="223"/>
    <x v="1"/>
    <m/>
    <x v="1"/>
    <s v="유즈 이그나이트 솔리드퍼퓸 001제품선택=이그나이트 솔리드퍼퓸 - 30ml"/>
    <n v="9"/>
    <x v="0"/>
    <x v="1"/>
    <n v="210101"/>
    <m/>
    <n v="342000"/>
  </r>
  <r>
    <x v="223"/>
    <x v="1"/>
    <m/>
    <x v="1"/>
    <s v="유즈 이그나이트 솔리드퍼퓸 001제품선택=이그나이트 2개 세트"/>
    <n v="1"/>
    <x v="0"/>
    <x v="9"/>
    <n v="210101"/>
    <m/>
    <n v="58800"/>
  </r>
  <r>
    <x v="224"/>
    <x v="5"/>
    <m/>
    <x v="1"/>
    <s v="유즈 솔리드퍼퓸 - 30ml (11차 예약구매 진행중)향=이그나이트 001 SOLID PERFUME, 세트 선택=1개"/>
    <n v="1"/>
    <x v="0"/>
    <x v="1"/>
    <n v="210101"/>
    <m/>
    <n v="34000"/>
  </r>
  <r>
    <x v="224"/>
    <x v="5"/>
    <m/>
    <x v="1"/>
    <s v="유즈 솔리드퍼퓸 - 30ml (11차 예약구매 진행중)향=스테이포에버 002 SOLID PERFUME, 세트 선택=1개"/>
    <n v="18"/>
    <x v="0"/>
    <x v="2"/>
    <n v="210101"/>
    <m/>
    <n v="612000"/>
  </r>
  <r>
    <x v="224"/>
    <x v="5"/>
    <m/>
    <x v="1"/>
    <s v="유즈 솔리드퍼퓸 - 30ml (11차 예약구매 진행중)향=스테이포에버 002 SOLID PERFUME, 세트 선택=best"/>
    <n v="7"/>
    <x v="0"/>
    <x v="2"/>
    <n v="210101"/>
    <m/>
    <n v="238000"/>
  </r>
  <r>
    <x v="224"/>
    <x v="5"/>
    <m/>
    <x v="1"/>
    <s v="유즈 솔리드퍼퓸 - 30ml (11차 예약구매 진행중)향=커플세트"/>
    <n v="7"/>
    <x v="0"/>
    <x v="3"/>
    <n v="210101"/>
    <m/>
    <n v="411600"/>
  </r>
  <r>
    <x v="224"/>
    <x v="5"/>
    <m/>
    <x v="1"/>
    <s v="유즈 솔리드퍼퓸 - 30ml (11차 예약구매 진행중)향=커플세트(이그나이트 + 스테이포에버), 세트 선택=1 SET"/>
    <n v="5"/>
    <x v="0"/>
    <x v="3"/>
    <n v="210101"/>
    <m/>
    <n v="294000"/>
  </r>
  <r>
    <x v="224"/>
    <x v="5"/>
    <m/>
    <x v="1"/>
    <s v="유즈 솔리드퍼퓸 - 30ml (11차 예약구매 진행중)향=커플세트"/>
    <n v="1"/>
    <x v="0"/>
    <x v="3"/>
    <n v="210101"/>
    <m/>
    <n v="58800"/>
  </r>
  <r>
    <x v="224"/>
    <x v="5"/>
    <m/>
    <x v="1"/>
    <s v="유즈 솔리드퍼퓸 - 30ml (11차 예약구매 진행중)향=커플세트(이그나이트 + 스테이포에버), 세트 선택=2 SET (42% 할인)"/>
    <n v="1"/>
    <x v="0"/>
    <x v="3"/>
    <n v="210101"/>
    <m/>
    <n v="58800"/>
  </r>
  <r>
    <x v="224"/>
    <x v="5"/>
    <m/>
    <x v="1"/>
    <s v="유즈 스테이포에버 솔리드퍼퓸 002 (10차 재입고 완료)제품선택=스테이포에버 1개"/>
    <n v="1"/>
    <x v="0"/>
    <x v="2"/>
    <n v="210101"/>
    <m/>
    <n v="38000"/>
  </r>
  <r>
    <x v="224"/>
    <x v="5"/>
    <m/>
    <x v="1"/>
    <s v="유즈 스테이포에버 솔리드퍼퓸 002 (10차 재입고 완료)제품선택=best스테이포에버 2개[28% 할인]"/>
    <n v="1"/>
    <x v="0"/>
    <x v="8"/>
    <n v="210101"/>
    <m/>
    <n v="58800"/>
  </r>
  <r>
    <x v="224"/>
    <x v="5"/>
    <m/>
    <x v="1"/>
    <s v="유즈 스테이포에버 솔리드퍼퓸 002 (11차 예약구매 진행중)제품선택=스테이포에버 1개"/>
    <n v="404"/>
    <x v="0"/>
    <x v="2"/>
    <n v="210101"/>
    <m/>
    <n v="13736000"/>
  </r>
  <r>
    <x v="224"/>
    <x v="5"/>
    <m/>
    <x v="1"/>
    <s v="유즈 스테이포에버 솔리드퍼퓸 002 (11차 예약구매 진행중)제품선택=best"/>
    <n v="81"/>
    <x v="0"/>
    <x v="2"/>
    <n v="210101"/>
    <m/>
    <n v="2754000"/>
  </r>
  <r>
    <x v="224"/>
    <x v="5"/>
    <m/>
    <x v="1"/>
    <s v="유즈 스테이포에버 솔리드퍼퓸 002 (11차 예약구매 진행중)제품선택=best스테이포에버 2개[28% 할인]"/>
    <n v="129"/>
    <x v="0"/>
    <x v="8"/>
    <n v="210101"/>
    <m/>
    <n v="7585200"/>
  </r>
  <r>
    <x v="224"/>
    <x v="5"/>
    <m/>
    <x v="1"/>
    <s v="유즈 스테이포에버 솔리드퍼퓸 002 (11차 예약구매 진행중)제품선택=커플추천"/>
    <n v="7"/>
    <x v="0"/>
    <x v="2"/>
    <n v="210101"/>
    <m/>
    <n v="238000"/>
  </r>
  <r>
    <x v="224"/>
    <x v="5"/>
    <m/>
    <x v="1"/>
    <s v="유즈 스테이포에버 솔리드퍼퓸 002 (11차 예약구매 진행중)제품선택=커플추천스테이포에버 + 이그나이트 세트"/>
    <n v="17"/>
    <x v="0"/>
    <x v="3"/>
    <n v="210101"/>
    <m/>
    <n v="999600"/>
  </r>
  <r>
    <x v="224"/>
    <x v="5"/>
    <m/>
    <x v="1"/>
    <s v="유즈 스테이포에버 솔리드퍼퓸 002 (11차 예약구매 진행중)쇼핑백=선물용 쇼핑백"/>
    <n v="21"/>
    <x v="0"/>
    <x v="11"/>
    <n v="210101"/>
    <m/>
    <n v="42000"/>
  </r>
  <r>
    <x v="224"/>
    <x v="5"/>
    <m/>
    <x v="1"/>
    <s v="유즈 이그나이트 솔리드퍼퓸 001제품선택=이그나이트 솔리드퍼퓸 - 30ml"/>
    <n v="1"/>
    <x v="0"/>
    <x v="1"/>
    <n v="210101"/>
    <m/>
    <n v="38000"/>
  </r>
  <r>
    <x v="224"/>
    <x v="5"/>
    <m/>
    <x v="1"/>
    <s v="유즈 이그나이트 솔리드퍼퓸 001쇼핑백=선물용 쇼핑백"/>
    <n v="1"/>
    <x v="2"/>
    <x v="11"/>
    <n v="210101"/>
    <m/>
    <n v="2000"/>
  </r>
  <r>
    <x v="225"/>
    <x v="6"/>
    <m/>
    <x v="1"/>
    <s v="유즈 솔리드퍼퓸 - 30ml (11차 예약구매 진행중)향=이그나이트 001 SOLID PERFUME, 세트 선택=1개"/>
    <n v="1"/>
    <x v="0"/>
    <x v="1"/>
    <n v="210101"/>
    <m/>
    <n v="34000"/>
  </r>
  <r>
    <x v="225"/>
    <x v="6"/>
    <m/>
    <x v="1"/>
    <s v="유즈 솔리드퍼퓸 - 30ml (11차 예약구매 진행중)향=이그나이트 001 SOLID PERFUME, 세트 선택=best"/>
    <n v="1"/>
    <x v="0"/>
    <x v="1"/>
    <n v="210101"/>
    <m/>
    <n v="34000"/>
  </r>
  <r>
    <x v="225"/>
    <x v="6"/>
    <m/>
    <x v="1"/>
    <s v="유즈 솔리드퍼퓸 - 30ml (11차 예약구매 진행중)향=스테이포에버 002 SOLID PERFUME, 세트 선택=1개"/>
    <n v="10"/>
    <x v="0"/>
    <x v="2"/>
    <n v="210101"/>
    <m/>
    <n v="340000"/>
  </r>
  <r>
    <x v="225"/>
    <x v="6"/>
    <m/>
    <x v="1"/>
    <s v="유즈 솔리드퍼퓸 - 30ml (11차 예약구매 진행중)향=스테이포에버 002 SOLID PERFUME, 세트 선택=best"/>
    <n v="4"/>
    <x v="0"/>
    <x v="2"/>
    <n v="210101"/>
    <m/>
    <n v="136000"/>
  </r>
  <r>
    <x v="225"/>
    <x v="6"/>
    <m/>
    <x v="1"/>
    <s v="유즈 솔리드퍼퓸 - 30ml (11차 예약구매 진행중)향=스테이포에버 002 SOLID PERFUME, 세트 선택=best 2개 (28% 할인)"/>
    <n v="4"/>
    <x v="0"/>
    <x v="8"/>
    <n v="210101"/>
    <m/>
    <n v="235200"/>
  </r>
  <r>
    <x v="225"/>
    <x v="6"/>
    <m/>
    <x v="1"/>
    <s v="유즈 솔리드퍼퓸 - 30ml (11차 예약구매 진행중)향=커플세트"/>
    <n v="7"/>
    <x v="0"/>
    <x v="3"/>
    <n v="210101"/>
    <m/>
    <n v="411600"/>
  </r>
  <r>
    <x v="225"/>
    <x v="6"/>
    <m/>
    <x v="1"/>
    <s v="유즈 솔리드퍼퓸 - 30ml (11차 예약구매 진행중)향=커플세트(이그나이트 + 스테이포에버), 세트 선택=1 SET"/>
    <n v="4"/>
    <x v="0"/>
    <x v="3"/>
    <n v="210101"/>
    <m/>
    <n v="235200"/>
  </r>
  <r>
    <x v="225"/>
    <x v="6"/>
    <m/>
    <x v="1"/>
    <s v="유즈 솔리드퍼퓸 - 30ml (11차 예약구매 진행중)향=커플세트"/>
    <n v="1"/>
    <x v="0"/>
    <x v="3"/>
    <n v="210101"/>
    <m/>
    <n v="58800"/>
  </r>
  <r>
    <x v="225"/>
    <x v="6"/>
    <m/>
    <x v="1"/>
    <s v="유즈 스테이포에버 솔리드퍼퓸 002 (10차 재입고 완료제품선택=스테이포에버 1개"/>
    <n v="1"/>
    <x v="0"/>
    <x v="2"/>
    <n v="210101"/>
    <m/>
    <n v="38000"/>
  </r>
  <r>
    <x v="225"/>
    <x v="6"/>
    <m/>
    <x v="1"/>
    <s v="유즈 스테이포에버 솔리드퍼퓸 002 (10차 재입고 완료)제품선택=스테이포에버 1개"/>
    <n v="1"/>
    <x v="0"/>
    <x v="2"/>
    <n v="210101"/>
    <m/>
    <n v="38000"/>
  </r>
  <r>
    <x v="225"/>
    <x v="6"/>
    <m/>
    <x v="1"/>
    <s v="유즈 스테이포에버 솔리드퍼퓸 002 (10차 재입고 완료)제품선택=best"/>
    <n v="1"/>
    <x v="0"/>
    <x v="8"/>
    <n v="210101"/>
    <m/>
    <n v="58800"/>
  </r>
  <r>
    <x v="225"/>
    <x v="6"/>
    <m/>
    <x v="1"/>
    <s v="유즈 스테이포에버 솔리드퍼퓸 002 (11차 예약구매 진행중)제품선택=스테이포에버 1개"/>
    <n v="410"/>
    <x v="0"/>
    <x v="2"/>
    <n v="210101"/>
    <m/>
    <n v="13940000"/>
  </r>
  <r>
    <x v="225"/>
    <x v="6"/>
    <m/>
    <x v="1"/>
    <s v="유즈 스테이포에버 솔리드퍼퓸 002 (11차 예약구매 진행중)제품선택=best"/>
    <n v="75"/>
    <x v="0"/>
    <x v="2"/>
    <n v="210101"/>
    <m/>
    <n v="2550000"/>
  </r>
  <r>
    <x v="225"/>
    <x v="6"/>
    <m/>
    <x v="1"/>
    <s v="유즈 스테이포에버 솔리드퍼퓸 002 (11차 예약구매 진행중)제품선택=best스테이포에버 2개[28% 할인]"/>
    <n v="119"/>
    <x v="0"/>
    <x v="8"/>
    <n v="210101"/>
    <m/>
    <n v="6997200"/>
  </r>
  <r>
    <x v="225"/>
    <x v="6"/>
    <m/>
    <x v="1"/>
    <s v="유즈 스테이포에버 솔리드퍼퓸 002 (11차 예약구매 진행중)제품선택=커플추천"/>
    <n v="15"/>
    <x v="0"/>
    <x v="2"/>
    <n v="210101"/>
    <m/>
    <n v="510000"/>
  </r>
  <r>
    <x v="225"/>
    <x v="6"/>
    <m/>
    <x v="1"/>
    <s v="유즈 스테이포에버 솔리드퍼퓸 002 (11차 예약구매 진행중)제품선택=커플추천스테이포에버 + 이그나이트 세트"/>
    <n v="12"/>
    <x v="0"/>
    <x v="3"/>
    <n v="210101"/>
    <m/>
    <n v="705600"/>
  </r>
  <r>
    <x v="225"/>
    <x v="6"/>
    <m/>
    <x v="1"/>
    <s v="유즈 스테이포에버 솔리드퍼퓸 002 (11차 예약구매 진행중)쇼핑백=선물용 쇼핑백"/>
    <n v="16"/>
    <x v="0"/>
    <x v="11"/>
    <n v="210101"/>
    <m/>
    <n v="32000"/>
  </r>
  <r>
    <x v="225"/>
    <x v="6"/>
    <m/>
    <x v="1"/>
    <s v="유즈 이그나이트 솔리드퍼퓸 001제품선택=이그나이트 솔리드퍼퓸 - 30ml"/>
    <n v="7"/>
    <x v="0"/>
    <x v="1"/>
    <n v="210101"/>
    <m/>
    <n v="266000"/>
  </r>
  <r>
    <x v="226"/>
    <x v="2"/>
    <m/>
    <x v="1"/>
    <s v="유즈 솔리드퍼퓸 - 30ml (11차 예약구매 진행중)향=이그나이트 001 SOLID PERFUME, 세트 선택=1개"/>
    <n v="1"/>
    <x v="0"/>
    <x v="1"/>
    <n v="210101"/>
    <m/>
    <n v="34000"/>
  </r>
  <r>
    <x v="226"/>
    <x v="2"/>
    <m/>
    <x v="1"/>
    <s v="유즈 솔리드퍼퓸 - 30ml (11차 예약구매 진행중)향=스테이포에버 002 SOLID PERFUME, 세트 선택=1개"/>
    <n v="12"/>
    <x v="0"/>
    <x v="2"/>
    <n v="210101"/>
    <m/>
    <n v="408000"/>
  </r>
  <r>
    <x v="226"/>
    <x v="2"/>
    <m/>
    <x v="1"/>
    <s v="유즈 솔리드퍼퓸 - 30ml (11차 예약구매 진행중)향=스테이포에버 002 SOLID PERFUME, 세트 선택=best"/>
    <n v="6"/>
    <x v="0"/>
    <x v="2"/>
    <n v="210101"/>
    <m/>
    <n v="204000"/>
  </r>
  <r>
    <x v="226"/>
    <x v="2"/>
    <m/>
    <x v="1"/>
    <s v="유즈 솔리드퍼퓸 - 30ml (11차 예약구매 진행중)향=스테이포에버 002 SOLID PERFUME, 세트 선택=best 2개 (28% 할인)"/>
    <n v="4"/>
    <x v="0"/>
    <x v="8"/>
    <n v="210101"/>
    <m/>
    <n v="235200"/>
  </r>
  <r>
    <x v="226"/>
    <x v="2"/>
    <m/>
    <x v="1"/>
    <s v="유즈 솔리드퍼퓸 - 30ml (11차 예약구매 진행중)향=커플세트"/>
    <n v="4"/>
    <x v="0"/>
    <x v="3"/>
    <n v="210101"/>
    <m/>
    <n v="235200"/>
  </r>
  <r>
    <x v="226"/>
    <x v="2"/>
    <m/>
    <x v="1"/>
    <s v="유즈 솔리드퍼퓸 - 30ml (11차 예약구매 진행중)향=커플세트(이그나이트 + 스테이포에버), 세트 선택=1 SET"/>
    <n v="4"/>
    <x v="0"/>
    <x v="3"/>
    <n v="210101"/>
    <m/>
    <n v="235200"/>
  </r>
  <r>
    <x v="226"/>
    <x v="2"/>
    <m/>
    <x v="1"/>
    <s v="유즈 솔리드퍼퓸 - 30ml (11차 예약구매 진행중)향=커플세트"/>
    <n v="1"/>
    <x v="0"/>
    <x v="3"/>
    <n v="210101"/>
    <m/>
    <n v="58800"/>
  </r>
  <r>
    <x v="226"/>
    <x v="2"/>
    <m/>
    <x v="1"/>
    <s v="유즈 스테이포에버 솔리드퍼퓸 002 (10차 재입고 완료제품선택=스테이포에버 1개"/>
    <n v="1"/>
    <x v="0"/>
    <x v="2"/>
    <n v="210101"/>
    <m/>
    <n v="38000"/>
  </r>
  <r>
    <x v="226"/>
    <x v="2"/>
    <m/>
    <x v="1"/>
    <s v="유즈 스테이포에버 솔리드퍼퓸 002 (10차 재입고 완료제품선택=best"/>
    <n v="1"/>
    <x v="0"/>
    <x v="8"/>
    <n v="210101"/>
    <m/>
    <n v="58800"/>
  </r>
  <r>
    <x v="226"/>
    <x v="2"/>
    <m/>
    <x v="1"/>
    <s v="유즈 스테이포에버 솔리드퍼퓸 002 (10차 재입고 완료)제품선택=스테이포에버 1개"/>
    <n v="1"/>
    <x v="0"/>
    <x v="2"/>
    <n v="210101"/>
    <m/>
    <n v="38000"/>
  </r>
  <r>
    <x v="226"/>
    <x v="2"/>
    <m/>
    <x v="1"/>
    <s v="유즈 스테이포에버 솔리드퍼퓸 002 (10차 재입고 완료)제품선택=best"/>
    <n v="2"/>
    <x v="0"/>
    <x v="8"/>
    <n v="210101"/>
    <m/>
    <n v="117600"/>
  </r>
  <r>
    <x v="226"/>
    <x v="2"/>
    <m/>
    <x v="1"/>
    <s v="유즈 스테이포에버 솔리드퍼퓸 002 (11차 예약구매 진행중)제품선택=스테이포에버 1개"/>
    <n v="419"/>
    <x v="0"/>
    <x v="2"/>
    <n v="210101"/>
    <m/>
    <n v="14246000"/>
  </r>
  <r>
    <x v="226"/>
    <x v="2"/>
    <m/>
    <x v="1"/>
    <s v="유즈 스테이포에버 솔리드퍼퓸 002 (11차 예약구매 진행중)제품선택=best"/>
    <n v="77"/>
    <x v="0"/>
    <x v="2"/>
    <n v="210101"/>
    <m/>
    <n v="2618000"/>
  </r>
  <r>
    <x v="226"/>
    <x v="2"/>
    <m/>
    <x v="1"/>
    <s v="유즈 스테이포에버 솔리드퍼퓸 002 (11차 예약구매 진행중)제품선택=best스테이포에버 2개[28% 할인]"/>
    <n v="122"/>
    <x v="0"/>
    <x v="8"/>
    <n v="210101"/>
    <m/>
    <n v="7173600"/>
  </r>
  <r>
    <x v="226"/>
    <x v="2"/>
    <m/>
    <x v="1"/>
    <s v="유즈 스테이포에버 솔리드퍼퓸 002 (11차 예약구매 진행중)제품선택=커플추천"/>
    <n v="9"/>
    <x v="0"/>
    <x v="2"/>
    <n v="210101"/>
    <m/>
    <n v="306000"/>
  </r>
  <r>
    <x v="226"/>
    <x v="2"/>
    <m/>
    <x v="1"/>
    <s v="유즈 스테이포에버 솔리드퍼퓸 002 (11차 예약구매 진행중)제품선택=커플추천스테이포에버 + 이그나이트 세트"/>
    <n v="17"/>
    <x v="0"/>
    <x v="3"/>
    <n v="210101"/>
    <m/>
    <n v="999600"/>
  </r>
  <r>
    <x v="226"/>
    <x v="2"/>
    <m/>
    <x v="1"/>
    <s v="유즈 스테이포에버 솔리드퍼퓸 002 (11차 예약구매 진행중)쇼핑백=선물용 쇼핑백"/>
    <n v="8"/>
    <x v="0"/>
    <x v="11"/>
    <n v="210101"/>
    <m/>
    <n v="16000"/>
  </r>
  <r>
    <x v="226"/>
    <x v="2"/>
    <m/>
    <x v="1"/>
    <s v="유즈 이그나이트 솔리드퍼퓸 001제품선택=이그나이트 솔리드퍼퓸 - 30ml"/>
    <n v="2"/>
    <x v="0"/>
    <x v="1"/>
    <n v="210101"/>
    <m/>
    <n v="76000"/>
  </r>
  <r>
    <x v="226"/>
    <x v="2"/>
    <m/>
    <x v="1"/>
    <s v="유즈 이그나이트 솔리드퍼퓸 001제품선택=이그나이트 2개 세트"/>
    <n v="2"/>
    <x v="0"/>
    <x v="9"/>
    <n v="210101"/>
    <m/>
    <n v="117600"/>
  </r>
  <r>
    <x v="226"/>
    <x v="2"/>
    <m/>
    <x v="1"/>
    <s v="유즈 이그나이트 솔리드퍼퓸 001쇼핑백=선물용 쇼핑백"/>
    <n v="1"/>
    <x v="2"/>
    <x v="11"/>
    <n v="210101"/>
    <m/>
    <n v="2000"/>
  </r>
  <r>
    <x v="227"/>
    <x v="3"/>
    <m/>
    <x v="1"/>
    <s v="솔리드퍼퓸 스테이포에버 002 30ml"/>
    <n v="3"/>
    <x v="0"/>
    <x v="2"/>
    <n v="210101"/>
    <m/>
    <n v="114000"/>
  </r>
  <r>
    <x v="227"/>
    <x v="3"/>
    <m/>
    <x v="1"/>
    <s v="유즈 솔리드퍼퓸 - 30ml (11차 예약구매 진행중)향=이그나이트 001 SOLID PERFUME, 세트 선택=1개"/>
    <n v="2"/>
    <x v="0"/>
    <x v="1"/>
    <n v="210101"/>
    <m/>
    <n v="68000"/>
  </r>
  <r>
    <x v="227"/>
    <x v="3"/>
    <m/>
    <x v="1"/>
    <s v="유즈 솔리드퍼퓸 - 30ml (11차 예약구매 진행중)향=스테이포에버 002 SOLID PERFUME, 세트 선택=1개"/>
    <n v="12"/>
    <x v="0"/>
    <x v="2"/>
    <n v="210101"/>
    <m/>
    <n v="408000"/>
  </r>
  <r>
    <x v="227"/>
    <x v="3"/>
    <m/>
    <x v="1"/>
    <s v="유즈 솔리드퍼퓸 - 30ml (11차 예약구매 진행중)향=스테이포에버 002 SOLID PERFUME, 세트 선택=best"/>
    <n v="6"/>
    <x v="0"/>
    <x v="2"/>
    <n v="210101"/>
    <m/>
    <n v="204000"/>
  </r>
  <r>
    <x v="227"/>
    <x v="3"/>
    <m/>
    <x v="1"/>
    <s v="유즈 솔리드퍼퓸 - 30ml (11차 예약구매 진행중)향=스테이포에버 002 SOLID PERFUME, 세트 선택=best 2개 (28% 할인)"/>
    <n v="2"/>
    <x v="0"/>
    <x v="8"/>
    <n v="210101"/>
    <m/>
    <n v="117600"/>
  </r>
  <r>
    <x v="227"/>
    <x v="3"/>
    <m/>
    <x v="1"/>
    <s v="유즈 솔리드퍼퓸 - 30ml (11차 예약구매 진행중)향=커플세트"/>
    <n v="4"/>
    <x v="0"/>
    <x v="3"/>
    <n v="210101"/>
    <m/>
    <n v="235200"/>
  </r>
  <r>
    <x v="227"/>
    <x v="3"/>
    <m/>
    <x v="1"/>
    <s v="유즈 솔리드퍼퓸 - 30ml (11차 예약구매 진행중)향=커플세트(이그나이트 + 스테이포에버), 세트 선택=1 SET"/>
    <n v="7"/>
    <x v="0"/>
    <x v="3"/>
    <n v="210101"/>
    <m/>
    <n v="411600"/>
  </r>
  <r>
    <x v="227"/>
    <x v="3"/>
    <m/>
    <x v="1"/>
    <s v="유즈 스테이포에버 솔리드퍼퓸 002 (11차 예약구매 진행중)제품선택=스테이포에버 1개"/>
    <n v="355"/>
    <x v="0"/>
    <x v="2"/>
    <n v="210101"/>
    <m/>
    <n v="12070000"/>
  </r>
  <r>
    <x v="227"/>
    <x v="3"/>
    <m/>
    <x v="1"/>
    <s v="유즈 스테이포에버 솔리드퍼퓸 002 (11차 예약구매 진행중)제품선택=best"/>
    <n v="70"/>
    <x v="0"/>
    <x v="2"/>
    <n v="210101"/>
    <m/>
    <n v="2380000"/>
  </r>
  <r>
    <x v="227"/>
    <x v="3"/>
    <m/>
    <x v="1"/>
    <s v="유즈 스테이포에버 솔리드퍼퓸 002 (11차 예약구매 진행중)제품선택=best스테이포에버 2개[28% 할인]"/>
    <n v="116"/>
    <x v="0"/>
    <x v="8"/>
    <n v="210101"/>
    <m/>
    <n v="6820800"/>
  </r>
  <r>
    <x v="227"/>
    <x v="3"/>
    <m/>
    <x v="1"/>
    <s v="유즈 스테이포에버 솔리드퍼퓸 002 (11차 예약구매 진행중)제품선택=커플추천"/>
    <n v="13"/>
    <x v="0"/>
    <x v="2"/>
    <n v="210101"/>
    <m/>
    <n v="442000"/>
  </r>
  <r>
    <x v="227"/>
    <x v="3"/>
    <m/>
    <x v="1"/>
    <s v="유즈 스테이포에버 솔리드퍼퓸 002 (11차 예약구매 진행중)제품선택=커플추천스테이포에버 + 이그나이트 세트"/>
    <n v="18"/>
    <x v="0"/>
    <x v="3"/>
    <n v="210101"/>
    <m/>
    <n v="1058400"/>
  </r>
  <r>
    <x v="227"/>
    <x v="3"/>
    <m/>
    <x v="1"/>
    <s v="유즈 스테이포에버 솔리드퍼퓸 002 (11차 예약구매 진행중)쇼핑백=선물용 쇼핑백"/>
    <n v="15"/>
    <x v="0"/>
    <x v="11"/>
    <n v="210101"/>
    <m/>
    <n v="30000"/>
  </r>
  <r>
    <x v="227"/>
    <x v="3"/>
    <m/>
    <x v="1"/>
    <s v="유즈 이그나이트 솔리드퍼퓸 001제품선택=이그나이트 솔리드퍼퓸 - 30ml"/>
    <n v="6"/>
    <x v="0"/>
    <x v="1"/>
    <n v="210101"/>
    <m/>
    <n v="228000"/>
  </r>
  <r>
    <x v="227"/>
    <x v="3"/>
    <m/>
    <x v="1"/>
    <s v="유즈 이그나이트 솔리드퍼퓸 001제품선택=이그나이트 2개 세트"/>
    <n v="1"/>
    <x v="0"/>
    <x v="9"/>
    <n v="210101"/>
    <m/>
    <n v="58800"/>
  </r>
  <r>
    <x v="227"/>
    <x v="3"/>
    <m/>
    <x v="1"/>
    <s v="유즈 이그나이트 솔리드퍼퓸 001쇼핑백=선물용 쇼핑백"/>
    <n v="1"/>
    <x v="2"/>
    <x v="11"/>
    <n v="210101"/>
    <m/>
    <n v="2000"/>
  </r>
  <r>
    <x v="228"/>
    <x v="4"/>
    <m/>
    <x v="2"/>
    <s v="솔리드퍼퓸 스테이포에버 002 30ml"/>
    <n v="2"/>
    <x v="0"/>
    <x v="2"/>
    <n v="210101"/>
    <m/>
    <n v="0"/>
  </r>
  <r>
    <x v="228"/>
    <x v="4"/>
    <m/>
    <x v="1"/>
    <s v="유즈 솔리드퍼퓸 - 30ml (11차 예약구매 진행중)향=이그나이트 001 SOLID PERFUME, 세트 선택=best"/>
    <n v="1"/>
    <x v="0"/>
    <x v="1"/>
    <n v="210101"/>
    <m/>
    <n v="34000"/>
  </r>
  <r>
    <x v="228"/>
    <x v="4"/>
    <m/>
    <x v="1"/>
    <s v="유즈 솔리드퍼퓸 - 30ml (11차 예약구매 진행중)향=스테이포에버 002 SOLID PERFUME, 세트 선택=1개"/>
    <n v="10"/>
    <x v="0"/>
    <x v="2"/>
    <n v="210101"/>
    <m/>
    <n v="340000"/>
  </r>
  <r>
    <x v="228"/>
    <x v="4"/>
    <m/>
    <x v="1"/>
    <s v="유즈 솔리드퍼퓸 - 30ml (11차 예약구매 진행중)향=스테이포에버 002 SOLID PERFUME, 세트 선택=best"/>
    <n v="4"/>
    <x v="0"/>
    <x v="2"/>
    <n v="210101"/>
    <m/>
    <n v="136000"/>
  </r>
  <r>
    <x v="228"/>
    <x v="4"/>
    <m/>
    <x v="1"/>
    <s v="유즈 솔리드퍼퓸 - 30ml (11차 예약구매 진행중)향=스테이포에버 002 SOLID PERFUME, 세트 선택=best 2개 (28% 할인)"/>
    <n v="1"/>
    <x v="0"/>
    <x v="8"/>
    <n v="210101"/>
    <m/>
    <n v="58800"/>
  </r>
  <r>
    <x v="228"/>
    <x v="4"/>
    <m/>
    <x v="1"/>
    <s v="유즈 솔리드퍼퓸 - 30ml (11차 예약구매 진행중)향=커플세트"/>
    <n v="3"/>
    <x v="0"/>
    <x v="3"/>
    <n v="210101"/>
    <m/>
    <n v="176400"/>
  </r>
  <r>
    <x v="228"/>
    <x v="4"/>
    <m/>
    <x v="1"/>
    <s v="유즈 솔리드퍼퓸 - 30ml (11차 예약구매 진행중)향=커플세트(이그나이트 + 스테이포에버), 세트 선택=1 SET"/>
    <n v="4"/>
    <x v="0"/>
    <x v="3"/>
    <n v="210101"/>
    <m/>
    <n v="235200"/>
  </r>
  <r>
    <x v="228"/>
    <x v="4"/>
    <m/>
    <x v="1"/>
    <s v="유즈 스테이포에버 솔리드퍼퓸 002 (11차 예약구매 진행중)제품선택=스테이포에버 1개"/>
    <n v="351"/>
    <x v="0"/>
    <x v="2"/>
    <n v="210101"/>
    <m/>
    <n v="11934000"/>
  </r>
  <r>
    <x v="228"/>
    <x v="4"/>
    <m/>
    <x v="1"/>
    <s v="유즈 스테이포에버 솔리드퍼퓸 002 (11차 예약구매 진행중)제품선택=best"/>
    <n v="82"/>
    <x v="0"/>
    <x v="2"/>
    <n v="210101"/>
    <m/>
    <n v="2788000"/>
  </r>
  <r>
    <x v="228"/>
    <x v="4"/>
    <m/>
    <x v="1"/>
    <s v="유즈 스테이포에버 솔리드퍼퓸 002 (11차 예약구매 진행중)제품선택=best스테이포에버 2개[28% 할인]"/>
    <n v="115"/>
    <x v="0"/>
    <x v="8"/>
    <n v="210101"/>
    <m/>
    <n v="6762000"/>
  </r>
  <r>
    <x v="228"/>
    <x v="4"/>
    <m/>
    <x v="1"/>
    <s v="유즈 스테이포에버 솔리드퍼퓸 002 (11차 예약구매 진행중)제품선택=커플추천"/>
    <n v="7"/>
    <x v="0"/>
    <x v="2"/>
    <n v="210101"/>
    <m/>
    <n v="238000"/>
  </r>
  <r>
    <x v="228"/>
    <x v="4"/>
    <m/>
    <x v="1"/>
    <s v="유즈 스테이포에버 솔리드퍼퓸 002 (11차 예약구매 진행중)제품선택=커플추천스테이포에버 + 이그나이트 세트"/>
    <n v="17"/>
    <x v="0"/>
    <x v="3"/>
    <n v="210101"/>
    <m/>
    <n v="999600"/>
  </r>
  <r>
    <x v="228"/>
    <x v="4"/>
    <m/>
    <x v="1"/>
    <s v="유즈 스테이포에버 솔리드퍼퓸 002 (11차 예약구매 진행중)쇼핑백=선물용 쇼핑백"/>
    <n v="9"/>
    <x v="0"/>
    <x v="11"/>
    <n v="210101"/>
    <m/>
    <n v="18000"/>
  </r>
  <r>
    <x v="228"/>
    <x v="4"/>
    <m/>
    <x v="1"/>
    <s v="유즈 이그나이트 솔리드퍼퓸 001제품선택=이그나이트 솔리드퍼퓸 - 30ml"/>
    <n v="5"/>
    <x v="0"/>
    <x v="1"/>
    <n v="210101"/>
    <m/>
    <n v="190000"/>
  </r>
  <r>
    <x v="229"/>
    <x v="0"/>
    <m/>
    <x v="1"/>
    <s v="유즈 솔리드퍼퓸 - 30ml (11차 예약구매 진행중)향=이그나이트 001 SOLID PERFUME, 세트 선택=1개"/>
    <n v="2"/>
    <x v="0"/>
    <x v="1"/>
    <n v="210101"/>
    <m/>
    <n v="68000"/>
  </r>
  <r>
    <x v="229"/>
    <x v="0"/>
    <m/>
    <x v="1"/>
    <s v="유즈 솔리드퍼퓸 - 30ml (11차 예약구매 진행중)향=스테이포에버 002 SOLID PERFUME, 세트 선택=1개"/>
    <n v="16"/>
    <x v="0"/>
    <x v="2"/>
    <n v="210101"/>
    <m/>
    <n v="544000"/>
  </r>
  <r>
    <x v="229"/>
    <x v="0"/>
    <m/>
    <x v="1"/>
    <s v="유즈 솔리드퍼퓸 - 30ml (11차 예약구매 진행중)향=스테이포에버 002 SOLID PERFUME, 세트 선택=best"/>
    <n v="5"/>
    <x v="0"/>
    <x v="2"/>
    <n v="210101"/>
    <m/>
    <n v="170000"/>
  </r>
  <r>
    <x v="229"/>
    <x v="0"/>
    <m/>
    <x v="1"/>
    <s v="유즈 솔리드퍼퓸 - 30ml (11차 예약구매 진행중)향=스테이포에버 002 SOLID PERFUME, 세트 선택=best 2개 (28% 할인)"/>
    <n v="4"/>
    <x v="0"/>
    <x v="8"/>
    <n v="210101"/>
    <m/>
    <n v="235200"/>
  </r>
  <r>
    <x v="229"/>
    <x v="0"/>
    <m/>
    <x v="1"/>
    <s v="유즈 솔리드퍼퓸 - 30ml (11차 예약구매 진행중)향=커플세트"/>
    <n v="8"/>
    <x v="0"/>
    <x v="3"/>
    <n v="210101"/>
    <m/>
    <n v="470400"/>
  </r>
  <r>
    <x v="229"/>
    <x v="0"/>
    <m/>
    <x v="1"/>
    <s v="유즈 솔리드퍼퓸 - 30ml (11차 예약구매 진행중)향=커플세트(이그나이트 + 스테이포에버), 세트 선택=1 SET"/>
    <n v="5"/>
    <x v="0"/>
    <x v="3"/>
    <n v="210101"/>
    <m/>
    <n v="294000"/>
  </r>
  <r>
    <x v="229"/>
    <x v="0"/>
    <m/>
    <x v="1"/>
    <s v="유즈 스테이포에버 솔리드퍼퓸 002 (11차 예약구매 진행중)제품선택=스테이포에버 1개"/>
    <n v="294"/>
    <x v="0"/>
    <x v="2"/>
    <n v="210101"/>
    <m/>
    <n v="9996000"/>
  </r>
  <r>
    <x v="229"/>
    <x v="0"/>
    <m/>
    <x v="1"/>
    <s v="유즈 스테이포에버 솔리드퍼퓸 002 (11차 예약구매 진행중)제품선택=best"/>
    <n v="68"/>
    <x v="0"/>
    <x v="2"/>
    <n v="210101"/>
    <m/>
    <n v="2312000"/>
  </r>
  <r>
    <x v="229"/>
    <x v="0"/>
    <m/>
    <x v="1"/>
    <s v="유즈 스테이포에버 솔리드퍼퓸 002 (11차 예약구매 진행중)제품선택=best스테이포에버 2개[28% 할인]"/>
    <n v="92"/>
    <x v="0"/>
    <x v="8"/>
    <n v="210101"/>
    <m/>
    <n v="5409600"/>
  </r>
  <r>
    <x v="229"/>
    <x v="0"/>
    <m/>
    <x v="1"/>
    <s v="유즈 스테이포에버 솔리드퍼퓸 002 (11차 예약구매 진행중)제품선택=커플추천"/>
    <n v="6"/>
    <x v="0"/>
    <x v="2"/>
    <n v="210101"/>
    <m/>
    <n v="204000"/>
  </r>
  <r>
    <x v="229"/>
    <x v="0"/>
    <m/>
    <x v="1"/>
    <s v="유즈 스테이포에버 솔리드퍼퓸 002 (11차 예약구매 진행중)제품선택=커플추천스테이포에버 + 이그나이트 세트"/>
    <n v="10"/>
    <x v="0"/>
    <x v="3"/>
    <n v="210101"/>
    <m/>
    <n v="588000"/>
  </r>
  <r>
    <x v="229"/>
    <x v="0"/>
    <m/>
    <x v="1"/>
    <s v="유즈 스테이포에버 솔리드퍼퓸 002 (11차 예약구매 진행중)쇼핑백=선물용 쇼핑백"/>
    <n v="11"/>
    <x v="0"/>
    <x v="11"/>
    <n v="210101"/>
    <m/>
    <n v="22000"/>
  </r>
  <r>
    <x v="229"/>
    <x v="0"/>
    <m/>
    <x v="1"/>
    <s v="유즈 이그나이트 솔리드퍼퓸 001제품선택=이그나이트 솔리드퍼퓸 - 30ml"/>
    <n v="6"/>
    <x v="0"/>
    <x v="1"/>
    <n v="210101"/>
    <m/>
    <n v="228000"/>
  </r>
  <r>
    <x v="229"/>
    <x v="0"/>
    <m/>
    <x v="1"/>
    <s v="유즈 이그나이트 솔리드퍼퓸 001제품선택=이그나이트 2개 세트"/>
    <n v="1"/>
    <x v="0"/>
    <x v="9"/>
    <n v="210101"/>
    <m/>
    <n v="58800"/>
  </r>
  <r>
    <x v="229"/>
    <x v="0"/>
    <m/>
    <x v="1"/>
    <s v="유즈 이그나이트 솔리드퍼퓸 001쇼핑백=선물용 쇼핑백"/>
    <n v="1"/>
    <x v="2"/>
    <x v="11"/>
    <n v="210101"/>
    <m/>
    <n v="2000"/>
  </r>
  <r>
    <x v="230"/>
    <x v="1"/>
    <m/>
    <x v="1"/>
    <s v="유즈 솔리드퍼퓸 - 30ml (11차 예약구매 진행중)향=이그나이트 001 SOLID PERFUME, 세트 선택=1개"/>
    <n v="1"/>
    <x v="0"/>
    <x v="1"/>
    <n v="210101"/>
    <m/>
    <n v="34000"/>
  </r>
  <r>
    <x v="230"/>
    <x v="1"/>
    <m/>
    <x v="1"/>
    <s v="유즈 솔리드퍼퓸 - 30ml (11차 예약구매 진행중)향=스테이포에버 002 SOLID PERFUME, 세트 선택=1개"/>
    <n v="20"/>
    <x v="0"/>
    <x v="2"/>
    <n v="210101"/>
    <m/>
    <n v="680000"/>
  </r>
  <r>
    <x v="230"/>
    <x v="1"/>
    <m/>
    <x v="1"/>
    <s v="유즈 솔리드퍼퓸 - 30ml (11차 예약구매 진행중)향=스테이포에버 002 SOLID PERFUME, 세트 선택=best"/>
    <n v="4"/>
    <x v="0"/>
    <x v="2"/>
    <n v="210101"/>
    <m/>
    <n v="136000"/>
  </r>
  <r>
    <x v="230"/>
    <x v="1"/>
    <m/>
    <x v="1"/>
    <s v="유즈 솔리드퍼퓸 - 30ml (11차 예약구매 진행중)향=스테이포에버 002 SOLID PERFUME, 세트 선택=best 2개 (28% 할인)"/>
    <n v="3"/>
    <x v="0"/>
    <x v="8"/>
    <n v="210101"/>
    <m/>
    <n v="176400"/>
  </r>
  <r>
    <x v="230"/>
    <x v="1"/>
    <m/>
    <x v="1"/>
    <s v="유즈 솔리드퍼퓸 - 30ml (11차 예약구매 진행중)향=커플세트"/>
    <n v="5"/>
    <x v="0"/>
    <x v="3"/>
    <n v="210101"/>
    <m/>
    <n v="294000"/>
  </r>
  <r>
    <x v="230"/>
    <x v="1"/>
    <m/>
    <x v="1"/>
    <s v="유즈 솔리드퍼퓸 - 30ml (11차 예약구매 진행중)향=커플세트(이그나이트 + 스테이포에버), 세트 선택=1 SET"/>
    <n v="2"/>
    <x v="0"/>
    <x v="3"/>
    <n v="210101"/>
    <m/>
    <n v="117600"/>
  </r>
  <r>
    <x v="230"/>
    <x v="1"/>
    <m/>
    <x v="1"/>
    <s v="유즈 스테이포에버 솔리드퍼퓸 002 (11차 예약구매 진행중)제품선택=스테이포에버 1개"/>
    <n v="406"/>
    <x v="0"/>
    <x v="2"/>
    <n v="210101"/>
    <m/>
    <n v="13804000"/>
  </r>
  <r>
    <x v="230"/>
    <x v="1"/>
    <m/>
    <x v="1"/>
    <s v="유즈 스테이포에버 솔리드퍼퓸 002 (11차 예약구매 진행중)제품선택=best"/>
    <n v="97"/>
    <x v="0"/>
    <x v="2"/>
    <n v="210101"/>
    <m/>
    <n v="3298000"/>
  </r>
  <r>
    <x v="230"/>
    <x v="1"/>
    <m/>
    <x v="1"/>
    <s v="유즈 스테이포에버 솔리드퍼퓸 002 (11차 예약구매 진행중)제품선택=best스테이포에버 2개[28% 할인]"/>
    <n v="129"/>
    <x v="0"/>
    <x v="8"/>
    <n v="210101"/>
    <m/>
    <n v="7585200"/>
  </r>
  <r>
    <x v="230"/>
    <x v="1"/>
    <m/>
    <x v="1"/>
    <s v="유즈 스테이포에버 솔리드퍼퓸 002 (11차 예약구매 진행중)제품선택=커플추천"/>
    <n v="10"/>
    <x v="0"/>
    <x v="2"/>
    <n v="210101"/>
    <m/>
    <n v="340000"/>
  </r>
  <r>
    <x v="230"/>
    <x v="1"/>
    <m/>
    <x v="1"/>
    <s v="유즈 스테이포에버 솔리드퍼퓸 002 (11차 예약구매 진행중)제품선택=커플추천스테이포에버 + 이그나이트 세트"/>
    <n v="16"/>
    <x v="0"/>
    <x v="3"/>
    <n v="210101"/>
    <m/>
    <n v="940800"/>
  </r>
  <r>
    <x v="230"/>
    <x v="1"/>
    <m/>
    <x v="1"/>
    <s v="유즈 스테이포에버 솔리드퍼퓸 002 (11차 예약구매 진행중)쇼핑백=선물용 쇼핑백"/>
    <n v="23"/>
    <x v="0"/>
    <x v="11"/>
    <n v="210101"/>
    <m/>
    <n v="46000"/>
  </r>
  <r>
    <x v="230"/>
    <x v="1"/>
    <m/>
    <x v="1"/>
    <s v="유즈 이그나이트 솔리드퍼퓸 001제품선택=이그나이트 솔리드퍼퓸 - 30ml"/>
    <n v="4"/>
    <x v="0"/>
    <x v="1"/>
    <n v="210101"/>
    <m/>
    <n v="152000"/>
  </r>
  <r>
    <x v="230"/>
    <x v="1"/>
    <m/>
    <x v="1"/>
    <s v="유즈 이그나이트 솔리드퍼퓸 001제품선택=이그나이트 2개 세트"/>
    <n v="2"/>
    <x v="0"/>
    <x v="9"/>
    <n v="210101"/>
    <m/>
    <n v="117600"/>
  </r>
  <r>
    <x v="231"/>
    <x v="5"/>
    <m/>
    <x v="1"/>
    <s v="SHOPPING BAG"/>
    <n v="2"/>
    <x v="2"/>
    <x v="11"/>
    <n v="210101"/>
    <m/>
    <n v="4000"/>
  </r>
  <r>
    <x v="231"/>
    <x v="5"/>
    <m/>
    <x v="1"/>
    <s v="유즈 솔리드퍼퓸 - 30ml (11차 예약구매 진행중)향=이그나이트 001 SOLID PERFUME, 세트 선택=1개"/>
    <n v="2"/>
    <x v="0"/>
    <x v="1"/>
    <n v="210101"/>
    <m/>
    <n v="68000"/>
  </r>
  <r>
    <x v="231"/>
    <x v="5"/>
    <m/>
    <x v="1"/>
    <s v="유즈 솔리드퍼퓸 - 30ml (11차 예약구매 진행중)향=스테이포에버 002 SOLID PERFUME, 세트 선택=1개"/>
    <n v="10"/>
    <x v="0"/>
    <x v="2"/>
    <n v="210101"/>
    <m/>
    <n v="340000"/>
  </r>
  <r>
    <x v="231"/>
    <x v="5"/>
    <m/>
    <x v="1"/>
    <s v="유즈 솔리드퍼퓸 - 30ml (11차 예약구매 진행중)향=스테이포에버 002 SOLID PERFUME, 세트 선택=best"/>
    <n v="7"/>
    <x v="0"/>
    <x v="2"/>
    <n v="210101"/>
    <m/>
    <n v="238000"/>
  </r>
  <r>
    <x v="231"/>
    <x v="5"/>
    <m/>
    <x v="1"/>
    <s v="유즈 솔리드퍼퓸 - 30ml (11차 예약구매 진행중)향=스테이포에버 002 SOLID PERFUME, 세트 선택=best 2개 (28% 할인)"/>
    <n v="5"/>
    <x v="0"/>
    <x v="8"/>
    <n v="210101"/>
    <m/>
    <n v="294000"/>
  </r>
  <r>
    <x v="231"/>
    <x v="5"/>
    <m/>
    <x v="1"/>
    <s v="유즈 솔리드퍼퓸 - 30ml (11차 예약구매 진행중)향=커플세트"/>
    <n v="6"/>
    <x v="0"/>
    <x v="3"/>
    <n v="210101"/>
    <m/>
    <n v="352800"/>
  </r>
  <r>
    <x v="231"/>
    <x v="5"/>
    <m/>
    <x v="1"/>
    <s v="유즈 솔리드퍼퓸 - 30ml (11차 예약구매 진행중)향=커플세트(이그나이트 + 스테이포에버), 세트 선택=1 SET"/>
    <n v="3"/>
    <x v="0"/>
    <x v="3"/>
    <n v="210101"/>
    <m/>
    <n v="176400"/>
  </r>
  <r>
    <x v="231"/>
    <x v="5"/>
    <m/>
    <x v="1"/>
    <s v="유즈 솔리드퍼퓸 - 30ml (11차 예약구매 진행중)향=커플세트"/>
    <n v="3"/>
    <x v="0"/>
    <x v="3"/>
    <n v="210101"/>
    <m/>
    <n v="176400"/>
  </r>
  <r>
    <x v="231"/>
    <x v="5"/>
    <m/>
    <x v="1"/>
    <s v="유즈 솔리드퍼퓸 - 30ml (11차 예약구매 진행중)향=커플세트(이그나이트 + 스테이포에버), 세트 선택=2 SET (42% 할인)"/>
    <n v="1"/>
    <x v="0"/>
    <x v="3"/>
    <n v="210101"/>
    <m/>
    <n v="58800"/>
  </r>
  <r>
    <x v="231"/>
    <x v="5"/>
    <m/>
    <x v="1"/>
    <s v="유즈 스테이포에버 솔리드퍼퓸 002 (11차 예약구매 진행중)제품선택=스테이포에버 1개"/>
    <n v="474"/>
    <x v="0"/>
    <x v="2"/>
    <n v="210101"/>
    <m/>
    <n v="16116000"/>
  </r>
  <r>
    <x v="231"/>
    <x v="5"/>
    <m/>
    <x v="1"/>
    <s v="유즈 스테이포에버 솔리드퍼퓸 002 (11차 예약구매 진행중)제품선택=best"/>
    <n v="102"/>
    <x v="0"/>
    <x v="2"/>
    <n v="210101"/>
    <m/>
    <n v="3468000"/>
  </r>
  <r>
    <x v="231"/>
    <x v="5"/>
    <m/>
    <x v="1"/>
    <s v="유즈 스테이포에버 솔리드퍼퓸 002 (11차 예약구매 진행중)제품선택=best스테이포에버 2개[28% 할인]"/>
    <n v="133"/>
    <x v="0"/>
    <x v="8"/>
    <n v="210101"/>
    <m/>
    <n v="7820400"/>
  </r>
  <r>
    <x v="231"/>
    <x v="5"/>
    <m/>
    <x v="1"/>
    <s v="유즈 스테이포에버 솔리드퍼퓸 002 (11차 예약구매 진행중)제품선택=커플추천"/>
    <n v="15"/>
    <x v="0"/>
    <x v="2"/>
    <n v="210101"/>
    <m/>
    <n v="510000"/>
  </r>
  <r>
    <x v="231"/>
    <x v="5"/>
    <m/>
    <x v="1"/>
    <s v="유즈 스테이포에버 솔리드퍼퓸 002 (11차 예약구매 진행중)제품선택=커플추천스테이포에버 + 이그나이트 세트"/>
    <n v="25"/>
    <x v="0"/>
    <x v="3"/>
    <n v="210101"/>
    <m/>
    <n v="1470000"/>
  </r>
  <r>
    <x v="231"/>
    <x v="5"/>
    <m/>
    <x v="1"/>
    <s v="유즈 스테이포에버 솔리드퍼퓸 002 (11차 예약구매 진행중)쇼핑백=선물용 쇼핑백"/>
    <n v="21"/>
    <x v="0"/>
    <x v="11"/>
    <n v="210101"/>
    <m/>
    <n v="42000"/>
  </r>
  <r>
    <x v="231"/>
    <x v="5"/>
    <m/>
    <x v="1"/>
    <s v="유즈 이그나이트 솔리드퍼퓸 001제품선택=이그나이트 솔리드퍼퓸 - 30ml"/>
    <n v="3"/>
    <x v="0"/>
    <x v="1"/>
    <n v="210101"/>
    <m/>
    <n v="114000"/>
  </r>
  <r>
    <x v="231"/>
    <x v="5"/>
    <m/>
    <x v="1"/>
    <s v="유즈 이그나이트 솔리드퍼퓸 001제품선택=이그나이트 2개 세트"/>
    <n v="1"/>
    <x v="0"/>
    <x v="9"/>
    <n v="210101"/>
    <m/>
    <n v="58800"/>
  </r>
  <r>
    <x v="232"/>
    <x v="6"/>
    <m/>
    <x v="1"/>
    <s v="유즈 솔리드퍼퓸 - 30ml (11차 예약구매 진행중)향=이그나이트 001 SOLID PERFUME, 세트 선택=1개"/>
    <n v="2"/>
    <x v="0"/>
    <x v="1"/>
    <n v="210101"/>
    <m/>
    <n v="68000"/>
  </r>
  <r>
    <x v="232"/>
    <x v="6"/>
    <m/>
    <x v="1"/>
    <s v="유즈 솔리드퍼퓸 - 30ml (11차 예약구매 진행중)향=이그나이트 001 SOLID PERFUME, 세트 선택=best 2개 (28% 할인)"/>
    <n v="1"/>
    <x v="0"/>
    <x v="9"/>
    <n v="210101"/>
    <m/>
    <n v="58800"/>
  </r>
  <r>
    <x v="232"/>
    <x v="6"/>
    <m/>
    <x v="1"/>
    <s v="유즈 솔리드퍼퓸 - 30ml (11차 예약구매 진행중)향=스테이포에버 002 SOLID PERFUME, 세트 선택=1개"/>
    <n v="12"/>
    <x v="0"/>
    <x v="2"/>
    <n v="210101"/>
    <m/>
    <n v="408000"/>
  </r>
  <r>
    <x v="232"/>
    <x v="6"/>
    <m/>
    <x v="1"/>
    <s v="유즈 솔리드퍼퓸 - 30ml (11차 예약구매 진행중)향=스테이포에버 002 SOLID PERFUME, 세트 선택=best"/>
    <n v="4"/>
    <x v="0"/>
    <x v="2"/>
    <n v="210101"/>
    <m/>
    <n v="136000"/>
  </r>
  <r>
    <x v="232"/>
    <x v="6"/>
    <m/>
    <x v="1"/>
    <s v="유즈 솔리드퍼퓸 - 30ml (11차 예약구매 진행중)향=스테이포에버 002 SOLID PERFUME, 세트 선택=best 2개 (28% 할인)"/>
    <n v="5"/>
    <x v="0"/>
    <x v="8"/>
    <n v="210101"/>
    <m/>
    <n v="294000"/>
  </r>
  <r>
    <x v="232"/>
    <x v="6"/>
    <m/>
    <x v="1"/>
    <s v="유즈 솔리드퍼퓸 - 30ml (11차 예약구매 진행중)향=커플세트"/>
    <n v="6"/>
    <x v="0"/>
    <x v="3"/>
    <n v="210101"/>
    <m/>
    <n v="352800"/>
  </r>
  <r>
    <x v="232"/>
    <x v="6"/>
    <m/>
    <x v="1"/>
    <s v="유즈 솔리드퍼퓸 - 30ml (11차 예약구매 진행중)향=커플세트(이그나이트 + 스테이포에버), 세트 선택=1 SET"/>
    <n v="3"/>
    <x v="0"/>
    <x v="3"/>
    <n v="210101"/>
    <m/>
    <n v="176400"/>
  </r>
  <r>
    <x v="232"/>
    <x v="6"/>
    <m/>
    <x v="1"/>
    <s v="유즈 스테이포에버 솔리드퍼퓸 002 (11차 예약구매 진행중)제품선택=스테이포에버 1개"/>
    <n v="333"/>
    <x v="0"/>
    <x v="2"/>
    <n v="210101"/>
    <m/>
    <n v="11322000"/>
  </r>
  <r>
    <x v="232"/>
    <x v="6"/>
    <m/>
    <x v="1"/>
    <s v="유즈 스테이포에버 솔리드퍼퓸 002 (11차 예약구매 진행중)제품선택=best"/>
    <n v="51"/>
    <x v="0"/>
    <x v="2"/>
    <n v="210101"/>
    <m/>
    <n v="1734000"/>
  </r>
  <r>
    <x v="232"/>
    <x v="6"/>
    <m/>
    <x v="1"/>
    <s v="유즈 스테이포에버 솔리드퍼퓸 002 (11차 예약구매 진행중)제품선택=best스테이포에버 2개[28% 할인]"/>
    <n v="102"/>
    <x v="0"/>
    <x v="8"/>
    <n v="210101"/>
    <m/>
    <n v="5997600"/>
  </r>
  <r>
    <x v="232"/>
    <x v="6"/>
    <m/>
    <x v="1"/>
    <s v="유즈 스테이포에버 솔리드퍼퓸 002 (11차 예약구매 진행중)제품선택=커플추천"/>
    <n v="8"/>
    <x v="0"/>
    <x v="2"/>
    <n v="210101"/>
    <m/>
    <n v="272000"/>
  </r>
  <r>
    <x v="232"/>
    <x v="6"/>
    <m/>
    <x v="1"/>
    <s v="유즈 스테이포에버 솔리드퍼퓸 002 (11차 예약구매 진행중)제품선택=커플추천스테이포에버 + 이그나이트 세트"/>
    <n v="15"/>
    <x v="0"/>
    <x v="3"/>
    <n v="210101"/>
    <m/>
    <n v="882000"/>
  </r>
  <r>
    <x v="232"/>
    <x v="6"/>
    <m/>
    <x v="1"/>
    <s v="유즈 스테이포에버 솔리드퍼퓸 002 (11차 예약구매 진행중)쇼핑백=선물용 쇼핑백"/>
    <n v="9"/>
    <x v="0"/>
    <x v="11"/>
    <n v="210101"/>
    <m/>
    <n v="18000"/>
  </r>
  <r>
    <x v="232"/>
    <x v="6"/>
    <m/>
    <x v="1"/>
    <s v="유즈 이그나이트 솔리드퍼퓸 001제품선택=이그나이트 솔리드퍼퓸 - 30ml"/>
    <n v="2"/>
    <x v="0"/>
    <x v="1"/>
    <n v="210101"/>
    <m/>
    <n v="76000"/>
  </r>
  <r>
    <x v="233"/>
    <x v="2"/>
    <m/>
    <x v="1"/>
    <s v="솔리드퍼퓸 스테이포에버 002 30ml"/>
    <n v="3"/>
    <x v="0"/>
    <x v="2"/>
    <n v="210101"/>
    <m/>
    <n v="114000"/>
  </r>
  <r>
    <x v="233"/>
    <x v="2"/>
    <m/>
    <x v="1"/>
    <s v="유즈 솔리드퍼퓸 - 30ml향=스테이포에버 002 SOLID PERFUME, 세트 선택=1개"/>
    <n v="5"/>
    <x v="0"/>
    <x v="2"/>
    <n v="210101"/>
    <m/>
    <n v="170000"/>
  </r>
  <r>
    <x v="233"/>
    <x v="2"/>
    <m/>
    <x v="1"/>
    <s v="유즈 솔리드퍼퓸 - 30ml향=스테이포에버 002 SOLID PERFUME, 세트 선택=best"/>
    <n v="1"/>
    <x v="0"/>
    <x v="2"/>
    <n v="210101"/>
    <m/>
    <n v="34000"/>
  </r>
  <r>
    <x v="233"/>
    <x v="2"/>
    <m/>
    <x v="1"/>
    <s v="유즈 솔리드퍼퓸 - 30ml향=커플세트"/>
    <n v="4"/>
    <x v="0"/>
    <x v="3"/>
    <n v="210101"/>
    <m/>
    <n v="235200"/>
  </r>
  <r>
    <x v="233"/>
    <x v="2"/>
    <m/>
    <x v="1"/>
    <s v="유즈 솔리드퍼퓸 - 30ml향=커플세트(이그나이트 + 스테이포에버), 세트 선택=1 SET"/>
    <n v="2"/>
    <x v="0"/>
    <x v="3"/>
    <n v="210101"/>
    <m/>
    <n v="117600"/>
  </r>
  <r>
    <x v="233"/>
    <x v="2"/>
    <m/>
    <x v="1"/>
    <s v="유즈 솔리드퍼퓸 - 30ml (11차 예약구매 진행중)향=스테이포에버 002 SOLID PERFUME, 세트 선택=1개"/>
    <n v="8"/>
    <x v="0"/>
    <x v="2"/>
    <n v="210101"/>
    <m/>
    <n v="272000"/>
  </r>
  <r>
    <x v="233"/>
    <x v="2"/>
    <m/>
    <x v="1"/>
    <s v="유즈 솔리드퍼퓸 - 30ml (11차 예약구매 진행중)향=스테이포에버 002 SOLID PERFUME, 세트 선택=best"/>
    <n v="5"/>
    <x v="0"/>
    <x v="2"/>
    <n v="210101"/>
    <m/>
    <n v="170000"/>
  </r>
  <r>
    <x v="233"/>
    <x v="2"/>
    <m/>
    <x v="1"/>
    <s v="유즈 솔리드퍼퓸 - 30ml (11차 예약구매 진행중)향=스테이포에버 002 SOLID PERFUME, 세트 선택=best 2개 (28% 할인)"/>
    <n v="2"/>
    <x v="0"/>
    <x v="8"/>
    <n v="210101"/>
    <m/>
    <n v="117600"/>
  </r>
  <r>
    <x v="233"/>
    <x v="2"/>
    <m/>
    <x v="1"/>
    <s v="유즈 솔리드퍼퓸 - 30ml (11차 예약구매 진행중)향=커플세트"/>
    <n v="6"/>
    <x v="0"/>
    <x v="3"/>
    <n v="210101"/>
    <m/>
    <n v="352800"/>
  </r>
  <r>
    <x v="233"/>
    <x v="2"/>
    <m/>
    <x v="1"/>
    <s v="유즈 솔리드퍼퓸 - 30ml (11차 예약구매 진행중)향=커플세트(이그나이트 + 스테이포에버), 세트 선택=1 SET"/>
    <n v="2"/>
    <x v="0"/>
    <x v="3"/>
    <n v="210101"/>
    <m/>
    <n v="117600"/>
  </r>
  <r>
    <x v="233"/>
    <x v="2"/>
    <m/>
    <x v="1"/>
    <s v="유즈 스테이포에버 솔리드퍼퓸 002제품선택=스테이포에버 1개"/>
    <n v="197"/>
    <x v="0"/>
    <x v="2"/>
    <n v="210101"/>
    <m/>
    <n v="6698000"/>
  </r>
  <r>
    <x v="233"/>
    <x v="2"/>
    <m/>
    <x v="1"/>
    <s v="유즈 스테이포에버 솔리드퍼퓸 002제품선택=best"/>
    <n v="55"/>
    <x v="0"/>
    <x v="2"/>
    <n v="210101"/>
    <m/>
    <n v="1870000"/>
  </r>
  <r>
    <x v="233"/>
    <x v="2"/>
    <m/>
    <x v="1"/>
    <s v="유즈 스테이포에버 솔리드퍼퓸 002제품선택=best스테이포에버 2개[28% 할인]"/>
    <n v="59"/>
    <x v="0"/>
    <x v="2"/>
    <n v="210101"/>
    <m/>
    <n v="2006000"/>
  </r>
  <r>
    <x v="233"/>
    <x v="2"/>
    <m/>
    <x v="1"/>
    <s v="유즈 스테이포에버 솔리드퍼퓸 002제품선택=커플추천"/>
    <n v="7"/>
    <x v="0"/>
    <x v="3"/>
    <n v="210101"/>
    <m/>
    <n v="411600"/>
  </r>
  <r>
    <x v="233"/>
    <x v="2"/>
    <m/>
    <x v="1"/>
    <s v="유즈 스테이포에버 솔리드퍼퓸 002제품선택=커플추천스테이포에버 + 이그나이트 세트"/>
    <n v="6"/>
    <x v="0"/>
    <x v="3"/>
    <n v="210101"/>
    <m/>
    <n v="352800"/>
  </r>
  <r>
    <x v="233"/>
    <x v="2"/>
    <m/>
    <x v="1"/>
    <s v="유즈 스테이포에버 솔리드퍼퓸 002쇼핑백=선물용 쇼핑백"/>
    <n v="10"/>
    <x v="0"/>
    <x v="11"/>
    <n v="210101"/>
    <m/>
    <n v="20000"/>
  </r>
  <r>
    <x v="233"/>
    <x v="2"/>
    <m/>
    <x v="1"/>
    <s v="유즈 스테이포에버 솔리드퍼퓸 002제품선택=스테이포에버 솔리드퍼퓸"/>
    <n v="1"/>
    <x v="0"/>
    <x v="2"/>
    <n v="210101"/>
    <m/>
    <n v="38000"/>
  </r>
  <r>
    <x v="233"/>
    <x v="2"/>
    <m/>
    <x v="1"/>
    <s v="유즈 스테이포에버 솔리드퍼퓸 002 (11차 예약구매 진행중)제품선택=스테이포에버 1개"/>
    <n v="178"/>
    <x v="0"/>
    <x v="2"/>
    <n v="210101"/>
    <m/>
    <n v="6052000"/>
  </r>
  <r>
    <x v="233"/>
    <x v="2"/>
    <m/>
    <x v="1"/>
    <s v="유즈 스테이포에버 솔리드퍼퓸 002 (11차 예약구매 진행중)제품선택=best"/>
    <n v="43"/>
    <x v="0"/>
    <x v="2"/>
    <n v="210101"/>
    <m/>
    <n v="1462000"/>
  </r>
  <r>
    <x v="233"/>
    <x v="2"/>
    <m/>
    <x v="1"/>
    <s v="유즈 스테이포에버 솔리드퍼퓸 002 (11차 예약구매 진행중)제품선택=best스테이포에버 2개[28% 할인]"/>
    <n v="56"/>
    <x v="0"/>
    <x v="8"/>
    <n v="210101"/>
    <m/>
    <n v="3292800"/>
  </r>
  <r>
    <x v="233"/>
    <x v="2"/>
    <m/>
    <x v="1"/>
    <s v="유즈 스테이포에버 솔리드퍼퓸 002 (11차 예약구매 진행중)제품선택=커플추천"/>
    <n v="9"/>
    <x v="0"/>
    <x v="2"/>
    <n v="210101"/>
    <m/>
    <n v="306000"/>
  </r>
  <r>
    <x v="233"/>
    <x v="2"/>
    <m/>
    <x v="1"/>
    <s v="유즈 스테이포에버 솔리드퍼퓸 002 (11차 예약구매 진행중)제품선택=커플추천스테이포에버 + 이그나이트 세트"/>
    <n v="12"/>
    <x v="0"/>
    <x v="3"/>
    <n v="210101"/>
    <m/>
    <n v="705600"/>
  </r>
  <r>
    <x v="233"/>
    <x v="2"/>
    <m/>
    <x v="1"/>
    <s v="유즈 스테이포에버 솔리드퍼퓸 002 (11차 예약구매 진행중)쇼핑백=선물용 쇼핑백"/>
    <n v="7"/>
    <x v="0"/>
    <x v="11"/>
    <n v="210101"/>
    <m/>
    <n v="14000"/>
  </r>
  <r>
    <x v="233"/>
    <x v="2"/>
    <m/>
    <x v="1"/>
    <s v="유즈 이그나이트 솔리드퍼퓸 001제품선택=이그나이트 솔리드퍼퓸 - 30ml"/>
    <n v="6"/>
    <x v="0"/>
    <x v="1"/>
    <n v="210101"/>
    <m/>
    <n v="228000"/>
  </r>
  <r>
    <x v="233"/>
    <x v="2"/>
    <m/>
    <x v="1"/>
    <s v="유즈 이그나이트 솔리드퍼퓸 001제품선택=이그나이트 2개 세트"/>
    <n v="2"/>
    <x v="0"/>
    <x v="9"/>
    <n v="210101"/>
    <m/>
    <n v="117600"/>
  </r>
  <r>
    <x v="234"/>
    <x v="3"/>
    <m/>
    <x v="1"/>
    <s v="SHOPPING BAG"/>
    <n v="1"/>
    <x v="2"/>
    <x v="11"/>
    <n v="210101"/>
    <m/>
    <n v="2000"/>
  </r>
  <r>
    <x v="234"/>
    <x v="3"/>
    <m/>
    <x v="1"/>
    <s v="솔리드퍼퓸 스테이포에버 002 30ml"/>
    <n v="1"/>
    <x v="0"/>
    <x v="2"/>
    <n v="210101"/>
    <m/>
    <n v="38000"/>
  </r>
  <r>
    <x v="234"/>
    <x v="3"/>
    <m/>
    <x v="1"/>
    <s v="유즈 솔리드퍼퓸 - 30ml향=이그나이트 001 SOLID PERFUME, 세트 선택=1개"/>
    <n v="1"/>
    <x v="0"/>
    <x v="1"/>
    <n v="210101"/>
    <m/>
    <n v="34000"/>
  </r>
  <r>
    <x v="234"/>
    <x v="3"/>
    <m/>
    <x v="1"/>
    <s v="유즈 솔리드퍼퓸 - 30ml향=스테이포에버 002 SOLID PERFUME, 세트 선택=1개"/>
    <n v="12"/>
    <x v="0"/>
    <x v="2"/>
    <n v="210101"/>
    <m/>
    <n v="408000"/>
  </r>
  <r>
    <x v="234"/>
    <x v="3"/>
    <m/>
    <x v="1"/>
    <s v="유즈 솔리드퍼퓸 - 30ml향=스테이포에버 002 SOLID PERFUME, 세트 선택=best"/>
    <n v="6"/>
    <x v="0"/>
    <x v="2"/>
    <n v="210101"/>
    <m/>
    <n v="204000"/>
  </r>
  <r>
    <x v="234"/>
    <x v="3"/>
    <m/>
    <x v="1"/>
    <s v="유즈 솔리드퍼퓸 - 30ml향=스테이포에버 002 SOLID PERFUME, 세트 선택=best 2개 (28% 할인)"/>
    <n v="2"/>
    <x v="0"/>
    <x v="8"/>
    <n v="210101"/>
    <m/>
    <n v="117600"/>
  </r>
  <r>
    <x v="234"/>
    <x v="3"/>
    <m/>
    <x v="1"/>
    <s v="유즈 솔리드퍼퓸 - 30ml향=커플세트"/>
    <n v="8"/>
    <x v="0"/>
    <x v="3"/>
    <n v="210101"/>
    <m/>
    <n v="470400"/>
  </r>
  <r>
    <x v="234"/>
    <x v="3"/>
    <m/>
    <x v="1"/>
    <s v="유즈 솔리드퍼퓸 - 30ml향=커플세트(이그나이트 + 스테이포에버), 세트 선택=1 SET"/>
    <n v="6"/>
    <x v="0"/>
    <x v="3"/>
    <n v="210101"/>
    <m/>
    <n v="352800"/>
  </r>
  <r>
    <x v="234"/>
    <x v="3"/>
    <m/>
    <x v="1"/>
    <s v="유즈 솔리드퍼퓸 - 30ml향=커플세트"/>
    <n v="1"/>
    <x v="0"/>
    <x v="3"/>
    <n v="210101"/>
    <m/>
    <n v="58800"/>
  </r>
  <r>
    <x v="234"/>
    <x v="3"/>
    <m/>
    <x v="1"/>
    <s v="유즈 솔리드퍼퓸 - 30ml향=커플세트(이그나이트 + 스테이포에버), 세트 선택=2 SET (42% 할인)"/>
    <n v="1"/>
    <x v="0"/>
    <x v="3"/>
    <n v="210101"/>
    <m/>
    <n v="58800"/>
  </r>
  <r>
    <x v="234"/>
    <x v="3"/>
    <m/>
    <x v="1"/>
    <s v="유즈 스테이포에버 솔리드퍼퓸 002제품선택=스테이포에버 1개"/>
    <n v="417"/>
    <x v="0"/>
    <x v="2"/>
    <n v="210101"/>
    <m/>
    <n v="14178000"/>
  </r>
  <r>
    <x v="234"/>
    <x v="3"/>
    <m/>
    <x v="1"/>
    <s v="유즈 스테이포에버 솔리드퍼퓸 002제품선택=best"/>
    <n v="87"/>
    <x v="0"/>
    <x v="2"/>
    <n v="210101"/>
    <m/>
    <n v="2958000"/>
  </r>
  <r>
    <x v="234"/>
    <x v="3"/>
    <m/>
    <x v="1"/>
    <s v="유즈 스테이포에버 솔리드퍼퓸 002제품선택=best스테이포에버 2개[28% 할인]"/>
    <n v="120"/>
    <x v="0"/>
    <x v="2"/>
    <n v="210101"/>
    <m/>
    <n v="4080000"/>
  </r>
  <r>
    <x v="234"/>
    <x v="3"/>
    <m/>
    <x v="1"/>
    <s v="유즈 스테이포에버 솔리드퍼퓸 002제품선택=커플추천"/>
    <n v="12"/>
    <x v="0"/>
    <x v="3"/>
    <n v="210101"/>
    <m/>
    <n v="705600"/>
  </r>
  <r>
    <x v="234"/>
    <x v="3"/>
    <m/>
    <x v="1"/>
    <s v="유즈 스테이포에버 솔리드퍼퓸 002제품선택=커플추천스테이포에버 + 이그나이트 세트"/>
    <n v="24"/>
    <x v="0"/>
    <x v="3"/>
    <n v="210101"/>
    <m/>
    <n v="1411200"/>
  </r>
  <r>
    <x v="234"/>
    <x v="3"/>
    <m/>
    <x v="1"/>
    <s v="유즈 스테이포에버 솔리드퍼퓸 002쇼핑백=선물용 쇼핑백"/>
    <n v="20"/>
    <x v="0"/>
    <x v="11"/>
    <n v="210101"/>
    <m/>
    <n v="40000"/>
  </r>
  <r>
    <x v="234"/>
    <x v="3"/>
    <m/>
    <x v="1"/>
    <s v="유즈 스테이포에버 솔리드퍼퓸 002 (11차 예약구매 진행중)제품선택=스테이포에버 1개"/>
    <n v="6"/>
    <x v="0"/>
    <x v="2"/>
    <n v="210101"/>
    <m/>
    <n v="204000"/>
  </r>
  <r>
    <x v="234"/>
    <x v="3"/>
    <m/>
    <x v="1"/>
    <s v="유즈 스테이포에버 솔리드퍼퓸 002 (11차 예약구매 진행중)제품선택=best"/>
    <n v="1"/>
    <x v="0"/>
    <x v="2"/>
    <n v="210101"/>
    <m/>
    <n v="34000"/>
  </r>
  <r>
    <x v="234"/>
    <x v="3"/>
    <m/>
    <x v="1"/>
    <s v="유즈 스테이포에버 솔리드퍼퓸 002 (11차 예약구매 진행중)제품선택=커플추천"/>
    <n v="1"/>
    <x v="0"/>
    <x v="2"/>
    <n v="210101"/>
    <m/>
    <n v="34000"/>
  </r>
  <r>
    <x v="234"/>
    <x v="3"/>
    <m/>
    <x v="1"/>
    <s v="유즈 스테이포에버 솔리드퍼퓸 002 (11차 예약구매 진행중)쇼핑백=선물용 쇼핑백"/>
    <n v="2"/>
    <x v="0"/>
    <x v="11"/>
    <n v="210101"/>
    <m/>
    <n v="4000"/>
  </r>
  <r>
    <x v="234"/>
    <x v="3"/>
    <m/>
    <x v="1"/>
    <s v="유즈 이그나이트 솔리드퍼퓸 001제품선택=이그나이트 솔리드퍼퓸 - 30ml"/>
    <n v="5"/>
    <x v="0"/>
    <x v="1"/>
    <n v="210101"/>
    <m/>
    <n v="190000"/>
  </r>
  <r>
    <x v="234"/>
    <x v="3"/>
    <m/>
    <x v="1"/>
    <s v="유즈 이그나이트 솔리드퍼퓸 001제품선택=이그나이트 2개 세트"/>
    <n v="2"/>
    <x v="0"/>
    <x v="9"/>
    <n v="210101"/>
    <m/>
    <n v="117600"/>
  </r>
  <r>
    <x v="235"/>
    <x v="4"/>
    <m/>
    <x v="1"/>
    <s v="유즈 솔리드퍼퓸 - 30ml향=이그나이트 001 SOLID PERFUME, 세트 선택=1개"/>
    <n v="1"/>
    <x v="0"/>
    <x v="1"/>
    <n v="210101"/>
    <m/>
    <n v="34000"/>
  </r>
  <r>
    <x v="235"/>
    <x v="4"/>
    <m/>
    <x v="1"/>
    <s v="유즈 솔리드퍼퓸 - 30ml향=스테이포에버 002 SOLID PERFUME, 세트 선택=1개"/>
    <n v="10"/>
    <x v="0"/>
    <x v="2"/>
    <n v="210101"/>
    <m/>
    <n v="340000"/>
  </r>
  <r>
    <x v="235"/>
    <x v="4"/>
    <m/>
    <x v="1"/>
    <s v="유즈 솔리드퍼퓸 - 30ml향=스테이포에버 002 SOLID PERFUME, 세트 선택=best"/>
    <n v="1"/>
    <x v="0"/>
    <x v="2"/>
    <n v="210101"/>
    <m/>
    <n v="34000"/>
  </r>
  <r>
    <x v="235"/>
    <x v="4"/>
    <m/>
    <x v="1"/>
    <s v="유즈 솔리드퍼퓸 - 30ml향=스테이포에버 002 SOLID PERFUME, 세트 선택=best 2개 (28% 할인)"/>
    <n v="4"/>
    <x v="0"/>
    <x v="8"/>
    <n v="210101"/>
    <m/>
    <n v="235200"/>
  </r>
  <r>
    <x v="235"/>
    <x v="4"/>
    <m/>
    <x v="1"/>
    <s v="유즈 솔리드퍼퓸 - 30ml향=커플세트"/>
    <n v="7"/>
    <x v="0"/>
    <x v="3"/>
    <n v="210101"/>
    <m/>
    <n v="411600"/>
  </r>
  <r>
    <x v="235"/>
    <x v="4"/>
    <m/>
    <x v="1"/>
    <s v="유즈 솔리드퍼퓸 - 30ml향=커플세트(이그나이트 + 스테이포에버), 세트 선택=1 SET"/>
    <n v="6"/>
    <x v="0"/>
    <x v="3"/>
    <n v="210101"/>
    <m/>
    <n v="352800"/>
  </r>
  <r>
    <x v="235"/>
    <x v="4"/>
    <m/>
    <x v="1"/>
    <s v="유즈 솔리드퍼퓸 - 30ml향=커플세트"/>
    <n v="2"/>
    <x v="0"/>
    <x v="3"/>
    <n v="210101"/>
    <m/>
    <n v="117600"/>
  </r>
  <r>
    <x v="235"/>
    <x v="4"/>
    <m/>
    <x v="1"/>
    <s v="유즈 솔리드퍼퓸 - 30ml향=커플세트(이그나이트 + 스테이포에버), 세트 선택=2 SET (42% 할인)"/>
    <n v="1"/>
    <x v="0"/>
    <x v="3"/>
    <n v="210101"/>
    <m/>
    <n v="58800"/>
  </r>
  <r>
    <x v="235"/>
    <x v="4"/>
    <m/>
    <x v="1"/>
    <s v="유즈 스테이포에버 솔리드퍼퓸 002제품선택=스테이포에버 1개"/>
    <n v="302"/>
    <x v="0"/>
    <x v="2"/>
    <n v="210101"/>
    <m/>
    <n v="10268000"/>
  </r>
  <r>
    <x v="235"/>
    <x v="4"/>
    <m/>
    <x v="1"/>
    <s v="유즈 스테이포에버 솔리드퍼퓸 002제품선택=best"/>
    <n v="66"/>
    <x v="0"/>
    <x v="2"/>
    <n v="210101"/>
    <m/>
    <n v="2244000"/>
  </r>
  <r>
    <x v="235"/>
    <x v="4"/>
    <m/>
    <x v="1"/>
    <s v="유즈 스테이포에버 솔리드퍼퓸 002제품선택=best스테이포에버 2개[28% 할인]"/>
    <n v="101"/>
    <x v="0"/>
    <x v="2"/>
    <n v="210101"/>
    <m/>
    <n v="3434000"/>
  </r>
  <r>
    <x v="235"/>
    <x v="4"/>
    <m/>
    <x v="1"/>
    <s v="유즈 스테이포에버 솔리드퍼퓸 002제품선택=커플추천"/>
    <n v="13"/>
    <x v="0"/>
    <x v="3"/>
    <n v="210101"/>
    <m/>
    <n v="764400"/>
  </r>
  <r>
    <x v="235"/>
    <x v="4"/>
    <m/>
    <x v="1"/>
    <s v="유즈 스테이포에버 솔리드퍼퓸 002제품선택=커플추천스테이포에버 + 이그나이트 세트"/>
    <n v="15"/>
    <x v="0"/>
    <x v="3"/>
    <n v="210101"/>
    <m/>
    <n v="882000"/>
  </r>
  <r>
    <x v="235"/>
    <x v="4"/>
    <m/>
    <x v="1"/>
    <s v="유즈 스테이포에버 솔리드퍼퓸 002쇼핑백=선물용 쇼핑백"/>
    <n v="16"/>
    <x v="0"/>
    <x v="11"/>
    <n v="210101"/>
    <m/>
    <n v="32000"/>
  </r>
  <r>
    <x v="235"/>
    <x v="4"/>
    <m/>
    <x v="1"/>
    <s v="유즈 스테이포에버 솔리드퍼퓸 002 (11차 예약구매 진행중)제품선택=best"/>
    <n v="1"/>
    <x v="0"/>
    <x v="2"/>
    <n v="210101"/>
    <m/>
    <n v="34000"/>
  </r>
  <r>
    <x v="235"/>
    <x v="4"/>
    <m/>
    <x v="1"/>
    <s v="유즈 이그나이트 솔리드퍼퓸 001제품선택=이그나이트 솔리드퍼퓸 - 30ml"/>
    <n v="3"/>
    <x v="0"/>
    <x v="1"/>
    <n v="210101"/>
    <m/>
    <n v="114000"/>
  </r>
  <r>
    <x v="235"/>
    <x v="4"/>
    <m/>
    <x v="1"/>
    <s v="유즈 이그나이트 솔리드퍼퓸 001제품선택=이그나이트 2개 세트"/>
    <n v="3"/>
    <x v="0"/>
    <x v="9"/>
    <n v="210101"/>
    <m/>
    <n v="176400"/>
  </r>
  <r>
    <x v="235"/>
    <x v="4"/>
    <m/>
    <x v="1"/>
    <s v="유즈 이그나이트 솔리드퍼퓸 001쇼핑백=선물용 쇼핑백"/>
    <n v="1"/>
    <x v="2"/>
    <x v="11"/>
    <n v="210101"/>
    <m/>
    <n v="2000"/>
  </r>
  <r>
    <x v="236"/>
    <x v="0"/>
    <m/>
    <x v="2"/>
    <s v="솔리드퍼퓸 스테이포에버 002 30ml"/>
    <n v="3"/>
    <x v="0"/>
    <x v="2"/>
    <n v="210101"/>
    <m/>
    <n v="0"/>
  </r>
  <r>
    <x v="236"/>
    <x v="0"/>
    <m/>
    <x v="2"/>
    <s v="유즈 스테이포에버 솔리드퍼퓸 002제품선택=커플추천"/>
    <n v="2"/>
    <x v="0"/>
    <x v="3"/>
    <n v="210101"/>
    <m/>
    <n v="0"/>
  </r>
  <r>
    <x v="236"/>
    <x v="0"/>
    <m/>
    <x v="1"/>
    <s v="솔리드퍼퓸 스테이포에버 002 30ml"/>
    <n v="3"/>
    <x v="0"/>
    <x v="2"/>
    <n v="210101"/>
    <m/>
    <n v="114000"/>
  </r>
  <r>
    <x v="236"/>
    <x v="0"/>
    <m/>
    <x v="1"/>
    <s v="유즈 솔리드퍼퓸 - 30ml향=이그나이트 001 SOLID PERFUME, 세트 선택=1개"/>
    <n v="4"/>
    <x v="0"/>
    <x v="1"/>
    <n v="210101"/>
    <m/>
    <n v="136000"/>
  </r>
  <r>
    <x v="236"/>
    <x v="0"/>
    <m/>
    <x v="1"/>
    <s v="유즈 솔리드퍼퓸 - 30ml향=스테이포에버 002 SOLID PERFUME, 세트 선택=1개"/>
    <n v="15"/>
    <x v="0"/>
    <x v="2"/>
    <n v="210101"/>
    <m/>
    <n v="510000"/>
  </r>
  <r>
    <x v="236"/>
    <x v="0"/>
    <m/>
    <x v="1"/>
    <s v="유즈 솔리드퍼퓸 - 30ml향=스테이포에버 002 SOLID PERFUME, 세트 선택=best"/>
    <n v="3"/>
    <x v="0"/>
    <x v="2"/>
    <n v="210101"/>
    <m/>
    <n v="102000"/>
  </r>
  <r>
    <x v="236"/>
    <x v="0"/>
    <m/>
    <x v="1"/>
    <s v="유즈 솔리드퍼퓸 - 30ml향=커플세트"/>
    <n v="2"/>
    <x v="0"/>
    <x v="3"/>
    <n v="210101"/>
    <m/>
    <n v="117600"/>
  </r>
  <r>
    <x v="236"/>
    <x v="0"/>
    <m/>
    <x v="1"/>
    <s v="유즈 솔리드퍼퓸 - 30ml향=커플세트(이그나이트 + 스테이포에버), 세트 선택=1 SET"/>
    <n v="7"/>
    <x v="0"/>
    <x v="3"/>
    <n v="210101"/>
    <m/>
    <n v="411600"/>
  </r>
  <r>
    <x v="236"/>
    <x v="0"/>
    <m/>
    <x v="1"/>
    <s v="유즈 솔리드퍼퓸 - 30ml향=커플세트(이그나이트 + 스테이포에버), 세트 선택=2 SET (42% 할인)"/>
    <n v="1"/>
    <x v="0"/>
    <x v="3"/>
    <n v="210101"/>
    <m/>
    <n v="58800"/>
  </r>
  <r>
    <x v="236"/>
    <x v="0"/>
    <m/>
    <x v="1"/>
    <s v="유즈 솔리드퍼퓸 - 스테이포에버 002제품선택=스테이포에버 1개"/>
    <n v="111"/>
    <x v="0"/>
    <x v="2"/>
    <n v="210101"/>
    <m/>
    <n v="3774000"/>
  </r>
  <r>
    <x v="236"/>
    <x v="0"/>
    <m/>
    <x v="1"/>
    <s v="유즈 솔리드퍼퓸 - 스테이포에버 002제품선택=best"/>
    <n v="21"/>
    <x v="0"/>
    <x v="2"/>
    <n v="210101"/>
    <m/>
    <n v="714000"/>
  </r>
  <r>
    <x v="236"/>
    <x v="0"/>
    <m/>
    <x v="1"/>
    <s v="유즈 솔리드퍼퓸 - 스테이포에버 002제품선택=best스테이포에버 2개[28% 할인]"/>
    <n v="28"/>
    <x v="0"/>
    <x v="8"/>
    <n v="210101"/>
    <m/>
    <n v="1646400"/>
  </r>
  <r>
    <x v="236"/>
    <x v="0"/>
    <m/>
    <x v="1"/>
    <s v="유즈 솔리드퍼퓸 - 스테이포에버 002제품선택=커플추천"/>
    <n v="6"/>
    <x v="0"/>
    <x v="3"/>
    <n v="210101"/>
    <m/>
    <n v="352800"/>
  </r>
  <r>
    <x v="236"/>
    <x v="0"/>
    <m/>
    <x v="1"/>
    <s v="유즈 솔리드퍼퓸 - 스테이포에버 002제품선택=커플추천스테이포에버 + 이그나이트 세트"/>
    <n v="5"/>
    <x v="0"/>
    <x v="3"/>
    <n v="210101"/>
    <m/>
    <n v="294000"/>
  </r>
  <r>
    <x v="236"/>
    <x v="0"/>
    <m/>
    <x v="1"/>
    <s v="유즈 솔리드퍼퓸 - 스테이포에버 002쇼핑백=선물용 쇼핑백"/>
    <n v="2"/>
    <x v="2"/>
    <x v="11"/>
    <n v="210101"/>
    <m/>
    <n v="4000"/>
  </r>
  <r>
    <x v="236"/>
    <x v="0"/>
    <m/>
    <x v="1"/>
    <s v="유즈 솔리드퍼퓸 - 이그나이트 001제품선택=이그나이트 솔리드퍼퓸 - 30ml"/>
    <n v="2"/>
    <x v="0"/>
    <x v="1"/>
    <n v="210101"/>
    <m/>
    <n v="68000"/>
  </r>
  <r>
    <x v="236"/>
    <x v="0"/>
    <m/>
    <x v="1"/>
    <s v="유즈 스테이포에버 솔리드퍼퓸 002제품선택=스테이포에버 1개"/>
    <n v="194"/>
    <x v="0"/>
    <x v="2"/>
    <n v="210101"/>
    <m/>
    <n v="6596000"/>
  </r>
  <r>
    <x v="236"/>
    <x v="0"/>
    <m/>
    <x v="1"/>
    <s v="유즈 스테이포에버 솔리드퍼퓸 002제품선택=best"/>
    <n v="36"/>
    <x v="0"/>
    <x v="2"/>
    <n v="210101"/>
    <m/>
    <n v="1224000"/>
  </r>
  <r>
    <x v="236"/>
    <x v="0"/>
    <m/>
    <x v="1"/>
    <s v="유즈 스테이포에버 솔리드퍼퓸 002제품선택=best스테이포에버 2개[28% 할인]"/>
    <n v="74"/>
    <x v="0"/>
    <x v="2"/>
    <n v="210101"/>
    <m/>
    <n v="2516000"/>
  </r>
  <r>
    <x v="236"/>
    <x v="0"/>
    <m/>
    <x v="1"/>
    <s v="유즈 스테이포에버 솔리드퍼퓸 002제품선택=커플추천"/>
    <n v="2"/>
    <x v="0"/>
    <x v="3"/>
    <n v="210101"/>
    <m/>
    <n v="117600"/>
  </r>
  <r>
    <x v="236"/>
    <x v="0"/>
    <m/>
    <x v="1"/>
    <s v="유즈 스테이포에버 솔리드퍼퓸 002제품선택=커플추천스테이포에버 + 이그나이트 세트"/>
    <n v="14"/>
    <x v="0"/>
    <x v="3"/>
    <n v="210101"/>
    <m/>
    <n v="823200"/>
  </r>
  <r>
    <x v="236"/>
    <x v="0"/>
    <m/>
    <x v="1"/>
    <s v="유즈 스테이포에버 솔리드퍼퓸 002쇼핑백=선물용 쇼핑백"/>
    <n v="11"/>
    <x v="0"/>
    <x v="11"/>
    <n v="210101"/>
    <m/>
    <n v="22000"/>
  </r>
  <r>
    <x v="236"/>
    <x v="0"/>
    <m/>
    <x v="1"/>
    <s v="유즈 스테이포에버 솔리드퍼퓸 002 (11차 예약구매 진행중)제품선택=스테이포에버 1개"/>
    <n v="3"/>
    <x v="0"/>
    <x v="2"/>
    <n v="210101"/>
    <m/>
    <n v="102000"/>
  </r>
  <r>
    <x v="236"/>
    <x v="0"/>
    <m/>
    <x v="1"/>
    <s v="유즈 스테이포에버 솔리드퍼퓸 002 (11차 예약구매 진행중)제품선택=best"/>
    <n v="1"/>
    <x v="0"/>
    <x v="2"/>
    <n v="210101"/>
    <m/>
    <n v="34000"/>
  </r>
  <r>
    <x v="236"/>
    <x v="0"/>
    <m/>
    <x v="1"/>
    <s v="유즈 이그나이트 솔리드퍼퓸 001제품선택=이그나이트 솔리드퍼퓸 - 30ml"/>
    <n v="4"/>
    <x v="0"/>
    <x v="1"/>
    <n v="210101"/>
    <m/>
    <n v="152000"/>
  </r>
  <r>
    <x v="236"/>
    <x v="0"/>
    <m/>
    <x v="1"/>
    <s v="유즈 이그나이트 솔리드퍼퓸 001제품선택=이그나이트 2개 세트"/>
    <n v="3"/>
    <x v="0"/>
    <x v="9"/>
    <n v="210101"/>
    <m/>
    <n v="176400"/>
  </r>
  <r>
    <x v="236"/>
    <x v="0"/>
    <m/>
    <x v="1"/>
    <s v="유즈 이그나이트 솔리드퍼퓸 001쇼핑백=선물용 쇼핑백"/>
    <n v="1"/>
    <x v="2"/>
    <x v="11"/>
    <n v="210101"/>
    <m/>
    <n v="2000"/>
  </r>
  <r>
    <x v="237"/>
    <x v="1"/>
    <m/>
    <x v="1"/>
    <s v="유즈 솔리드퍼퓸 - 30ml향=이그나이트 001 SOLID PERFUME, 세트 선택=1개"/>
    <n v="1"/>
    <x v="0"/>
    <x v="1"/>
    <n v="210101"/>
    <m/>
    <n v="34000"/>
  </r>
  <r>
    <x v="237"/>
    <x v="1"/>
    <m/>
    <x v="1"/>
    <s v="유즈 솔리드퍼퓸 - 30ml향=스테이포에버 002 SOLID PERFUME, 세트 선택=1개"/>
    <n v="9"/>
    <x v="0"/>
    <x v="2"/>
    <n v="210101"/>
    <m/>
    <n v="306000"/>
  </r>
  <r>
    <x v="237"/>
    <x v="1"/>
    <m/>
    <x v="1"/>
    <s v="유즈 솔리드퍼퓸 - 30ml향=스테이포에버 002 SOLID PERFUME, 세트 선택=best"/>
    <n v="2"/>
    <x v="0"/>
    <x v="2"/>
    <n v="210101"/>
    <m/>
    <n v="68000"/>
  </r>
  <r>
    <x v="237"/>
    <x v="1"/>
    <m/>
    <x v="1"/>
    <s v="유즈 솔리드퍼퓸 - 30ml향=스테이포에버 002 SOLID PERFUME, 세트 선택=best 2개 (28% 할인)"/>
    <n v="2"/>
    <x v="0"/>
    <x v="8"/>
    <n v="210101"/>
    <m/>
    <n v="117600"/>
  </r>
  <r>
    <x v="237"/>
    <x v="1"/>
    <m/>
    <x v="1"/>
    <s v="유즈 솔리드퍼퓸 - 30ml향=커플세트"/>
    <n v="6"/>
    <x v="0"/>
    <x v="3"/>
    <n v="210101"/>
    <m/>
    <n v="352800"/>
  </r>
  <r>
    <x v="237"/>
    <x v="1"/>
    <m/>
    <x v="1"/>
    <s v="유즈 솔리드퍼퓸 - 30ml향=커플세트(이그나이트 + 스테이포에버), 세트 선택=1 SET"/>
    <n v="2"/>
    <x v="0"/>
    <x v="3"/>
    <n v="210101"/>
    <m/>
    <n v="117600"/>
  </r>
  <r>
    <x v="237"/>
    <x v="1"/>
    <m/>
    <x v="1"/>
    <s v="유즈 솔리드퍼퓸 - 30ml향=커플세트"/>
    <n v="1"/>
    <x v="0"/>
    <x v="3"/>
    <n v="210101"/>
    <m/>
    <n v="58800"/>
  </r>
  <r>
    <x v="237"/>
    <x v="1"/>
    <m/>
    <x v="1"/>
    <s v="유즈 솔리드퍼퓸 - 스테이포에버 002제품선택=스테이포에버 1개"/>
    <n v="370"/>
    <x v="0"/>
    <x v="2"/>
    <n v="210101"/>
    <m/>
    <n v="12580000"/>
  </r>
  <r>
    <x v="237"/>
    <x v="1"/>
    <m/>
    <x v="1"/>
    <s v="유즈 솔리드퍼퓸 - 스테이포에버 002제품선택=best"/>
    <n v="61"/>
    <x v="0"/>
    <x v="2"/>
    <n v="210101"/>
    <m/>
    <n v="2074000"/>
  </r>
  <r>
    <x v="237"/>
    <x v="1"/>
    <m/>
    <x v="1"/>
    <s v="유즈 솔리드퍼퓸 - 스테이포에버 002제품선택=best스테이포에버 2개[28% 할인]"/>
    <n v="112"/>
    <x v="0"/>
    <x v="8"/>
    <n v="210101"/>
    <m/>
    <n v="6585600"/>
  </r>
  <r>
    <x v="237"/>
    <x v="1"/>
    <m/>
    <x v="1"/>
    <s v="유즈 솔리드퍼퓸 - 스테이포에버 002제품선택=커플추천"/>
    <n v="10"/>
    <x v="0"/>
    <x v="3"/>
    <n v="210101"/>
    <m/>
    <n v="588000"/>
  </r>
  <r>
    <x v="237"/>
    <x v="1"/>
    <m/>
    <x v="1"/>
    <s v="유즈 솔리드퍼퓸 - 스테이포에버 002제품선택=커플추천스테이포에버 + 이그나이트 세트"/>
    <n v="18"/>
    <x v="0"/>
    <x v="3"/>
    <n v="210101"/>
    <m/>
    <n v="1058400"/>
  </r>
  <r>
    <x v="237"/>
    <x v="1"/>
    <m/>
    <x v="1"/>
    <s v="유즈 솔리드퍼퓸 - 스테이포에버 002쇼핑백=선물용 쇼핑백"/>
    <n v="13"/>
    <x v="2"/>
    <x v="11"/>
    <n v="210101"/>
    <m/>
    <n v="26000"/>
  </r>
  <r>
    <x v="237"/>
    <x v="1"/>
    <m/>
    <x v="1"/>
    <s v="유즈 솔리드퍼퓸 - 이그나이트 001제품선택=이그나이트 솔리드퍼퓸 - 30ml"/>
    <n v="3"/>
    <x v="0"/>
    <x v="1"/>
    <n v="210101"/>
    <m/>
    <n v="102000"/>
  </r>
  <r>
    <x v="237"/>
    <x v="1"/>
    <m/>
    <x v="1"/>
    <s v="유즈 솔리드퍼퓸 - 이그나이트 001제품선택=이그나이트 2개 세트"/>
    <n v="3"/>
    <x v="0"/>
    <x v="9"/>
    <n v="210101"/>
    <m/>
    <n v="176400"/>
  </r>
  <r>
    <x v="237"/>
    <x v="1"/>
    <m/>
    <x v="1"/>
    <s v="유즈 스테이포에버 솔리드퍼퓸 002제품선택=스테이포에버 1개"/>
    <n v="4"/>
    <x v="0"/>
    <x v="2"/>
    <n v="210101"/>
    <m/>
    <n v="136000"/>
  </r>
  <r>
    <x v="238"/>
    <x v="5"/>
    <m/>
    <x v="1"/>
    <s v="SHOPPING BAG"/>
    <n v="1"/>
    <x v="2"/>
    <x v="11"/>
    <n v="210101"/>
    <m/>
    <n v="2000"/>
  </r>
  <r>
    <x v="238"/>
    <x v="5"/>
    <m/>
    <x v="1"/>
    <s v="유즈 솔리드퍼퓸 - 30ml향=이그나이트 001 SOLID PERFUME, 세트 선택=1개"/>
    <n v="2"/>
    <x v="0"/>
    <x v="1"/>
    <n v="210101"/>
    <m/>
    <n v="68000"/>
  </r>
  <r>
    <x v="238"/>
    <x v="5"/>
    <m/>
    <x v="1"/>
    <s v="유즈 솔리드퍼퓸 - 30ml향=스테이포에버 002 SOLID PERFUME, 세트 선택=1개"/>
    <n v="11"/>
    <x v="0"/>
    <x v="2"/>
    <n v="210101"/>
    <m/>
    <n v="374000"/>
  </r>
  <r>
    <x v="238"/>
    <x v="5"/>
    <m/>
    <x v="1"/>
    <s v="유즈 솔리드퍼퓸 - 30ml향=스테이포에버 002 SOLID PERFUME, 세트 선택=best"/>
    <n v="2"/>
    <x v="0"/>
    <x v="2"/>
    <n v="210101"/>
    <m/>
    <n v="68000"/>
  </r>
  <r>
    <x v="238"/>
    <x v="5"/>
    <m/>
    <x v="1"/>
    <s v="유즈 솔리드퍼퓸 - 30ml향=스테이포에버 002 SOLID PERFUME, 세트 선택=best 2개 (28% 할인)"/>
    <n v="4"/>
    <x v="0"/>
    <x v="8"/>
    <n v="210101"/>
    <m/>
    <n v="235200"/>
  </r>
  <r>
    <x v="238"/>
    <x v="5"/>
    <m/>
    <x v="1"/>
    <s v="유즈 솔리드퍼퓸 - 30ml향=커플세트"/>
    <n v="7"/>
    <x v="0"/>
    <x v="3"/>
    <n v="210101"/>
    <m/>
    <n v="411600"/>
  </r>
  <r>
    <x v="238"/>
    <x v="5"/>
    <m/>
    <x v="1"/>
    <s v="유즈 솔리드퍼퓸 - 30ml향=커플세트(이그나이트 + 스테이포에버), 세트 선택=1 SET"/>
    <n v="5"/>
    <x v="0"/>
    <x v="3"/>
    <n v="210101"/>
    <m/>
    <n v="294000"/>
  </r>
  <r>
    <x v="238"/>
    <x v="5"/>
    <m/>
    <x v="1"/>
    <s v="유즈 솔리드퍼퓸 - 30ml향=커플세트(이그나이트 + 스테이포에버), 세트 선택=2 SET (42% 할인)"/>
    <n v="1"/>
    <x v="0"/>
    <x v="3"/>
    <n v="210101"/>
    <m/>
    <n v="58800"/>
  </r>
  <r>
    <x v="238"/>
    <x v="5"/>
    <m/>
    <x v="1"/>
    <s v="유즈 솔리드퍼퓸 - 스테이포에버 002제품선택=스테이포에버 1개"/>
    <n v="421"/>
    <x v="0"/>
    <x v="2"/>
    <n v="210101"/>
    <m/>
    <n v="14314000"/>
  </r>
  <r>
    <x v="238"/>
    <x v="5"/>
    <m/>
    <x v="1"/>
    <s v="유즈 솔리드퍼퓸 - 스테이포에버 002제품선택=best"/>
    <n v="99"/>
    <x v="0"/>
    <x v="2"/>
    <n v="210101"/>
    <m/>
    <n v="3366000"/>
  </r>
  <r>
    <x v="238"/>
    <x v="5"/>
    <m/>
    <x v="1"/>
    <s v="유즈 솔리드퍼퓸 - 스테이포에버 002제품선택=best스테이포에버 2개[28% 할인]"/>
    <n v="116"/>
    <x v="0"/>
    <x v="8"/>
    <n v="210101"/>
    <m/>
    <n v="6820800"/>
  </r>
  <r>
    <x v="238"/>
    <x v="5"/>
    <m/>
    <x v="1"/>
    <s v="유즈 솔리드퍼퓸 - 스테이포에버 002제품선택=커플추천"/>
    <n v="13"/>
    <x v="0"/>
    <x v="3"/>
    <n v="210101"/>
    <m/>
    <n v="764400"/>
  </r>
  <r>
    <x v="238"/>
    <x v="5"/>
    <m/>
    <x v="1"/>
    <s v="유즈 솔리드퍼퓸 - 스테이포에버 002제품선택=커플추천스테이포에버 + 이그나이트 세트"/>
    <n v="17"/>
    <x v="0"/>
    <x v="3"/>
    <n v="210101"/>
    <m/>
    <n v="999600"/>
  </r>
  <r>
    <x v="238"/>
    <x v="5"/>
    <m/>
    <x v="1"/>
    <s v="유즈 솔리드퍼퓸 - 스테이포에버 002쇼핑백=선물용 쇼핑백"/>
    <n v="11"/>
    <x v="2"/>
    <x v="11"/>
    <n v="210101"/>
    <m/>
    <n v="22000"/>
  </r>
  <r>
    <x v="238"/>
    <x v="5"/>
    <m/>
    <x v="1"/>
    <s v="유즈 솔리드퍼퓸 - 이그나이트 001제품선택=이그나이트 솔리드퍼퓸 - 30ml"/>
    <n v="4"/>
    <x v="0"/>
    <x v="1"/>
    <n v="210101"/>
    <m/>
    <n v="136000"/>
  </r>
  <r>
    <x v="238"/>
    <x v="5"/>
    <m/>
    <x v="1"/>
    <s v="유즈 솔리드퍼퓸 - 이그나이트 001제품선택=이그나이트 2개 세트"/>
    <n v="2"/>
    <x v="0"/>
    <x v="9"/>
    <n v="210101"/>
    <m/>
    <n v="117600"/>
  </r>
  <r>
    <x v="238"/>
    <x v="5"/>
    <m/>
    <x v="1"/>
    <s v="유즈 스테이포에버 솔리드퍼퓸 002 (11차 예약구매 진행중)제품선택=스테이포에버 1개"/>
    <n v="2"/>
    <x v="0"/>
    <x v="2"/>
    <n v="210101"/>
    <m/>
    <n v="68000"/>
  </r>
  <r>
    <x v="239"/>
    <x v="6"/>
    <m/>
    <x v="1"/>
    <s v="솔리드퍼퓸 스테이포에버 002 30ml"/>
    <n v="2"/>
    <x v="0"/>
    <x v="2"/>
    <n v="210101"/>
    <m/>
    <n v="76000"/>
  </r>
  <r>
    <x v="239"/>
    <x v="6"/>
    <m/>
    <x v="1"/>
    <s v="유즈 솔리드퍼퓸 - 30ml향=이그나이트 001 SOLID PERFUME, 세트 선택=1개"/>
    <n v="3"/>
    <x v="0"/>
    <x v="1"/>
    <n v="210101"/>
    <m/>
    <n v="102000"/>
  </r>
  <r>
    <x v="239"/>
    <x v="6"/>
    <m/>
    <x v="1"/>
    <s v="유즈 솔리드퍼퓸 - 30ml향=스테이포에버 002 SOLID PERFUME, 세트 선택=1개"/>
    <n v="14"/>
    <x v="0"/>
    <x v="2"/>
    <n v="210101"/>
    <m/>
    <n v="476000"/>
  </r>
  <r>
    <x v="239"/>
    <x v="6"/>
    <m/>
    <x v="1"/>
    <s v="유즈 솔리드퍼퓸 - 30ml향=스테이포에버 002 SOLID PERFUME, 세트 선택=best 2개 (28% 할인)"/>
    <n v="3"/>
    <x v="0"/>
    <x v="8"/>
    <n v="210101"/>
    <m/>
    <n v="176400"/>
  </r>
  <r>
    <x v="239"/>
    <x v="6"/>
    <m/>
    <x v="1"/>
    <s v="유즈 솔리드퍼퓸 - 30ml향=커플세트"/>
    <n v="1"/>
    <x v="0"/>
    <x v="3"/>
    <n v="210101"/>
    <m/>
    <n v="58800"/>
  </r>
  <r>
    <x v="239"/>
    <x v="6"/>
    <m/>
    <x v="1"/>
    <s v="유즈 솔리드퍼퓸 - 30ml향=커플세트(이그나이트 + 스테이포에버), 세트 선택=1 SET"/>
    <n v="5"/>
    <x v="0"/>
    <x v="3"/>
    <n v="210101"/>
    <m/>
    <n v="294000"/>
  </r>
  <r>
    <x v="239"/>
    <x v="6"/>
    <m/>
    <x v="1"/>
    <s v="유즈 솔리드퍼퓸 - 30ml향=커플세트"/>
    <n v="2"/>
    <x v="0"/>
    <x v="3"/>
    <n v="210101"/>
    <m/>
    <n v="117600"/>
  </r>
  <r>
    <x v="239"/>
    <x v="6"/>
    <m/>
    <x v="1"/>
    <s v="유즈 솔리드퍼퓸 - 30ml향=커플세트(이그나이트 + 스테이포에버), 세트 선택=2 SET (42% 할인)"/>
    <n v="1"/>
    <x v="0"/>
    <x v="3"/>
    <n v="210101"/>
    <m/>
    <n v="58800"/>
  </r>
  <r>
    <x v="239"/>
    <x v="6"/>
    <m/>
    <x v="1"/>
    <s v="유즈 솔리드퍼퓸 - 스테이포에버 002제품선택=스테이포에버 1개"/>
    <n v="323"/>
    <x v="0"/>
    <x v="2"/>
    <n v="210101"/>
    <m/>
    <n v="10982000"/>
  </r>
  <r>
    <x v="239"/>
    <x v="6"/>
    <m/>
    <x v="1"/>
    <s v="유즈 솔리드퍼퓸 - 스테이포에버 002제품선택=best"/>
    <n v="62"/>
    <x v="0"/>
    <x v="2"/>
    <n v="210101"/>
    <m/>
    <n v="2108000"/>
  </r>
  <r>
    <x v="239"/>
    <x v="6"/>
    <m/>
    <x v="1"/>
    <s v="유즈 솔리드퍼퓸 - 스테이포에버 002제품선택=best스테이포에버 2개[28% 할인]"/>
    <n v="90"/>
    <x v="0"/>
    <x v="8"/>
    <n v="210101"/>
    <m/>
    <n v="5292000"/>
  </r>
  <r>
    <x v="239"/>
    <x v="6"/>
    <m/>
    <x v="1"/>
    <s v="유즈 솔리드퍼퓸 - 스테이포에버 002제품선택=커플추천"/>
    <n v="5"/>
    <x v="0"/>
    <x v="3"/>
    <n v="210101"/>
    <m/>
    <n v="294000"/>
  </r>
  <r>
    <x v="239"/>
    <x v="6"/>
    <m/>
    <x v="1"/>
    <s v="유즈 솔리드퍼퓸 - 스테이포에버 002제품선택=커플추천스테이포에버 + 이그나이트 세트"/>
    <n v="24"/>
    <x v="0"/>
    <x v="3"/>
    <n v="210101"/>
    <m/>
    <n v="1411200"/>
  </r>
  <r>
    <x v="239"/>
    <x v="6"/>
    <m/>
    <x v="1"/>
    <s v="유즈 솔리드퍼퓸 - 스테이포에버 002쇼핑백=선물용 쇼핑백"/>
    <n v="19"/>
    <x v="2"/>
    <x v="11"/>
    <n v="210101"/>
    <m/>
    <n v="38000"/>
  </r>
  <r>
    <x v="239"/>
    <x v="6"/>
    <m/>
    <x v="1"/>
    <s v="유즈 솔리드퍼퓸 - 이그나이트 001제품선택=이그나이트 솔리드퍼퓸 - 30ml"/>
    <n v="5"/>
    <x v="0"/>
    <x v="1"/>
    <n v="210101"/>
    <m/>
    <n v="170000"/>
  </r>
  <r>
    <x v="239"/>
    <x v="6"/>
    <m/>
    <x v="1"/>
    <s v="유즈 스테이포에버 솔리드퍼퓸 002제품선택=스테이포에버 1개"/>
    <n v="2"/>
    <x v="0"/>
    <x v="2"/>
    <n v="210101"/>
    <m/>
    <n v="68000"/>
  </r>
  <r>
    <x v="239"/>
    <x v="6"/>
    <m/>
    <x v="1"/>
    <s v="유즈 스테이포에버 솔리드퍼퓸 002제품선택=best"/>
    <n v="1"/>
    <x v="0"/>
    <x v="2"/>
    <n v="210101"/>
    <m/>
    <n v="34000"/>
  </r>
  <r>
    <x v="240"/>
    <x v="2"/>
    <m/>
    <x v="1"/>
    <s v="유즈 솔리드퍼퓸 - 30ml향=이그나이트 001 SOLID PERFUME, 세트 선택=1개"/>
    <n v="2"/>
    <x v="0"/>
    <x v="1"/>
    <n v="210101"/>
    <m/>
    <n v="68000"/>
  </r>
  <r>
    <x v="240"/>
    <x v="2"/>
    <m/>
    <x v="1"/>
    <s v="유즈 솔리드퍼퓸 - 30ml향=스테이포에버 002 SOLID PERFUME, 세트 선택=1개"/>
    <n v="15"/>
    <x v="0"/>
    <x v="2"/>
    <n v="210101"/>
    <m/>
    <n v="510000"/>
  </r>
  <r>
    <x v="240"/>
    <x v="2"/>
    <m/>
    <x v="1"/>
    <s v="유즈 솔리드퍼퓸 - 30ml향=스테이포에버 002 SOLID PERFUME, 세트 선택=best"/>
    <n v="2"/>
    <x v="0"/>
    <x v="2"/>
    <n v="210101"/>
    <m/>
    <n v="68000"/>
  </r>
  <r>
    <x v="240"/>
    <x v="2"/>
    <m/>
    <x v="1"/>
    <s v="유즈 솔리드퍼퓸 - 30ml향=스테이포에버 002 SOLID PERFUME, 세트 선택=best 2개 (28% 할인)"/>
    <n v="4"/>
    <x v="0"/>
    <x v="8"/>
    <n v="210101"/>
    <m/>
    <n v="235200"/>
  </r>
  <r>
    <x v="240"/>
    <x v="2"/>
    <m/>
    <x v="1"/>
    <s v="유즈 솔리드퍼퓸 - 30ml향=커플세트(이그나이트 + 스테이포에버), 세트 선택=1 SET"/>
    <n v="9"/>
    <x v="0"/>
    <x v="3"/>
    <n v="210101"/>
    <m/>
    <n v="529200"/>
  </r>
  <r>
    <x v="240"/>
    <x v="2"/>
    <m/>
    <x v="1"/>
    <s v="유즈 솔리드퍼퓸 - 스테이포에버 002제품선택=스테이포에버 1개"/>
    <n v="282"/>
    <x v="0"/>
    <x v="2"/>
    <n v="210101"/>
    <m/>
    <n v="9588000"/>
  </r>
  <r>
    <x v="240"/>
    <x v="2"/>
    <m/>
    <x v="1"/>
    <s v="유즈 솔리드퍼퓸 - 스테이포에버 002제품선택=best"/>
    <n v="23"/>
    <x v="0"/>
    <x v="2"/>
    <n v="210101"/>
    <m/>
    <n v="782000"/>
  </r>
  <r>
    <x v="240"/>
    <x v="2"/>
    <m/>
    <x v="1"/>
    <s v="유즈 솔리드퍼퓸 - 스테이포에버 002제품선택=best스테이포에버 2개[28% 할인]"/>
    <n v="102"/>
    <x v="0"/>
    <x v="8"/>
    <n v="210101"/>
    <m/>
    <n v="5997600"/>
  </r>
  <r>
    <x v="240"/>
    <x v="2"/>
    <m/>
    <x v="1"/>
    <s v="유즈 솔리드퍼퓸 - 스테이포에버 002제품선택=커플추천"/>
    <n v="1"/>
    <x v="0"/>
    <x v="3"/>
    <n v="210101"/>
    <m/>
    <n v="58800"/>
  </r>
  <r>
    <x v="240"/>
    <x v="2"/>
    <m/>
    <x v="1"/>
    <s v="유즈 솔리드퍼퓸 - 스테이포에버 002제품선택=커플추천스테이포에버 + 이그나이트 세트"/>
    <n v="11"/>
    <x v="0"/>
    <x v="3"/>
    <n v="210101"/>
    <m/>
    <n v="646800"/>
  </r>
  <r>
    <x v="240"/>
    <x v="2"/>
    <m/>
    <x v="1"/>
    <s v="유즈 솔리드퍼퓸 - 스테이포에버 002쇼핑백=선물용 쇼핑백"/>
    <n v="13"/>
    <x v="2"/>
    <x v="11"/>
    <n v="210101"/>
    <m/>
    <n v="26000"/>
  </r>
  <r>
    <x v="240"/>
    <x v="2"/>
    <m/>
    <x v="1"/>
    <s v="유즈 솔리드퍼퓸 - 이그나이트 001제품선택=이그나이트 솔리드퍼퓸 - 30ml"/>
    <n v="2"/>
    <x v="0"/>
    <x v="1"/>
    <n v="210101"/>
    <m/>
    <n v="68000"/>
  </r>
  <r>
    <x v="240"/>
    <x v="2"/>
    <m/>
    <x v="1"/>
    <s v="유즈 솔리드퍼퓸 - 이그나이트 001제품선택=이그나이트 2개 세트"/>
    <n v="1"/>
    <x v="0"/>
    <x v="9"/>
    <n v="210101"/>
    <m/>
    <n v="58800"/>
  </r>
  <r>
    <x v="240"/>
    <x v="2"/>
    <m/>
    <x v="1"/>
    <s v="유즈 스테이포에버 솔리드퍼퓸 002제품선택=스테이포에버 1개"/>
    <n v="2"/>
    <x v="0"/>
    <x v="2"/>
    <n v="210101"/>
    <m/>
    <n v="68000"/>
  </r>
  <r>
    <x v="240"/>
    <x v="2"/>
    <m/>
    <x v="1"/>
    <s v="유즈 스테이포에버 솔리드퍼퓸 002제품선택=best스테이포에버 2개[28% 할인]"/>
    <n v="1"/>
    <x v="0"/>
    <x v="2"/>
    <n v="210101"/>
    <m/>
    <n v="34000"/>
  </r>
  <r>
    <x v="241"/>
    <x v="3"/>
    <m/>
    <x v="1"/>
    <s v="유즈 솔리드퍼퓸 - 30ml향=스테이포에버 002 SOLID PERFUME, 세트 선택=1개"/>
    <n v="15"/>
    <x v="0"/>
    <x v="2"/>
    <n v="210101"/>
    <m/>
    <n v="510000"/>
  </r>
  <r>
    <x v="241"/>
    <x v="3"/>
    <m/>
    <x v="1"/>
    <s v="유즈 솔리드퍼퓸 - 30ml향=스테이포에버 002 SOLID PERFUME, 세트 선택=best 2개 (28% 할인)"/>
    <n v="5"/>
    <x v="0"/>
    <x v="8"/>
    <n v="210101"/>
    <m/>
    <n v="294000"/>
  </r>
  <r>
    <x v="241"/>
    <x v="3"/>
    <m/>
    <x v="1"/>
    <s v="유즈 솔리드퍼퓸 - 30ml향=커플세트(이그나이트 + 스테이포에버), 세트 선택=1 SET"/>
    <n v="12"/>
    <x v="0"/>
    <x v="3"/>
    <n v="210101"/>
    <m/>
    <n v="705600"/>
  </r>
  <r>
    <x v="241"/>
    <x v="3"/>
    <m/>
    <x v="1"/>
    <s v="유즈 솔리드퍼퓸 - 30ml향=커플세트(이그나이트 + 스테이포에버), 세트 선택=2 SET (42% 할인)"/>
    <n v="1"/>
    <x v="0"/>
    <x v="3"/>
    <n v="210101"/>
    <m/>
    <n v="58800"/>
  </r>
  <r>
    <x v="241"/>
    <x v="3"/>
    <m/>
    <x v="1"/>
    <s v="유즈 솔리드퍼퓸 - 스테이포에버 002제품선택=스테이포에버 1개"/>
    <n v="283"/>
    <x v="0"/>
    <x v="2"/>
    <n v="210101"/>
    <m/>
    <n v="9622000"/>
  </r>
  <r>
    <x v="241"/>
    <x v="3"/>
    <m/>
    <x v="1"/>
    <s v="유즈 솔리드퍼퓸 - 스테이포에버 002제품선택=best스테이포에버 2개[28% 할인]"/>
    <n v="126"/>
    <x v="0"/>
    <x v="8"/>
    <n v="210101"/>
    <m/>
    <n v="7408800"/>
  </r>
  <r>
    <x v="241"/>
    <x v="3"/>
    <m/>
    <x v="1"/>
    <s v="유즈 솔리드퍼퓸 - 스테이포에버 002제품선택=커플추천스테이포에버 + 이그나이트 세트"/>
    <n v="15"/>
    <x v="0"/>
    <x v="3"/>
    <n v="210101"/>
    <m/>
    <n v="882000"/>
  </r>
  <r>
    <x v="241"/>
    <x v="3"/>
    <m/>
    <x v="1"/>
    <s v="유즈 솔리드퍼퓸 - 스테이포에버 002쇼핑백=선물용 쇼핑백"/>
    <n v="12"/>
    <x v="2"/>
    <x v="11"/>
    <n v="210101"/>
    <m/>
    <n v="24000"/>
  </r>
  <r>
    <x v="241"/>
    <x v="3"/>
    <m/>
    <x v="1"/>
    <s v="유즈 솔리드퍼퓸 - 이그나이트 001제품선택=이그나이트 솔리드퍼퓸 - 30ml"/>
    <n v="4"/>
    <x v="0"/>
    <x v="1"/>
    <n v="210101"/>
    <m/>
    <n v="136000"/>
  </r>
  <r>
    <x v="241"/>
    <x v="3"/>
    <m/>
    <x v="1"/>
    <s v="유즈 솔리드퍼퓸 - 이그나이트 001제품선택=이그나이트 2개 세트"/>
    <n v="1"/>
    <x v="0"/>
    <x v="9"/>
    <n v="210101"/>
    <m/>
    <n v="58800"/>
  </r>
  <r>
    <x v="241"/>
    <x v="3"/>
    <m/>
    <x v="1"/>
    <s v="유즈 솔리드퍼퓸 - 이그나이트 001쇼핑백=선물용 쇼핑백"/>
    <n v="1"/>
    <x v="2"/>
    <x v="11"/>
    <n v="210101"/>
    <m/>
    <n v="2000"/>
  </r>
  <r>
    <x v="241"/>
    <x v="3"/>
    <m/>
    <x v="1"/>
    <s v="유즈 스테이포에버 솔리드퍼퓸 002제품선택=스테이포에버 1개"/>
    <n v="1"/>
    <x v="0"/>
    <x v="2"/>
    <n v="210101"/>
    <m/>
    <n v="34000"/>
  </r>
  <r>
    <x v="241"/>
    <x v="3"/>
    <m/>
    <x v="1"/>
    <s v="유즈 스테이포에버 솔리드퍼퓸 002제품선택=best스테이포에버 2개[28% 할인]"/>
    <n v="2"/>
    <x v="0"/>
    <x v="2"/>
    <n v="210101"/>
    <m/>
    <n v="68000"/>
  </r>
  <r>
    <x v="242"/>
    <x v="4"/>
    <m/>
    <x v="2"/>
    <s v="솔리드퍼퓸 스테이포에버 002 30ml"/>
    <n v="1"/>
    <x v="0"/>
    <x v="2"/>
    <n v="210101"/>
    <m/>
    <n v="0"/>
  </r>
  <r>
    <x v="242"/>
    <x v="4"/>
    <m/>
    <x v="1"/>
    <s v="솔리드퍼퓸 스테이포에버 002 30ml"/>
    <n v="1"/>
    <x v="0"/>
    <x v="2"/>
    <n v="210101"/>
    <m/>
    <n v="38000"/>
  </r>
  <r>
    <x v="242"/>
    <x v="4"/>
    <m/>
    <x v="1"/>
    <s v="유즈 솔리드퍼퓸 - 30ml향=이그나이트 001 SOLID PERFUME, 세트 선택=1개"/>
    <n v="1"/>
    <x v="0"/>
    <x v="1"/>
    <n v="210101"/>
    <m/>
    <n v="34000"/>
  </r>
  <r>
    <x v="242"/>
    <x v="4"/>
    <m/>
    <x v="1"/>
    <s v="유즈 솔리드퍼퓸 - 30ml향=스테이포에버 002 SOLID PERFUME, 세트 선택=1개"/>
    <n v="14"/>
    <x v="0"/>
    <x v="2"/>
    <n v="210101"/>
    <m/>
    <n v="476000"/>
  </r>
  <r>
    <x v="242"/>
    <x v="4"/>
    <m/>
    <x v="1"/>
    <s v="유즈 솔리드퍼퓸 - 30ml향=스테이포에버 002 SOLID PERFUME, 세트 선택=best 2개 (28% 할인)"/>
    <n v="6"/>
    <x v="0"/>
    <x v="8"/>
    <n v="210101"/>
    <m/>
    <n v="352800"/>
  </r>
  <r>
    <x v="242"/>
    <x v="4"/>
    <m/>
    <x v="1"/>
    <s v="유즈 솔리드퍼퓸 - 30ml향=커플세트(이그나이트 + 스테이포에버), 세트 선택=1 SET"/>
    <n v="7"/>
    <x v="0"/>
    <x v="3"/>
    <n v="210101"/>
    <m/>
    <n v="411600"/>
  </r>
  <r>
    <x v="242"/>
    <x v="4"/>
    <m/>
    <x v="1"/>
    <s v="유즈 솔리드퍼퓸 - 스테이포에버 002제품선택=스테이포에버 1개"/>
    <n v="290"/>
    <x v="0"/>
    <x v="2"/>
    <n v="210101"/>
    <m/>
    <n v="9860000"/>
  </r>
  <r>
    <x v="242"/>
    <x v="4"/>
    <m/>
    <x v="1"/>
    <s v="유즈 솔리드퍼퓸 - 스테이포에버 002제품선택=best스테이포에버 2개[28% 할인]"/>
    <n v="139"/>
    <x v="0"/>
    <x v="8"/>
    <n v="210101"/>
    <m/>
    <n v="8173200"/>
  </r>
  <r>
    <x v="242"/>
    <x v="4"/>
    <m/>
    <x v="1"/>
    <s v="유즈 솔리드퍼퓸 - 스테이포에버 002제품선택=커플추천스테이포에버 + 이그나이트 세트"/>
    <n v="20"/>
    <x v="0"/>
    <x v="3"/>
    <n v="210101"/>
    <m/>
    <n v="1176000"/>
  </r>
  <r>
    <x v="242"/>
    <x v="4"/>
    <m/>
    <x v="1"/>
    <s v="유즈 솔리드퍼퓸 - 스테이포에버 002쇼핑백=선물용 쇼핑백"/>
    <n v="16"/>
    <x v="2"/>
    <x v="11"/>
    <n v="210101"/>
    <m/>
    <n v="32000"/>
  </r>
  <r>
    <x v="242"/>
    <x v="4"/>
    <m/>
    <x v="1"/>
    <s v="유즈 솔리드퍼퓸 - 이그나이트 001제품선택=이그나이트 솔리드퍼퓸 - 30ml"/>
    <n v="1"/>
    <x v="0"/>
    <x v="1"/>
    <n v="210101"/>
    <m/>
    <n v="34000"/>
  </r>
  <r>
    <x v="242"/>
    <x v="4"/>
    <m/>
    <x v="1"/>
    <s v="유즈 솔리드퍼퓸 - 이그나이트 001제품선택=이그나이트 2개 세트"/>
    <n v="1"/>
    <x v="0"/>
    <x v="9"/>
    <n v="210101"/>
    <m/>
    <n v="58800"/>
  </r>
  <r>
    <x v="243"/>
    <x v="0"/>
    <m/>
    <x v="1"/>
    <s v="솔리드퍼퓸 스테이포에버 002 30ml"/>
    <n v="4"/>
    <x v="0"/>
    <x v="2"/>
    <n v="210101"/>
    <m/>
    <n v="152000"/>
  </r>
  <r>
    <x v="243"/>
    <x v="0"/>
    <m/>
    <x v="1"/>
    <s v="유즈 솔리드퍼퓸 - 30ml향=스테이포에버 002 SOLID PERFUME, 세트 선택=1개"/>
    <n v="13"/>
    <x v="0"/>
    <x v="2"/>
    <n v="210101"/>
    <m/>
    <n v="442000"/>
  </r>
  <r>
    <x v="243"/>
    <x v="0"/>
    <m/>
    <x v="1"/>
    <s v="유즈 솔리드퍼퓸 - 30ml향=스테이포에버 002 SOLID PERFUME, 세트 선택=best 2개 (28% 할인)"/>
    <n v="6"/>
    <x v="0"/>
    <x v="8"/>
    <n v="210101"/>
    <m/>
    <n v="352800"/>
  </r>
  <r>
    <x v="243"/>
    <x v="0"/>
    <m/>
    <x v="1"/>
    <s v="유즈 솔리드퍼퓸 - 30ml향=커플세트(이그나이트 + 스테이포에버), 세트 선택=1 SET"/>
    <n v="10"/>
    <x v="0"/>
    <x v="3"/>
    <n v="210101"/>
    <m/>
    <n v="588000"/>
  </r>
  <r>
    <x v="243"/>
    <x v="0"/>
    <m/>
    <x v="1"/>
    <s v="유즈 솔리드퍼퓸 - 30ml향=커플세트(이그나이트 + 스테이포에버), 세트 선택=2 SET (42% 할인)"/>
    <n v="1"/>
    <x v="0"/>
    <x v="3"/>
    <n v="210101"/>
    <m/>
    <n v="58800"/>
  </r>
  <r>
    <x v="243"/>
    <x v="0"/>
    <m/>
    <x v="1"/>
    <s v="유즈 솔리드퍼퓸 - 스테이포에버 002제품선택=스테이포에버 1개"/>
    <n v="242"/>
    <x v="0"/>
    <x v="2"/>
    <n v="210101"/>
    <m/>
    <n v="8228000"/>
  </r>
  <r>
    <x v="243"/>
    <x v="0"/>
    <m/>
    <x v="1"/>
    <s v="유즈 솔리드퍼퓸 - 스테이포에버 002제품선택=best스테이포에버 2개[28% 할인]"/>
    <n v="105"/>
    <x v="0"/>
    <x v="8"/>
    <n v="210101"/>
    <m/>
    <n v="6174000"/>
  </r>
  <r>
    <x v="243"/>
    <x v="0"/>
    <m/>
    <x v="1"/>
    <s v="유즈 솔리드퍼퓸 - 스테이포에버 002제품선택=커플추천스테이포에버 + 이그나이트 세트"/>
    <n v="13"/>
    <x v="0"/>
    <x v="3"/>
    <n v="210101"/>
    <m/>
    <n v="764400"/>
  </r>
  <r>
    <x v="243"/>
    <x v="0"/>
    <m/>
    <x v="1"/>
    <s v="유즈 솔리드퍼퓸 - 스테이포에버 002쇼핑백=선물용 쇼핑백"/>
    <n v="6"/>
    <x v="2"/>
    <x v="11"/>
    <n v="210101"/>
    <m/>
    <n v="12000"/>
  </r>
  <r>
    <x v="243"/>
    <x v="0"/>
    <m/>
    <x v="1"/>
    <s v="유즈 솔리드퍼퓸 - 이그나이트 001제품선택=이그나이트 솔리드퍼퓸 - 30ml"/>
    <n v="2"/>
    <x v="0"/>
    <x v="1"/>
    <n v="210101"/>
    <m/>
    <n v="68000"/>
  </r>
  <r>
    <x v="243"/>
    <x v="0"/>
    <m/>
    <x v="1"/>
    <s v="유즈 솔리드퍼퓸 - 이그나이트 001제품선택=이그나이트 2개 세트"/>
    <n v="3"/>
    <x v="0"/>
    <x v="9"/>
    <n v="210101"/>
    <m/>
    <n v="176400"/>
  </r>
  <r>
    <x v="243"/>
    <x v="0"/>
    <m/>
    <x v="1"/>
    <s v="유즈 스테이포에버 솔리드퍼퓸 002 (11차 예약구매 진행중)제품선택=best스테이포에버 2개[28% 할인]"/>
    <n v="1"/>
    <x v="0"/>
    <x v="8"/>
    <n v="210101"/>
    <m/>
    <n v="58800"/>
  </r>
  <r>
    <x v="244"/>
    <x v="1"/>
    <m/>
    <x v="1"/>
    <s v="유즈 솔리드퍼퓸 - 30ml향=이그나이트 001 SOLID PERFUME, 세트 선택=1개"/>
    <n v="2"/>
    <x v="0"/>
    <x v="1"/>
    <n v="210101"/>
    <m/>
    <n v="68000"/>
  </r>
  <r>
    <x v="244"/>
    <x v="1"/>
    <m/>
    <x v="1"/>
    <s v="유즈 솔리드퍼퓸 - 30ml향=스테이포에버 002 SOLID PERFUME, 세트 선택=1개"/>
    <n v="16"/>
    <x v="0"/>
    <x v="2"/>
    <n v="210101"/>
    <m/>
    <n v="544000"/>
  </r>
  <r>
    <x v="244"/>
    <x v="1"/>
    <m/>
    <x v="1"/>
    <s v="유즈 솔리드퍼퓸 - 30ml향=스테이포에버 002 SOLID PERFUME, 세트 선택=best 2개 (28% 할인)"/>
    <n v="10"/>
    <x v="0"/>
    <x v="8"/>
    <n v="210101"/>
    <m/>
    <n v="588000"/>
  </r>
  <r>
    <x v="244"/>
    <x v="1"/>
    <m/>
    <x v="1"/>
    <s v="유즈 솔리드퍼퓸 - 30ml향=커플세트(이그나이트 + 스테이포에버), 세트 선택=1 SET"/>
    <n v="7"/>
    <x v="0"/>
    <x v="3"/>
    <n v="210101"/>
    <m/>
    <n v="411600"/>
  </r>
  <r>
    <x v="244"/>
    <x v="1"/>
    <m/>
    <x v="1"/>
    <s v="유즈 솔리드퍼퓸 - 스테이포에버 002제품선택=스테이포에버 1개"/>
    <n v="387"/>
    <x v="0"/>
    <x v="2"/>
    <n v="210101"/>
    <m/>
    <n v="13158000"/>
  </r>
  <r>
    <x v="244"/>
    <x v="1"/>
    <m/>
    <x v="1"/>
    <s v="유즈 솔리드퍼퓸 - 스테이포에버 002제품선택=best스테이포에버 2개[28% 할인]"/>
    <n v="165"/>
    <x v="0"/>
    <x v="8"/>
    <n v="210101"/>
    <m/>
    <n v="9702000"/>
  </r>
  <r>
    <x v="244"/>
    <x v="1"/>
    <m/>
    <x v="1"/>
    <s v="유즈 솔리드퍼퓸 - 스테이포에버 002제품선택=커플추천스테이포에버 + 이그나이트 세트"/>
    <n v="18"/>
    <x v="0"/>
    <x v="3"/>
    <n v="210101"/>
    <m/>
    <n v="1058400"/>
  </r>
  <r>
    <x v="244"/>
    <x v="1"/>
    <m/>
    <x v="1"/>
    <s v="유즈 솔리드퍼퓸 - 스테이포에버 002쇼핑백=선물용 쇼핑백"/>
    <n v="18"/>
    <x v="2"/>
    <x v="11"/>
    <n v="210101"/>
    <m/>
    <n v="36000"/>
  </r>
  <r>
    <x v="244"/>
    <x v="1"/>
    <m/>
    <x v="1"/>
    <s v="유즈 솔리드퍼퓸 - 이그나이트 001제품선택=이그나이트 솔리드퍼퓸 - 30ml"/>
    <n v="5"/>
    <x v="0"/>
    <x v="1"/>
    <n v="210101"/>
    <m/>
    <n v="170000"/>
  </r>
  <r>
    <x v="244"/>
    <x v="1"/>
    <m/>
    <x v="1"/>
    <s v="유즈 솔리드퍼퓸 - 이그나이트 001제품선택=이그나이트 2개 세트"/>
    <n v="5"/>
    <x v="0"/>
    <x v="9"/>
    <n v="210101"/>
    <m/>
    <n v="294000"/>
  </r>
  <r>
    <x v="245"/>
    <x v="5"/>
    <m/>
    <x v="1"/>
    <s v="유즈 솔리드퍼퓸 - 30ml향=스테이포에버 002 SOLID PERFUME, 세트 선택=1개"/>
    <n v="12"/>
    <x v="0"/>
    <x v="2"/>
    <n v="210101"/>
    <m/>
    <n v="408000"/>
  </r>
  <r>
    <x v="245"/>
    <x v="5"/>
    <m/>
    <x v="1"/>
    <s v="유즈 솔리드퍼퓸 - 30ml향=스테이포에버 002 SOLID PERFUME, 세트 선택=best 2개 (28% 할인)"/>
    <n v="10"/>
    <x v="0"/>
    <x v="8"/>
    <n v="210101"/>
    <m/>
    <n v="588000"/>
  </r>
  <r>
    <x v="245"/>
    <x v="5"/>
    <m/>
    <x v="1"/>
    <s v="유즈 솔리드퍼퓸 - 30ml향=커플세트(이그나이트 + 스테이포에버), 세트 선택=1 SET"/>
    <n v="5"/>
    <x v="0"/>
    <x v="3"/>
    <n v="210101"/>
    <m/>
    <n v="294000"/>
  </r>
  <r>
    <x v="245"/>
    <x v="5"/>
    <m/>
    <x v="1"/>
    <s v="유즈 솔리드퍼퓸 - 30ml향=커플세트(이그나이트 + 스테이포에버), 세트 선택=2 SET (42% 할인)"/>
    <n v="4"/>
    <x v="0"/>
    <x v="3"/>
    <n v="210101"/>
    <m/>
    <n v="235200"/>
  </r>
  <r>
    <x v="245"/>
    <x v="5"/>
    <m/>
    <x v="1"/>
    <s v="유즈 솔리드퍼퓸 - 스테이포에버 002제품선택=스테이포에버 1개"/>
    <n v="415"/>
    <x v="0"/>
    <x v="2"/>
    <n v="210101"/>
    <m/>
    <n v="14110000"/>
  </r>
  <r>
    <x v="245"/>
    <x v="5"/>
    <m/>
    <x v="1"/>
    <s v="유즈 솔리드퍼퓸 - 스테이포에버 002제품선택=best스테이포에버 2개[28% 할인]"/>
    <n v="172"/>
    <x v="0"/>
    <x v="8"/>
    <n v="210101"/>
    <m/>
    <n v="10113600"/>
  </r>
  <r>
    <x v="245"/>
    <x v="5"/>
    <m/>
    <x v="1"/>
    <s v="유즈 솔리드퍼퓸 - 스테이포에버 002제품선택=커플추천스테이포에버 + 이그나이트 세트"/>
    <n v="32"/>
    <x v="0"/>
    <x v="3"/>
    <n v="210101"/>
    <m/>
    <n v="1881600"/>
  </r>
  <r>
    <x v="245"/>
    <x v="5"/>
    <m/>
    <x v="1"/>
    <s v="유즈 솔리드퍼퓸 - 스테이포에버 002쇼핑백=선물용 쇼핑백"/>
    <n v="18"/>
    <x v="2"/>
    <x v="11"/>
    <n v="210101"/>
    <m/>
    <n v="36000"/>
  </r>
  <r>
    <x v="245"/>
    <x v="5"/>
    <m/>
    <x v="1"/>
    <s v="유즈 솔리드퍼퓸 - 이그나이트 001제품선택=이그나이트 솔리드퍼퓸 - 30ml"/>
    <n v="8"/>
    <x v="0"/>
    <x v="1"/>
    <n v="210101"/>
    <m/>
    <n v="272000"/>
  </r>
  <r>
    <x v="245"/>
    <x v="5"/>
    <m/>
    <x v="1"/>
    <s v="유즈 솔리드퍼퓸 - 이그나이트 001제품선택=이그나이트 2개 세트"/>
    <n v="1"/>
    <x v="0"/>
    <x v="9"/>
    <n v="210101"/>
    <m/>
    <n v="58800"/>
  </r>
  <r>
    <x v="246"/>
    <x v="6"/>
    <m/>
    <x v="1"/>
    <s v="솔리드퍼퓸 스테이포에버 002 30ml"/>
    <n v="2"/>
    <x v="0"/>
    <x v="2"/>
    <n v="210101"/>
    <m/>
    <n v="76000"/>
  </r>
  <r>
    <x v="246"/>
    <x v="6"/>
    <m/>
    <x v="1"/>
    <s v="유즈 솔리드퍼퓸 - 30ml향=이그나이트 001 SOLID PERFUME, 세트 선택=1개"/>
    <n v="2"/>
    <x v="0"/>
    <x v="1"/>
    <n v="210101"/>
    <m/>
    <n v="68000"/>
  </r>
  <r>
    <x v="246"/>
    <x v="6"/>
    <m/>
    <x v="1"/>
    <s v="유즈 솔리드퍼퓸 - 30ml향=스테이포에버 002 SOLID PERFUME, 세트 선택=1개"/>
    <n v="10"/>
    <x v="0"/>
    <x v="2"/>
    <n v="210101"/>
    <m/>
    <n v="340000"/>
  </r>
  <r>
    <x v="246"/>
    <x v="6"/>
    <m/>
    <x v="1"/>
    <s v="유즈 솔리드퍼퓸 - 30ml향=스테이포에버 002 SOLID PERFUME, 세트 선택=best 2개 (28% 할인)"/>
    <n v="10"/>
    <x v="0"/>
    <x v="8"/>
    <n v="210101"/>
    <m/>
    <n v="588000"/>
  </r>
  <r>
    <x v="246"/>
    <x v="6"/>
    <m/>
    <x v="1"/>
    <s v="유즈 솔리드퍼퓸 - 30ml향=커플세트(이그나이트 + 스테이포에버), 세트 선택=1 SET"/>
    <n v="11"/>
    <x v="0"/>
    <x v="3"/>
    <n v="210101"/>
    <m/>
    <n v="646800"/>
  </r>
  <r>
    <x v="246"/>
    <x v="6"/>
    <m/>
    <x v="1"/>
    <s v="유즈 솔리드퍼퓸 - 30ml향=커플세트(이그나이트 + 스테이포에버), 세트 선택=2 SET (42% 할인)"/>
    <n v="1"/>
    <x v="0"/>
    <x v="3"/>
    <n v="210101"/>
    <m/>
    <n v="58800"/>
  </r>
  <r>
    <x v="246"/>
    <x v="6"/>
    <m/>
    <x v="1"/>
    <s v="유즈 솔리드퍼퓸 - 스테이포에버 002제품선택=스테이포에버 1개"/>
    <n v="296"/>
    <x v="0"/>
    <x v="2"/>
    <n v="210101"/>
    <m/>
    <n v="10064000"/>
  </r>
  <r>
    <x v="246"/>
    <x v="6"/>
    <m/>
    <x v="1"/>
    <s v="유즈 솔리드퍼퓸 - 스테이포에버 002제품선택=best스테이포에버 2개[28% 할인]"/>
    <n v="120"/>
    <x v="0"/>
    <x v="8"/>
    <n v="210101"/>
    <m/>
    <n v="7056000"/>
  </r>
  <r>
    <x v="246"/>
    <x v="6"/>
    <m/>
    <x v="1"/>
    <s v="유즈 솔리드퍼퓸 - 스테이포에버 002제품선택=커플추천스테이포에버 + 이그나이트 세트"/>
    <n v="24"/>
    <x v="0"/>
    <x v="3"/>
    <n v="210101"/>
    <m/>
    <n v="1411200"/>
  </r>
  <r>
    <x v="246"/>
    <x v="6"/>
    <m/>
    <x v="1"/>
    <s v="유즈 솔리드퍼퓸 - 스테이포에버 002쇼핑백=선물용 쇼핑백"/>
    <n v="8"/>
    <x v="2"/>
    <x v="11"/>
    <n v="210101"/>
    <m/>
    <n v="16000"/>
  </r>
  <r>
    <x v="246"/>
    <x v="6"/>
    <m/>
    <x v="1"/>
    <s v="유즈 솔리드퍼퓸 - 이그나이트 001제품선택=이그나이트 솔리드퍼퓸 - 30ml"/>
    <n v="11"/>
    <x v="0"/>
    <x v="1"/>
    <n v="210101"/>
    <m/>
    <n v="374000"/>
  </r>
  <r>
    <x v="247"/>
    <x v="2"/>
    <m/>
    <x v="1"/>
    <s v="솔리드퍼퓸 스테이포에버 002 30ml"/>
    <n v="1"/>
    <x v="0"/>
    <x v="2"/>
    <n v="210101"/>
    <m/>
    <n v="38000"/>
  </r>
  <r>
    <x v="247"/>
    <x v="2"/>
    <m/>
    <x v="1"/>
    <s v="유즈 솔리드퍼퓸 - 30ml향=이그나이트 001 SOLID PERFUME, 세트 선택=1개"/>
    <n v="1"/>
    <x v="0"/>
    <x v="1"/>
    <n v="210101"/>
    <m/>
    <n v="34000"/>
  </r>
  <r>
    <x v="247"/>
    <x v="2"/>
    <m/>
    <x v="1"/>
    <s v="유즈 솔리드퍼퓸 - 30ml향=스테이포에버 002 SOLID PERFUME, 세트 선택=1개"/>
    <n v="10"/>
    <x v="0"/>
    <x v="2"/>
    <n v="210101"/>
    <m/>
    <n v="340000"/>
  </r>
  <r>
    <x v="247"/>
    <x v="2"/>
    <m/>
    <x v="1"/>
    <s v="유즈 솔리드퍼퓸 - 30ml향=스테이포에버 002 SOLID PERFUME, 세트 선택=best 2개 (28% 할인)"/>
    <n v="7"/>
    <x v="0"/>
    <x v="8"/>
    <n v="210101"/>
    <m/>
    <n v="411600"/>
  </r>
  <r>
    <x v="247"/>
    <x v="2"/>
    <m/>
    <x v="1"/>
    <s v="유즈 솔리드퍼퓸 - 30ml향=커플세트(이그나이트 + 스테이포에버), 세트 선택=1 SET"/>
    <n v="11"/>
    <x v="0"/>
    <x v="3"/>
    <n v="210101"/>
    <m/>
    <n v="646800"/>
  </r>
  <r>
    <x v="247"/>
    <x v="2"/>
    <m/>
    <x v="1"/>
    <s v="유즈 솔리드퍼퓸 - 30ml향=커플세트(이그나이트 + 스테이포에버), 세트 선택=2 SET (42% 할인)"/>
    <n v="2"/>
    <x v="0"/>
    <x v="3"/>
    <n v="210101"/>
    <m/>
    <n v="117600"/>
  </r>
  <r>
    <x v="247"/>
    <x v="2"/>
    <m/>
    <x v="1"/>
    <s v="유즈 솔리드퍼퓸 - 스테이포에버 002제품선택=스테이포에버 1개"/>
    <n v="224"/>
    <x v="0"/>
    <x v="2"/>
    <n v="210101"/>
    <m/>
    <n v="7616000"/>
  </r>
  <r>
    <x v="247"/>
    <x v="2"/>
    <m/>
    <x v="1"/>
    <s v="유즈 솔리드퍼퓸 - 스테이포에버 002제품선택=best스테이포에버 2개[28% 할인]"/>
    <n v="123"/>
    <x v="0"/>
    <x v="8"/>
    <n v="210101"/>
    <m/>
    <n v="7232400"/>
  </r>
  <r>
    <x v="247"/>
    <x v="2"/>
    <m/>
    <x v="1"/>
    <s v="유즈 솔리드퍼퓸 - 스테이포에버 002제품선택=커플추천스테이포에버 + 이그나이트 세트"/>
    <n v="18"/>
    <x v="0"/>
    <x v="3"/>
    <n v="210101"/>
    <m/>
    <n v="1058400"/>
  </r>
  <r>
    <x v="247"/>
    <x v="2"/>
    <m/>
    <x v="1"/>
    <s v="유즈 솔리드퍼퓸 - 스테이포에버 002쇼핑백=선물용 쇼핑백"/>
    <n v="13"/>
    <x v="2"/>
    <x v="11"/>
    <n v="210101"/>
    <m/>
    <n v="26000"/>
  </r>
  <r>
    <x v="247"/>
    <x v="2"/>
    <m/>
    <x v="1"/>
    <s v="유즈 솔리드퍼퓸 - 이그나이트 001제품선택=이그나이트 솔리드퍼퓸 - 30ml"/>
    <n v="3"/>
    <x v="0"/>
    <x v="1"/>
    <n v="210101"/>
    <m/>
    <n v="102000"/>
  </r>
  <r>
    <x v="248"/>
    <x v="3"/>
    <m/>
    <x v="1"/>
    <s v="유즈 솔리드퍼퓸 - 30ml향=이그나이트 001 SOLID PERFUME, 세트 선택=best 2개 (28% 할인)"/>
    <n v="1"/>
    <x v="0"/>
    <x v="9"/>
    <n v="210101"/>
    <m/>
    <n v="58800"/>
  </r>
  <r>
    <x v="248"/>
    <x v="3"/>
    <m/>
    <x v="1"/>
    <s v="유즈 솔리드퍼퓸 - 30ml향=스테이포에버 002 SOLID PERFUME, 세트 선택=1개"/>
    <n v="9"/>
    <x v="0"/>
    <x v="2"/>
    <n v="210101"/>
    <m/>
    <n v="306000"/>
  </r>
  <r>
    <x v="248"/>
    <x v="3"/>
    <m/>
    <x v="1"/>
    <s v="유즈 솔리드퍼퓸 - 30ml향=스테이포에버 002 SOLID PERFUME, 세트 선택=best 2개 (28% 할인)"/>
    <n v="5"/>
    <x v="0"/>
    <x v="8"/>
    <n v="210101"/>
    <m/>
    <n v="294000"/>
  </r>
  <r>
    <x v="248"/>
    <x v="3"/>
    <m/>
    <x v="1"/>
    <s v="유즈 솔리드퍼퓸 - 30ml향=커플세트(이그나이트 + 스테이포에버), 세트 선택=1 SET"/>
    <n v="8"/>
    <x v="0"/>
    <x v="3"/>
    <n v="210101"/>
    <m/>
    <n v="470400"/>
  </r>
  <r>
    <x v="248"/>
    <x v="3"/>
    <m/>
    <x v="1"/>
    <s v="유즈 솔리드퍼퓸 - 30ml향=커플세트(이그나이트 + 스테이포에버), 세트 선택=2 SET (42% 할인)"/>
    <n v="2"/>
    <x v="0"/>
    <x v="3"/>
    <n v="210101"/>
    <m/>
    <n v="117600"/>
  </r>
  <r>
    <x v="248"/>
    <x v="3"/>
    <m/>
    <x v="1"/>
    <s v="유즈 솔리드퍼퓸 - 스테이포에버 002제품선택=스테이포에버 1개"/>
    <n v="274"/>
    <x v="0"/>
    <x v="2"/>
    <n v="210101"/>
    <m/>
    <n v="9316000"/>
  </r>
  <r>
    <x v="248"/>
    <x v="3"/>
    <m/>
    <x v="1"/>
    <s v="유즈 솔리드퍼퓸 - 스테이포에버 002제품선택=best스테이포에버 2개[28% 할인]"/>
    <n v="138"/>
    <x v="0"/>
    <x v="8"/>
    <n v="210101"/>
    <m/>
    <n v="8114400"/>
  </r>
  <r>
    <x v="248"/>
    <x v="3"/>
    <m/>
    <x v="1"/>
    <s v="유즈 솔리드퍼퓸 - 스테이포에버 002제품선택=커플추천스테이포에버 + 이그나이트 세트"/>
    <n v="17"/>
    <x v="0"/>
    <x v="3"/>
    <n v="210101"/>
    <m/>
    <n v="999600"/>
  </r>
  <r>
    <x v="248"/>
    <x v="3"/>
    <m/>
    <x v="1"/>
    <s v="유즈 솔리드퍼퓸 - 스테이포에버 002쇼핑백=선물용 쇼핑백"/>
    <n v="10"/>
    <x v="2"/>
    <x v="11"/>
    <n v="210101"/>
    <m/>
    <n v="20000"/>
  </r>
  <r>
    <x v="248"/>
    <x v="3"/>
    <m/>
    <x v="1"/>
    <s v="유즈 솔리드퍼퓸 - 이그나이트 001제품선택=이그나이트 솔리드퍼퓸 - 30ml"/>
    <n v="1"/>
    <x v="0"/>
    <x v="1"/>
    <n v="210101"/>
    <m/>
    <n v="34000"/>
  </r>
  <r>
    <x v="248"/>
    <x v="3"/>
    <m/>
    <x v="1"/>
    <s v="유즈 솔리드퍼퓸 - 이그나이트 001제품선택=이그나이트 2개 세트"/>
    <n v="1"/>
    <x v="0"/>
    <x v="9"/>
    <n v="210101"/>
    <m/>
    <n v="58800"/>
  </r>
  <r>
    <x v="249"/>
    <x v="4"/>
    <m/>
    <x v="1"/>
    <s v="솔리드퍼퓸 세트향=이그나이트 001 SOLID PERFUME, 세트 선택=1개"/>
    <n v="1"/>
    <x v="0"/>
    <x v="1"/>
    <n v="210101"/>
    <m/>
    <n v="34000"/>
  </r>
  <r>
    <x v="249"/>
    <x v="4"/>
    <m/>
    <x v="1"/>
    <s v="솔리드퍼퓸 세트향=스테이포에버 002 SOLID PERFUME, 세트 선택=1개"/>
    <n v="9"/>
    <x v="0"/>
    <x v="2"/>
    <n v="210101"/>
    <m/>
    <n v="306000"/>
  </r>
  <r>
    <x v="249"/>
    <x v="4"/>
    <m/>
    <x v="1"/>
    <s v="솔리드퍼퓸 세트향=스테이포에버 002 SOLID PERFUME, 세트 선택=best 2개 (28% 할인)"/>
    <n v="4"/>
    <x v="0"/>
    <x v="8"/>
    <n v="210101"/>
    <m/>
    <n v="235200"/>
  </r>
  <r>
    <x v="249"/>
    <x v="4"/>
    <m/>
    <x v="1"/>
    <s v="솔리드퍼퓸 세트향=커플세트(이그나이트 + 스테이포에버), 세트 선택=1 SET"/>
    <n v="12"/>
    <x v="0"/>
    <x v="3"/>
    <n v="210101"/>
    <m/>
    <n v="705600"/>
  </r>
  <r>
    <x v="249"/>
    <x v="4"/>
    <m/>
    <x v="1"/>
    <s v="솔리드퍼퓸 스테이포에버 002제품선택=스테이포에버 1개"/>
    <n v="181"/>
    <x v="0"/>
    <x v="2"/>
    <n v="210101"/>
    <m/>
    <n v="6154000"/>
  </r>
  <r>
    <x v="249"/>
    <x v="4"/>
    <m/>
    <x v="1"/>
    <s v="솔리드퍼퓸 스테이포에버 002제품선택=best스테이포에버 2개[28% 할인]"/>
    <n v="79"/>
    <x v="0"/>
    <x v="8"/>
    <n v="210101"/>
    <m/>
    <n v="4645200"/>
  </r>
  <r>
    <x v="249"/>
    <x v="4"/>
    <m/>
    <x v="1"/>
    <s v="솔리드퍼퓸 스테이포에버 002제품선택=커플추천스테이포에버 + 이그나이트 세트"/>
    <n v="16"/>
    <x v="0"/>
    <x v="3"/>
    <n v="210101"/>
    <m/>
    <n v="940800"/>
  </r>
  <r>
    <x v="249"/>
    <x v="4"/>
    <m/>
    <x v="1"/>
    <s v="솔리드퍼퓸 스테이포에버 002쇼핑백=선물용 쇼핑백"/>
    <n v="7"/>
    <x v="2"/>
    <x v="11"/>
    <n v="210101"/>
    <m/>
    <n v="14000"/>
  </r>
  <r>
    <x v="249"/>
    <x v="4"/>
    <m/>
    <x v="1"/>
    <s v="솔리드퍼퓸 스테이포에버 002 30ml"/>
    <n v="1"/>
    <x v="0"/>
    <x v="2"/>
    <n v="210101"/>
    <m/>
    <n v="38000"/>
  </r>
  <r>
    <x v="249"/>
    <x v="4"/>
    <m/>
    <x v="1"/>
    <s v="솔리드퍼퓸 이그나이트 001제품선택=이그나이트 솔리드퍼퓸 - 30ml"/>
    <n v="1"/>
    <x v="0"/>
    <x v="1"/>
    <n v="210101"/>
    <m/>
    <n v="34000"/>
  </r>
  <r>
    <x v="249"/>
    <x v="4"/>
    <m/>
    <x v="1"/>
    <s v="유즈 솔리드퍼퓸 - 30ml향=스테이포에버 002 SOLID PERFUME, 세트 선택=1개"/>
    <n v="6"/>
    <x v="0"/>
    <x v="2"/>
    <n v="210101"/>
    <m/>
    <n v="204000"/>
  </r>
  <r>
    <x v="249"/>
    <x v="4"/>
    <m/>
    <x v="1"/>
    <s v="유즈 솔리드퍼퓸 - 30ml향=커플세트(이그나이트 + 스테이포에버), 세트 선택=1 SET"/>
    <n v="2"/>
    <x v="0"/>
    <x v="3"/>
    <n v="210101"/>
    <m/>
    <n v="117600"/>
  </r>
  <r>
    <x v="249"/>
    <x v="4"/>
    <m/>
    <x v="1"/>
    <s v="유즈 솔리드퍼퓸 - 스테이포에버 002제품선택=스테이포에버 1개"/>
    <n v="75"/>
    <x v="0"/>
    <x v="2"/>
    <n v="210101"/>
    <m/>
    <n v="2550000"/>
  </r>
  <r>
    <x v="249"/>
    <x v="4"/>
    <m/>
    <x v="1"/>
    <s v="유즈 솔리드퍼퓸 - 스테이포에버 002제품선택=best스테이포에버 2개[28% 할인]"/>
    <n v="28"/>
    <x v="0"/>
    <x v="8"/>
    <n v="210101"/>
    <m/>
    <n v="1646400"/>
  </r>
  <r>
    <x v="249"/>
    <x v="4"/>
    <m/>
    <x v="1"/>
    <s v="유즈 솔리드퍼퓸 - 스테이포에버 002제품선택=커플추천스테이포에버 + 이그나이트 세트"/>
    <n v="7"/>
    <x v="0"/>
    <x v="3"/>
    <n v="210101"/>
    <m/>
    <n v="411600"/>
  </r>
  <r>
    <x v="249"/>
    <x v="4"/>
    <m/>
    <x v="1"/>
    <s v="유즈 솔리드퍼퓸 - 스테이포에버 002쇼핑백=선물용 쇼핑백"/>
    <n v="1"/>
    <x v="2"/>
    <x v="11"/>
    <n v="210101"/>
    <m/>
    <n v="2000"/>
  </r>
  <r>
    <x v="249"/>
    <x v="4"/>
    <m/>
    <x v="1"/>
    <s v="유즈 솔리드퍼퓸 - 이그나이트 001제품선택=이그나이트 솔리드퍼퓸 - 30ml"/>
    <n v="1"/>
    <x v="0"/>
    <x v="1"/>
    <n v="210101"/>
    <m/>
    <n v="34000"/>
  </r>
  <r>
    <x v="249"/>
    <x v="4"/>
    <m/>
    <x v="1"/>
    <s v="유즈 솔리드퍼퓸 - 이그나이트 001제품선택=이그나이트 2개 세트"/>
    <n v="1"/>
    <x v="0"/>
    <x v="9"/>
    <n v="210101"/>
    <m/>
    <n v="58800"/>
  </r>
  <r>
    <x v="250"/>
    <x v="0"/>
    <m/>
    <x v="2"/>
    <s v="솔리드퍼퓸 스테이포에버 002 30ml"/>
    <n v="1"/>
    <x v="0"/>
    <x v="2"/>
    <n v="210101"/>
    <m/>
    <n v="0"/>
  </r>
  <r>
    <x v="250"/>
    <x v="0"/>
    <m/>
    <x v="1"/>
    <s v="솔리드퍼퓸 세트향=이그나이트 001 SOLID PERFUME, 세트 선택=1개"/>
    <n v="3"/>
    <x v="0"/>
    <x v="1"/>
    <n v="210101"/>
    <m/>
    <n v="102000"/>
  </r>
  <r>
    <x v="250"/>
    <x v="0"/>
    <m/>
    <x v="1"/>
    <s v="솔리드퍼퓸 세트향=스테이포에버 002 SOLID PERFUME, 세트 선택=1개"/>
    <n v="12"/>
    <x v="0"/>
    <x v="2"/>
    <n v="210101"/>
    <m/>
    <n v="408000"/>
  </r>
  <r>
    <x v="250"/>
    <x v="0"/>
    <m/>
    <x v="1"/>
    <s v="솔리드퍼퓸 세트향=스테이포에버 002 SOLID PERFUME, 세트 선택=best 2개 (28% 할인)"/>
    <n v="4"/>
    <x v="0"/>
    <x v="8"/>
    <n v="210101"/>
    <m/>
    <n v="235200"/>
  </r>
  <r>
    <x v="250"/>
    <x v="0"/>
    <m/>
    <x v="1"/>
    <s v="솔리드퍼퓸 세트향=커플세트(이그나이트 + 스테이포에버), 세트 선택=1 SET"/>
    <n v="8"/>
    <x v="0"/>
    <x v="3"/>
    <n v="210101"/>
    <m/>
    <n v="470400"/>
  </r>
  <r>
    <x v="250"/>
    <x v="0"/>
    <m/>
    <x v="1"/>
    <s v="솔리드퍼퓸 스테이포에버 002제품선택=스테이포에버 1개"/>
    <n v="214"/>
    <x v="0"/>
    <x v="2"/>
    <n v="210101"/>
    <m/>
    <n v="7276000"/>
  </r>
  <r>
    <x v="250"/>
    <x v="0"/>
    <m/>
    <x v="1"/>
    <s v="솔리드퍼퓸 스테이포에버 002제품선택=best스테이포에버 2개[28% 할인]"/>
    <n v="121"/>
    <x v="0"/>
    <x v="8"/>
    <n v="210101"/>
    <m/>
    <n v="7114800"/>
  </r>
  <r>
    <x v="250"/>
    <x v="0"/>
    <m/>
    <x v="1"/>
    <s v="솔리드퍼퓸 스테이포에버 002제품선택=커플추천스테이포에버 + 이그나이트 세트"/>
    <n v="14"/>
    <x v="0"/>
    <x v="3"/>
    <n v="210101"/>
    <m/>
    <n v="823200"/>
  </r>
  <r>
    <x v="250"/>
    <x v="0"/>
    <m/>
    <x v="1"/>
    <s v="솔리드퍼퓸 스테이포에버 002쇼핑백=선물용 쇼핑백"/>
    <n v="7"/>
    <x v="2"/>
    <x v="11"/>
    <n v="210101"/>
    <m/>
    <n v="14000"/>
  </r>
  <r>
    <x v="250"/>
    <x v="0"/>
    <m/>
    <x v="1"/>
    <s v="솔리드퍼퓸 이그나이트 001제품선택=이그나이트 솔리드퍼퓸 - 30ml"/>
    <n v="4"/>
    <x v="0"/>
    <x v="1"/>
    <n v="210101"/>
    <m/>
    <n v="136000"/>
  </r>
  <r>
    <x v="250"/>
    <x v="0"/>
    <m/>
    <x v="1"/>
    <s v="솔리드퍼퓸 이그나이트 001제품선택=이그나이트 2개 세트"/>
    <n v="1"/>
    <x v="0"/>
    <x v="9"/>
    <n v="210101"/>
    <m/>
    <n v="58800"/>
  </r>
  <r>
    <x v="250"/>
    <x v="0"/>
    <m/>
    <x v="1"/>
    <s v="솔리드퍼퓸 이그나이트 001쇼핑백=선물용 쇼핑백"/>
    <n v="1"/>
    <x v="2"/>
    <x v="11"/>
    <n v="210101"/>
    <m/>
    <n v="2000"/>
  </r>
  <r>
    <x v="250"/>
    <x v="0"/>
    <m/>
    <x v="1"/>
    <s v="유즈 솔리드퍼퓸 - 스테이포에버 002제품선택=스테이포에버 1개"/>
    <n v="2"/>
    <x v="0"/>
    <x v="2"/>
    <n v="210101"/>
    <m/>
    <n v="68000"/>
  </r>
  <r>
    <x v="250"/>
    <x v="0"/>
    <m/>
    <x v="1"/>
    <s v="유즈 솔리드퍼퓸 - 스테이포에버 002제품선택=best스테이포에버 2개[28% 할인]"/>
    <n v="2"/>
    <x v="0"/>
    <x v="8"/>
    <n v="210101"/>
    <m/>
    <n v="117600"/>
  </r>
  <r>
    <x v="251"/>
    <x v="1"/>
    <m/>
    <x v="1"/>
    <s v="솔리드퍼퓸 세트향=이그나이트 001 SOLID PERFUME, 세트 선택=1개"/>
    <n v="1"/>
    <x v="0"/>
    <x v="1"/>
    <n v="210101"/>
    <m/>
    <n v="34000"/>
  </r>
  <r>
    <x v="251"/>
    <x v="1"/>
    <m/>
    <x v="1"/>
    <s v="솔리드퍼퓸 세트향=스테이포에버 002 SOLID PERFUME, 세트 선택=1개"/>
    <n v="5"/>
    <x v="0"/>
    <x v="2"/>
    <n v="210101"/>
    <m/>
    <n v="170000"/>
  </r>
  <r>
    <x v="251"/>
    <x v="1"/>
    <m/>
    <x v="1"/>
    <s v="솔리드퍼퓸 세트향=스테이포에버 002 SOLID PERFUME, 세트 선택=best 2개 (28% 할인)"/>
    <n v="6"/>
    <x v="0"/>
    <x v="8"/>
    <n v="210101"/>
    <m/>
    <n v="352800"/>
  </r>
  <r>
    <x v="251"/>
    <x v="1"/>
    <m/>
    <x v="1"/>
    <s v="솔리드퍼퓸 세트향=커플세트(이그나이트 + 스테이포에버), 세트 선택=1 SET"/>
    <n v="10"/>
    <x v="0"/>
    <x v="3"/>
    <n v="210101"/>
    <m/>
    <n v="588000"/>
  </r>
  <r>
    <x v="251"/>
    <x v="1"/>
    <m/>
    <x v="1"/>
    <s v="솔리드퍼퓸 스테이포에버 002제품선택=스테이포에버 1개"/>
    <n v="266"/>
    <x v="0"/>
    <x v="2"/>
    <n v="210101"/>
    <m/>
    <n v="9044000"/>
  </r>
  <r>
    <x v="251"/>
    <x v="1"/>
    <m/>
    <x v="1"/>
    <s v="솔리드퍼퓸 스테이포에버 002제품선택=best스테이포에버 2개[28% 할인]"/>
    <n v="100"/>
    <x v="0"/>
    <x v="8"/>
    <n v="210101"/>
    <m/>
    <n v="5880000"/>
  </r>
  <r>
    <x v="251"/>
    <x v="1"/>
    <m/>
    <x v="1"/>
    <s v="솔리드퍼퓸 스테이포에버 002제품선택=커플추천스테이포에버 + 이그나이트 세트"/>
    <n v="13"/>
    <x v="0"/>
    <x v="3"/>
    <n v="210101"/>
    <m/>
    <n v="764400"/>
  </r>
  <r>
    <x v="251"/>
    <x v="1"/>
    <m/>
    <x v="1"/>
    <s v="솔리드퍼퓸 스테이포에버 002쇼핑백=선물용 쇼핑백"/>
    <n v="16"/>
    <x v="2"/>
    <x v="11"/>
    <n v="210101"/>
    <m/>
    <n v="32000"/>
  </r>
  <r>
    <x v="251"/>
    <x v="1"/>
    <m/>
    <x v="1"/>
    <s v="솔리드퍼퓸 이그나이트 001제품선택=이그나이트 솔리드퍼퓸 - 30ml"/>
    <n v="3"/>
    <x v="0"/>
    <x v="1"/>
    <n v="210101"/>
    <m/>
    <n v="102000"/>
  </r>
  <r>
    <x v="251"/>
    <x v="1"/>
    <m/>
    <x v="1"/>
    <s v="솔리드퍼퓸 이그나이트 001제품선택=이그나이트 2개 세트"/>
    <n v="4"/>
    <x v="0"/>
    <x v="9"/>
    <n v="210101"/>
    <m/>
    <n v="235200"/>
  </r>
  <r>
    <x v="251"/>
    <x v="1"/>
    <m/>
    <x v="1"/>
    <s v="유즈 솔리드퍼퓸 - 30ml향=이그나이트 001 SOLID PERFUME, 세트 선택=1개"/>
    <n v="1"/>
    <x v="0"/>
    <x v="1"/>
    <n v="210101"/>
    <m/>
    <n v="34000"/>
  </r>
  <r>
    <x v="252"/>
    <x v="5"/>
    <m/>
    <x v="1"/>
    <s v="솔리드퍼퓸 세트향=스테이포에버 002 SOLID PERFUME, 세트 선택=1개"/>
    <n v="12"/>
    <x v="0"/>
    <x v="2"/>
    <n v="210101"/>
    <m/>
    <n v="408000"/>
  </r>
  <r>
    <x v="252"/>
    <x v="5"/>
    <m/>
    <x v="1"/>
    <s v="솔리드퍼퓸 세트향=스테이포에버 002 SOLID PERFUME, 세트 선택=best 2개 (28% 할인)"/>
    <n v="11"/>
    <x v="0"/>
    <x v="8"/>
    <n v="210101"/>
    <m/>
    <n v="646800"/>
  </r>
  <r>
    <x v="252"/>
    <x v="5"/>
    <m/>
    <x v="1"/>
    <s v="솔리드퍼퓸 세트향=커플세트(이그나이트 + 스테이포에버), 세트 선택=1 SET"/>
    <n v="15"/>
    <x v="0"/>
    <x v="3"/>
    <n v="210101"/>
    <m/>
    <n v="882000"/>
  </r>
  <r>
    <x v="252"/>
    <x v="5"/>
    <m/>
    <x v="1"/>
    <s v="솔리드퍼퓸 세트향=커플세트(이그나이트 + 스테이포에버), 세트 선택=2 SET (42% 할인)"/>
    <n v="3"/>
    <x v="0"/>
    <x v="3"/>
    <n v="210101"/>
    <m/>
    <n v="176400"/>
  </r>
  <r>
    <x v="252"/>
    <x v="5"/>
    <m/>
    <x v="1"/>
    <s v="솔리드퍼퓸 스테이포에버 002제품선택=스테이포에버 1개"/>
    <n v="270"/>
    <x v="0"/>
    <x v="2"/>
    <n v="210101"/>
    <m/>
    <n v="9180000"/>
  </r>
  <r>
    <x v="252"/>
    <x v="5"/>
    <m/>
    <x v="1"/>
    <s v="솔리드퍼퓸 스테이포에버 002제품선택=best스테이포에버 2개[28% 할인]"/>
    <n v="139"/>
    <x v="0"/>
    <x v="8"/>
    <n v="210101"/>
    <m/>
    <n v="8173200"/>
  </r>
  <r>
    <x v="252"/>
    <x v="5"/>
    <m/>
    <x v="1"/>
    <s v="솔리드퍼퓸 스테이포에버 002제품선택=커플추천스테이포에버 + 이그나이트 세트"/>
    <n v="18"/>
    <x v="0"/>
    <x v="3"/>
    <n v="210101"/>
    <m/>
    <n v="1058400"/>
  </r>
  <r>
    <x v="252"/>
    <x v="5"/>
    <m/>
    <x v="1"/>
    <s v="솔리드퍼퓸 스테이포에버 002쇼핑백=선물용 쇼핑백"/>
    <n v="17"/>
    <x v="2"/>
    <x v="11"/>
    <n v="210101"/>
    <m/>
    <n v="34000"/>
  </r>
  <r>
    <x v="252"/>
    <x v="5"/>
    <m/>
    <x v="1"/>
    <s v="솔리드퍼퓸 이그나이트 001제품선택=이그나이트 솔리드퍼퓸 - 30ml"/>
    <n v="3"/>
    <x v="0"/>
    <x v="1"/>
    <n v="210101"/>
    <m/>
    <n v="102000"/>
  </r>
  <r>
    <x v="252"/>
    <x v="5"/>
    <m/>
    <x v="1"/>
    <s v="솔리드퍼퓸 이그나이트 001제품선택=이그나이트 2개 세트"/>
    <n v="1"/>
    <x v="0"/>
    <x v="9"/>
    <n v="210101"/>
    <m/>
    <n v="58800"/>
  </r>
  <r>
    <x v="253"/>
    <x v="6"/>
    <m/>
    <x v="1"/>
    <s v="솔리드퍼퓸 세트향=이그나이트 001 SOLID PERFUME, 세트 선택=1개"/>
    <n v="3"/>
    <x v="0"/>
    <x v="1"/>
    <n v="210101"/>
    <m/>
    <n v="102000"/>
  </r>
  <r>
    <x v="253"/>
    <x v="6"/>
    <m/>
    <x v="1"/>
    <s v="솔리드퍼퓸 세트향=이그나이트 001 SOLID PERFUME, 세트 선택=best 2개 (28% 할인)"/>
    <n v="1"/>
    <x v="0"/>
    <x v="9"/>
    <n v="210101"/>
    <m/>
    <n v="58800"/>
  </r>
  <r>
    <x v="253"/>
    <x v="6"/>
    <m/>
    <x v="1"/>
    <s v="솔리드퍼퓸 세트향=스테이포에버 002 SOLID PERFUME, 세트 선택=1개"/>
    <n v="12"/>
    <x v="0"/>
    <x v="2"/>
    <n v="210101"/>
    <m/>
    <n v="408000"/>
  </r>
  <r>
    <x v="253"/>
    <x v="6"/>
    <m/>
    <x v="1"/>
    <s v="솔리드퍼퓸 세트향=스테이포에버 002 SOLID PERFUME, 세트 선택=best 2개 (28% 할인)"/>
    <n v="4"/>
    <x v="0"/>
    <x v="8"/>
    <n v="210101"/>
    <m/>
    <n v="235200"/>
  </r>
  <r>
    <x v="253"/>
    <x v="6"/>
    <m/>
    <x v="1"/>
    <s v="솔리드퍼퓸 세트향=커플세트(이그나이트 + 스테이포에버), 세트 선택=1 SET"/>
    <n v="9"/>
    <x v="0"/>
    <x v="3"/>
    <n v="210101"/>
    <m/>
    <n v="529200"/>
  </r>
  <r>
    <x v="253"/>
    <x v="6"/>
    <m/>
    <x v="1"/>
    <s v="솔리드퍼퓸 세트향=커플세트(이그나이트 + 스테이포에버), 세트 선택=2 SET (42% 할인)"/>
    <n v="1"/>
    <x v="0"/>
    <x v="3"/>
    <n v="210101"/>
    <m/>
    <n v="58800"/>
  </r>
  <r>
    <x v="253"/>
    <x v="6"/>
    <m/>
    <x v="1"/>
    <s v="솔리드퍼퓸 스테이포에버 002제품선택=스테이포에버 1개"/>
    <n v="291"/>
    <x v="0"/>
    <x v="2"/>
    <n v="210101"/>
    <m/>
    <n v="9894000"/>
  </r>
  <r>
    <x v="253"/>
    <x v="6"/>
    <m/>
    <x v="1"/>
    <s v="솔리드퍼퓸 스테이포에버 002제품선택=best스테이포에버 2개[28% 할인]"/>
    <n v="123"/>
    <x v="0"/>
    <x v="8"/>
    <n v="210101"/>
    <m/>
    <n v="7232400"/>
  </r>
  <r>
    <x v="253"/>
    <x v="6"/>
    <m/>
    <x v="1"/>
    <s v="솔리드퍼퓸 스테이포에버 002제품선택=커플추천스테이포에버 + 이그나이트 세트"/>
    <n v="14"/>
    <x v="0"/>
    <x v="3"/>
    <n v="210101"/>
    <m/>
    <n v="823200"/>
  </r>
  <r>
    <x v="253"/>
    <x v="6"/>
    <m/>
    <x v="1"/>
    <s v="솔리드퍼퓸 스테이포에버 002쇼핑백=선물용 쇼핑백"/>
    <n v="7"/>
    <x v="2"/>
    <x v="11"/>
    <n v="210101"/>
    <m/>
    <n v="14000"/>
  </r>
  <r>
    <x v="253"/>
    <x v="6"/>
    <m/>
    <x v="1"/>
    <s v="솔리드퍼퓸 스테이포에버 002 30ml"/>
    <n v="2"/>
    <x v="0"/>
    <x v="2"/>
    <n v="210101"/>
    <m/>
    <n v="76000"/>
  </r>
  <r>
    <x v="253"/>
    <x v="6"/>
    <m/>
    <x v="1"/>
    <s v="솔리드퍼퓸 이그나이트 001제품선택=이그나이트 솔리드퍼퓸 - 30ml"/>
    <n v="2"/>
    <x v="0"/>
    <x v="1"/>
    <n v="210101"/>
    <m/>
    <n v="68000"/>
  </r>
  <r>
    <x v="253"/>
    <x v="6"/>
    <m/>
    <x v="1"/>
    <s v="솔리드퍼퓸 이그나이트 001제품선택=이그나이트 2개 세트"/>
    <n v="2"/>
    <x v="0"/>
    <x v="9"/>
    <n v="210101"/>
    <m/>
    <n v="117600"/>
  </r>
  <r>
    <x v="253"/>
    <x v="6"/>
    <m/>
    <x v="1"/>
    <s v="솔리드퍼퓸 이그나이트 001 30ml"/>
    <n v="1"/>
    <x v="0"/>
    <x v="1"/>
    <n v="210101"/>
    <m/>
    <n v="34000"/>
  </r>
  <r>
    <x v="253"/>
    <x v="6"/>
    <m/>
    <x v="1"/>
    <s v="유즈 솔리드퍼퓸 - 스테이포에버 002제품선택=스테이포에버 1개"/>
    <n v="1"/>
    <x v="0"/>
    <x v="2"/>
    <n v="210101"/>
    <m/>
    <n v="34000"/>
  </r>
  <r>
    <x v="254"/>
    <x v="2"/>
    <m/>
    <x v="2"/>
    <s v="솔리드퍼퓸 스테이포에버 002 30ml_CS"/>
    <n v="1"/>
    <x v="0"/>
    <x v="2"/>
    <n v="210101"/>
    <m/>
    <n v="0"/>
  </r>
  <r>
    <x v="254"/>
    <x v="2"/>
    <m/>
    <x v="1"/>
    <s v="선물용 쇼핑백"/>
    <n v="1"/>
    <x v="2"/>
    <x v="11"/>
    <n v="210101"/>
    <m/>
    <n v="2000"/>
  </r>
  <r>
    <x v="254"/>
    <x v="2"/>
    <m/>
    <x v="1"/>
    <s v="솔리드퍼퓸 세트향=이그나이트 001 SOLID PERFUME, 세트 선택=1개"/>
    <n v="4"/>
    <x v="0"/>
    <x v="1"/>
    <n v="210101"/>
    <m/>
    <n v="136000"/>
  </r>
  <r>
    <x v="254"/>
    <x v="2"/>
    <m/>
    <x v="1"/>
    <s v="솔리드퍼퓸 세트향=스테이포에버 002 SOLID PERFUME, 세트 선택=1개"/>
    <n v="11"/>
    <x v="0"/>
    <x v="2"/>
    <n v="210101"/>
    <m/>
    <n v="374000"/>
  </r>
  <r>
    <x v="254"/>
    <x v="2"/>
    <m/>
    <x v="1"/>
    <s v="솔리드퍼퓸 세트향=스테이포에버 002 SOLID PERFUME, 세트 선택=best 2개 (28% 할인)"/>
    <n v="9"/>
    <x v="0"/>
    <x v="8"/>
    <n v="210101"/>
    <m/>
    <n v="529200"/>
  </r>
  <r>
    <x v="254"/>
    <x v="2"/>
    <m/>
    <x v="1"/>
    <s v="솔리드퍼퓸 세트향=커플세트(이그나이트 + 스테이포에버), 세트 선택=1 SET"/>
    <n v="5"/>
    <x v="0"/>
    <x v="3"/>
    <n v="210101"/>
    <m/>
    <n v="294000"/>
  </r>
  <r>
    <x v="254"/>
    <x v="2"/>
    <m/>
    <x v="1"/>
    <s v="솔리드퍼퓸 세트향=커플세트(이그나이트 + 스테이포에버), 세트 선택=2 SET (42% 할인)"/>
    <n v="1"/>
    <x v="0"/>
    <x v="3"/>
    <n v="210101"/>
    <m/>
    <n v="58800"/>
  </r>
  <r>
    <x v="254"/>
    <x v="2"/>
    <m/>
    <x v="1"/>
    <s v="솔리드퍼퓸 스테이포에버 002제품선택=스테이포에버 1개"/>
    <n v="279"/>
    <x v="0"/>
    <x v="2"/>
    <n v="210101"/>
    <m/>
    <n v="9486000"/>
  </r>
  <r>
    <x v="254"/>
    <x v="2"/>
    <m/>
    <x v="1"/>
    <s v="솔리드퍼퓸 스테이포에버 002제품선택=best스테이포에버 2개[28% 할인]"/>
    <n v="118"/>
    <x v="0"/>
    <x v="8"/>
    <n v="210101"/>
    <m/>
    <n v="6938400"/>
  </r>
  <r>
    <x v="254"/>
    <x v="2"/>
    <m/>
    <x v="1"/>
    <s v="솔리드퍼퓸 스테이포에버 002제품선택=커플추천스테이포에버 + 이그나이트 세트"/>
    <n v="8"/>
    <x v="0"/>
    <x v="3"/>
    <n v="210101"/>
    <m/>
    <n v="470400"/>
  </r>
  <r>
    <x v="254"/>
    <x v="2"/>
    <m/>
    <x v="1"/>
    <s v="솔리드퍼퓸 스테이포에버 002쇼핑백=선물용 쇼핑백"/>
    <n v="6"/>
    <x v="2"/>
    <x v="11"/>
    <n v="210101"/>
    <m/>
    <n v="12000"/>
  </r>
  <r>
    <x v="254"/>
    <x v="2"/>
    <m/>
    <x v="1"/>
    <s v="솔리드퍼퓸 이그나이트 001제품선택=이그나이트 솔리드퍼퓸 - 30ml"/>
    <n v="6"/>
    <x v="0"/>
    <x v="1"/>
    <n v="210101"/>
    <m/>
    <n v="204000"/>
  </r>
  <r>
    <x v="254"/>
    <x v="2"/>
    <m/>
    <x v="1"/>
    <s v="솔리드퍼퓸 이그나이트 001제품선택=이그나이트 2개 세트"/>
    <n v="2"/>
    <x v="0"/>
    <x v="9"/>
    <n v="210101"/>
    <m/>
    <n v="117600"/>
  </r>
  <r>
    <x v="254"/>
    <x v="2"/>
    <m/>
    <x v="1"/>
    <s v="유즈 솔리드퍼퓸 - 스테이포에버 002제품선택=스테이포에버 1개"/>
    <n v="1"/>
    <x v="0"/>
    <x v="2"/>
    <n v="210101"/>
    <m/>
    <n v="34000"/>
  </r>
  <r>
    <x v="254"/>
    <x v="2"/>
    <m/>
    <x v="1"/>
    <s v="유즈 솔리드퍼퓸 - 스테이포에버 002제품선택=커플추천스테이포에버 + 이그나이트 세트"/>
    <n v="1"/>
    <x v="0"/>
    <x v="3"/>
    <n v="210101"/>
    <m/>
    <n v="58800"/>
  </r>
  <r>
    <x v="255"/>
    <x v="3"/>
    <m/>
    <x v="2"/>
    <s v="솔리드퍼퓸 스테이포에버 002 30ml"/>
    <n v="3"/>
    <x v="0"/>
    <x v="2"/>
    <n v="210101"/>
    <m/>
    <n v="0"/>
  </r>
  <r>
    <x v="255"/>
    <x v="3"/>
    <m/>
    <x v="2"/>
    <s v="솔리드퍼퓸 스테이포에버 002 30ml_CS"/>
    <n v="6"/>
    <x v="0"/>
    <x v="2"/>
    <n v="210101"/>
    <m/>
    <n v="0"/>
  </r>
  <r>
    <x v="255"/>
    <x v="3"/>
    <m/>
    <x v="1"/>
    <s v="선물용 쇼핑백"/>
    <n v="7"/>
    <x v="2"/>
    <x v="11"/>
    <n v="210101"/>
    <m/>
    <n v="14000"/>
  </r>
  <r>
    <x v="255"/>
    <x v="3"/>
    <m/>
    <x v="1"/>
    <s v="솔리드퍼퓸 세트향=이그나이트 001 SOLID PERFUME, 세트 선택=1개"/>
    <n v="5"/>
    <x v="0"/>
    <x v="1"/>
    <n v="210101"/>
    <m/>
    <n v="170000"/>
  </r>
  <r>
    <x v="255"/>
    <x v="3"/>
    <m/>
    <x v="1"/>
    <s v="솔리드퍼퓸 세트향=이그나이트 001 SOLID PERFUME, 세트 선택=best 2개 (28% 할인)"/>
    <n v="4"/>
    <x v="0"/>
    <x v="9"/>
    <n v="210101"/>
    <m/>
    <n v="235200"/>
  </r>
  <r>
    <x v="255"/>
    <x v="3"/>
    <m/>
    <x v="1"/>
    <s v="솔리드퍼퓸 세트향=스테이포에버 002 SOLID PERFUME, 세트 선택=1개"/>
    <n v="51"/>
    <x v="0"/>
    <x v="2"/>
    <n v="210101"/>
    <m/>
    <n v="1734000"/>
  </r>
  <r>
    <x v="255"/>
    <x v="3"/>
    <m/>
    <x v="1"/>
    <s v="솔리드퍼퓸 세트향=스테이포에버 002 SOLID PERFUME, 세트 선택=best 2개 (28% 할인)"/>
    <n v="66"/>
    <x v="0"/>
    <x v="8"/>
    <n v="210101"/>
    <m/>
    <n v="3880800"/>
  </r>
  <r>
    <x v="255"/>
    <x v="3"/>
    <m/>
    <x v="1"/>
    <s v="솔리드퍼퓸 세트향=커플세트(이그나이트 + 스테이포에버), 세트 선택=1 SET"/>
    <n v="52"/>
    <x v="0"/>
    <x v="3"/>
    <n v="210101"/>
    <m/>
    <n v="3057600"/>
  </r>
  <r>
    <x v="255"/>
    <x v="3"/>
    <m/>
    <x v="1"/>
    <s v="솔리드퍼퓸 세트향=커플세트(이그나이트 + 스테이포에버), 세트 선택=2 SET (42% 할인)"/>
    <n v="9"/>
    <x v="0"/>
    <x v="3"/>
    <n v="210101"/>
    <m/>
    <n v="529200"/>
  </r>
  <r>
    <x v="255"/>
    <x v="3"/>
    <m/>
    <x v="1"/>
    <s v="솔리드퍼퓸 스테이포에버 002제품선택=스테이포에버 1개"/>
    <n v="279"/>
    <x v="0"/>
    <x v="2"/>
    <n v="210101"/>
    <m/>
    <n v="9486000"/>
  </r>
  <r>
    <x v="255"/>
    <x v="3"/>
    <m/>
    <x v="1"/>
    <s v="솔리드퍼퓸 스테이포에버 002제품선택=best스테이포에버 2개[28% 할인]"/>
    <n v="162"/>
    <x v="0"/>
    <x v="8"/>
    <n v="210101"/>
    <m/>
    <n v="9525600"/>
  </r>
  <r>
    <x v="255"/>
    <x v="3"/>
    <m/>
    <x v="1"/>
    <s v="솔리드퍼퓸 스테이포에버 002제품선택=커플추천스테이포에버 + 이그나이트 세트"/>
    <n v="24"/>
    <x v="0"/>
    <x v="3"/>
    <n v="210101"/>
    <m/>
    <n v="1411200"/>
  </r>
  <r>
    <x v="255"/>
    <x v="3"/>
    <m/>
    <x v="1"/>
    <s v="솔리드퍼퓸 스테이포에버 002쇼핑백=선물용 쇼핑백"/>
    <n v="10"/>
    <x v="2"/>
    <x v="11"/>
    <n v="210101"/>
    <m/>
    <n v="20000"/>
  </r>
  <r>
    <x v="255"/>
    <x v="3"/>
    <m/>
    <x v="1"/>
    <s v="솔리드퍼퓸 이그나이트 001제품선택=이그나이트 솔리드퍼퓸 - 30ml"/>
    <n v="4"/>
    <x v="0"/>
    <x v="1"/>
    <n v="210101"/>
    <m/>
    <n v="136000"/>
  </r>
  <r>
    <x v="255"/>
    <x v="3"/>
    <m/>
    <x v="1"/>
    <s v="솔리드퍼퓸 이그나이트 001쇼핑백=선물용 쇼핑백"/>
    <n v="2"/>
    <x v="2"/>
    <x v="11"/>
    <n v="210101"/>
    <m/>
    <n v="4000"/>
  </r>
  <r>
    <x v="255"/>
    <x v="3"/>
    <m/>
    <x v="1"/>
    <s v="유즈 솔리드퍼퓸 - 스테이포에버 002제품선택=스테이포에버 1개"/>
    <n v="1"/>
    <x v="0"/>
    <x v="2"/>
    <n v="210101"/>
    <m/>
    <n v="34000"/>
  </r>
  <r>
    <x v="256"/>
    <x v="4"/>
    <m/>
    <x v="2"/>
    <s v="솔리드퍼퓸 스테이포에버 002 30ml_CS"/>
    <n v="1"/>
    <x v="0"/>
    <x v="2"/>
    <n v="210101"/>
    <m/>
    <n v="0"/>
  </r>
  <r>
    <x v="256"/>
    <x v="4"/>
    <m/>
    <x v="1"/>
    <s v="선물용 쇼핑백"/>
    <n v="1"/>
    <x v="2"/>
    <x v="11"/>
    <n v="210101"/>
    <m/>
    <n v="2000"/>
  </r>
  <r>
    <x v="256"/>
    <x v="4"/>
    <m/>
    <x v="1"/>
    <s v="솔리드퍼퓸 세트향=이그나이트 001 SOLID PERFUME, 세트 선택=1개"/>
    <n v="2"/>
    <x v="0"/>
    <x v="1"/>
    <n v="210101"/>
    <m/>
    <n v="68000"/>
  </r>
  <r>
    <x v="256"/>
    <x v="4"/>
    <m/>
    <x v="1"/>
    <s v="솔리드퍼퓸 세트향=이그나이트 001 SOLID PERFUME, 세트 선택=best 2개 (28% 할인)"/>
    <n v="1"/>
    <x v="0"/>
    <x v="9"/>
    <n v="210101"/>
    <m/>
    <n v="58800"/>
  </r>
  <r>
    <x v="256"/>
    <x v="4"/>
    <m/>
    <x v="1"/>
    <s v="솔리드퍼퓸 세트향=스테이포에버 002 SOLID PERFUME, 세트 선택=1개"/>
    <n v="21"/>
    <x v="0"/>
    <x v="2"/>
    <n v="210101"/>
    <m/>
    <n v="714000"/>
  </r>
  <r>
    <x v="256"/>
    <x v="4"/>
    <m/>
    <x v="1"/>
    <s v="솔리드퍼퓸 세트향=스테이포에버 002 SOLID PERFUME, 세트 선택=best 2개 (28% 할인)"/>
    <n v="6"/>
    <x v="0"/>
    <x v="8"/>
    <n v="210101"/>
    <m/>
    <n v="352800"/>
  </r>
  <r>
    <x v="256"/>
    <x v="4"/>
    <m/>
    <x v="1"/>
    <s v="솔리드퍼퓸 세트향=커플세트(이그나이트 + 스테이포에버), 세트 선택=1 SET"/>
    <n v="21"/>
    <x v="0"/>
    <x v="3"/>
    <n v="210101"/>
    <m/>
    <n v="1234800"/>
  </r>
  <r>
    <x v="256"/>
    <x v="4"/>
    <m/>
    <x v="1"/>
    <s v="솔리드퍼퓸 세트향=커플세트(이그나이트 + 스테이포에버), 세트 선택=2 SET (42% 할인)"/>
    <n v="1"/>
    <x v="0"/>
    <x v="3"/>
    <n v="210101"/>
    <m/>
    <n v="58800"/>
  </r>
  <r>
    <x v="256"/>
    <x v="4"/>
    <m/>
    <x v="1"/>
    <s v="솔리드퍼퓸 스테이포에버 002제품선택=스테이포에버 1개"/>
    <n v="221"/>
    <x v="0"/>
    <x v="2"/>
    <n v="210101"/>
    <m/>
    <n v="7514000"/>
  </r>
  <r>
    <x v="256"/>
    <x v="4"/>
    <m/>
    <x v="1"/>
    <s v="솔리드퍼퓸 스테이포에버 002제품선택=best스테이포에버 2개[28% 할인]"/>
    <n v="141"/>
    <x v="0"/>
    <x v="8"/>
    <n v="210101"/>
    <m/>
    <n v="8290800"/>
  </r>
  <r>
    <x v="256"/>
    <x v="4"/>
    <m/>
    <x v="1"/>
    <s v="솔리드퍼퓸 스테이포에버 002제품선택=커플추천스테이포에버 + 이그나이트 세트"/>
    <n v="17"/>
    <x v="0"/>
    <x v="3"/>
    <n v="210101"/>
    <m/>
    <n v="999600"/>
  </r>
  <r>
    <x v="256"/>
    <x v="4"/>
    <m/>
    <x v="1"/>
    <s v="솔리드퍼퓸 스테이포에버 002쇼핑백=선물용 쇼핑백"/>
    <n v="9"/>
    <x v="2"/>
    <x v="11"/>
    <n v="210101"/>
    <m/>
    <n v="18000"/>
  </r>
  <r>
    <x v="256"/>
    <x v="4"/>
    <m/>
    <x v="1"/>
    <s v="솔리드퍼퓸 스테이포에버 002 30ml"/>
    <n v="4"/>
    <x v="0"/>
    <x v="2"/>
    <n v="210101"/>
    <m/>
    <n v="152000"/>
  </r>
  <r>
    <x v="256"/>
    <x v="4"/>
    <m/>
    <x v="1"/>
    <s v="솔리드퍼퓸 이그나이트 001제품선택=이그나이트 솔리드퍼퓸 - 30ml"/>
    <n v="5"/>
    <x v="0"/>
    <x v="1"/>
    <n v="210101"/>
    <m/>
    <n v="170000"/>
  </r>
  <r>
    <x v="256"/>
    <x v="4"/>
    <m/>
    <x v="1"/>
    <s v="솔리드퍼퓸 이그나이트 001제품선택=이그나이트 2개 세트"/>
    <n v="1"/>
    <x v="0"/>
    <x v="9"/>
    <n v="210101"/>
    <m/>
    <n v="58800"/>
  </r>
  <r>
    <x v="256"/>
    <x v="4"/>
    <m/>
    <x v="1"/>
    <s v="솔리드퍼퓸 이그나이트 001쇼핑백=선물용 쇼핑백"/>
    <n v="3"/>
    <x v="2"/>
    <x v="11"/>
    <n v="210101"/>
    <m/>
    <n v="6000"/>
  </r>
  <r>
    <x v="257"/>
    <x v="0"/>
    <m/>
    <x v="1"/>
    <s v="선물용 쇼핑백"/>
    <n v="1"/>
    <x v="2"/>
    <x v="11"/>
    <n v="210101"/>
    <m/>
    <n v="2000"/>
  </r>
  <r>
    <x v="257"/>
    <x v="0"/>
    <m/>
    <x v="1"/>
    <s v="솔리드퍼퓸 세트향=이그나이트 001 SOLID PERFUME, 세트 선택=1개"/>
    <n v="3"/>
    <x v="0"/>
    <x v="1"/>
    <n v="210101"/>
    <m/>
    <n v="102000"/>
  </r>
  <r>
    <x v="257"/>
    <x v="0"/>
    <m/>
    <x v="1"/>
    <s v="솔리드퍼퓸 세트향=이그나이트 001 SOLID PERFUME, 세트 선택=best 2개 (28% 할인)"/>
    <n v="5"/>
    <x v="0"/>
    <x v="9"/>
    <n v="210101"/>
    <m/>
    <n v="294000"/>
  </r>
  <r>
    <x v="257"/>
    <x v="0"/>
    <m/>
    <x v="1"/>
    <s v="솔리드퍼퓸 세트향=스테이포에버 002 SOLID PERFUME, 세트 선택=1개"/>
    <n v="11"/>
    <x v="0"/>
    <x v="2"/>
    <n v="210101"/>
    <m/>
    <n v="374000"/>
  </r>
  <r>
    <x v="257"/>
    <x v="0"/>
    <m/>
    <x v="1"/>
    <s v="솔리드퍼퓸 세트향=스테이포에버 002 SOLID PERFUME, 세트 선택=best 2개 (28% 할인)"/>
    <n v="13"/>
    <x v="0"/>
    <x v="8"/>
    <n v="210101"/>
    <m/>
    <n v="764400"/>
  </r>
  <r>
    <x v="257"/>
    <x v="0"/>
    <m/>
    <x v="1"/>
    <s v="솔리드퍼퓸 세트향=커플세트(이그나이트 + 스테이포에버), 세트 선택=1 SET"/>
    <n v="15"/>
    <x v="0"/>
    <x v="3"/>
    <n v="210101"/>
    <m/>
    <n v="882000"/>
  </r>
  <r>
    <x v="257"/>
    <x v="0"/>
    <m/>
    <x v="1"/>
    <s v="솔리드퍼퓸 세트향=커플세트(이그나이트 + 스테이포에버), 세트 선택=2 SET (42% 할인)"/>
    <n v="1"/>
    <x v="0"/>
    <x v="3"/>
    <n v="210101"/>
    <m/>
    <n v="58800"/>
  </r>
  <r>
    <x v="257"/>
    <x v="0"/>
    <m/>
    <x v="1"/>
    <s v="솔리드퍼퓸 스테이포에버 002제품선택=스테이포에버 1개"/>
    <n v="174"/>
    <x v="0"/>
    <x v="2"/>
    <n v="210101"/>
    <m/>
    <n v="5916000"/>
  </r>
  <r>
    <x v="257"/>
    <x v="0"/>
    <m/>
    <x v="1"/>
    <s v="솔리드퍼퓸 스테이포에버 002제품선택=best스테이포에버 2개[28% 할인]"/>
    <n v="117"/>
    <x v="0"/>
    <x v="8"/>
    <n v="210101"/>
    <m/>
    <n v="6879600"/>
  </r>
  <r>
    <x v="257"/>
    <x v="0"/>
    <m/>
    <x v="1"/>
    <s v="솔리드퍼퓸 스테이포에버 002제품선택=커플추천스테이포에버 + 이그나이트 세트"/>
    <n v="16"/>
    <x v="0"/>
    <x v="3"/>
    <n v="210101"/>
    <m/>
    <n v="940800"/>
  </r>
  <r>
    <x v="257"/>
    <x v="0"/>
    <m/>
    <x v="1"/>
    <s v="솔리드퍼퓸 스테이포에버 002쇼핑백=선물용 쇼핑백"/>
    <n v="8"/>
    <x v="2"/>
    <x v="11"/>
    <n v="210101"/>
    <m/>
    <n v="16000"/>
  </r>
  <r>
    <x v="257"/>
    <x v="0"/>
    <m/>
    <x v="1"/>
    <s v="솔리드퍼퓸 이그나이트 001제품선택=이그나이트 2개 세트"/>
    <n v="1"/>
    <x v="0"/>
    <x v="9"/>
    <n v="210101"/>
    <m/>
    <n v="58800"/>
  </r>
  <r>
    <x v="258"/>
    <x v="1"/>
    <m/>
    <x v="1"/>
    <s v="솔리드퍼퓸 세트향=이그나이트 001 SOLID PERFUME, 세트 선택=1개"/>
    <n v="5"/>
    <x v="0"/>
    <x v="1"/>
    <n v="210101"/>
    <m/>
    <n v="170000"/>
  </r>
  <r>
    <x v="258"/>
    <x v="1"/>
    <m/>
    <x v="1"/>
    <s v="솔리드퍼퓸 세트향=스테이포에버 002 SOLID PERFUME, 세트 선택=1개"/>
    <n v="12"/>
    <x v="0"/>
    <x v="2"/>
    <n v="210101"/>
    <m/>
    <n v="408000"/>
  </r>
  <r>
    <x v="258"/>
    <x v="1"/>
    <m/>
    <x v="1"/>
    <s v="솔리드퍼퓸 세트향=스테이포에버 002 SOLID PERFUME, 세트 선택=best 2개 (28% 할인)"/>
    <n v="11"/>
    <x v="0"/>
    <x v="8"/>
    <n v="210101"/>
    <m/>
    <n v="646800"/>
  </r>
  <r>
    <x v="258"/>
    <x v="1"/>
    <m/>
    <x v="1"/>
    <s v="솔리드퍼퓸 세트향=커플세트(이그나이트 + 스테이포에버), 세트 선택=1 SET"/>
    <n v="25"/>
    <x v="0"/>
    <x v="3"/>
    <n v="210101"/>
    <m/>
    <n v="1470000"/>
  </r>
  <r>
    <x v="258"/>
    <x v="1"/>
    <m/>
    <x v="1"/>
    <s v="솔리드퍼퓸 세트향=커플세트(이그나이트 + 스테이포에버), 세트 선택=2 SET (42% 할인)"/>
    <n v="2"/>
    <x v="0"/>
    <x v="3"/>
    <n v="210101"/>
    <m/>
    <n v="117600"/>
  </r>
  <r>
    <x v="258"/>
    <x v="1"/>
    <m/>
    <x v="1"/>
    <s v="솔리드퍼퓸 스테이포에버 002제품선택=스테이포에버 1개"/>
    <n v="187"/>
    <x v="0"/>
    <x v="2"/>
    <n v="210101"/>
    <m/>
    <n v="6358000"/>
  </r>
  <r>
    <x v="258"/>
    <x v="1"/>
    <m/>
    <x v="1"/>
    <s v="솔리드퍼퓸 스테이포에버 002제품선택=best스테이포에버 2개[28% 할인]"/>
    <n v="134"/>
    <x v="0"/>
    <x v="8"/>
    <n v="210101"/>
    <m/>
    <n v="7879200"/>
  </r>
  <r>
    <x v="258"/>
    <x v="1"/>
    <m/>
    <x v="1"/>
    <s v="솔리드퍼퓸 스테이포에버 002제품선택=커플추천스테이포에버 + 이그나이트 세트"/>
    <n v="15"/>
    <x v="0"/>
    <x v="3"/>
    <n v="210101"/>
    <m/>
    <n v="882000"/>
  </r>
  <r>
    <x v="258"/>
    <x v="1"/>
    <m/>
    <x v="1"/>
    <s v="솔리드퍼퓸 스테이포에버 002쇼핑백=선물용 쇼핑백"/>
    <n v="5"/>
    <x v="2"/>
    <x v="11"/>
    <n v="210101"/>
    <m/>
    <n v="10000"/>
  </r>
  <r>
    <x v="258"/>
    <x v="1"/>
    <m/>
    <x v="1"/>
    <s v="솔리드퍼퓸 이그나이트 001제품선택=이그나이트 2개 세트"/>
    <n v="2"/>
    <x v="0"/>
    <x v="9"/>
    <n v="210101"/>
    <m/>
    <n v="117600"/>
  </r>
  <r>
    <x v="259"/>
    <x v="5"/>
    <m/>
    <x v="1"/>
    <s v="솔리드퍼퓸 세트향=이그나이트 001 SOLID PERFUME, 세트 선택=1개"/>
    <n v="2"/>
    <x v="0"/>
    <x v="1"/>
    <n v="210101"/>
    <m/>
    <n v="68000"/>
  </r>
  <r>
    <x v="259"/>
    <x v="5"/>
    <m/>
    <x v="1"/>
    <s v="솔리드퍼퓸 세트향=스테이포에버 002 SOLID PERFUME, 세트 선택=1개"/>
    <n v="15"/>
    <x v="0"/>
    <x v="2"/>
    <n v="210101"/>
    <m/>
    <n v="510000"/>
  </r>
  <r>
    <x v="259"/>
    <x v="5"/>
    <m/>
    <x v="1"/>
    <s v="솔리드퍼퓸 세트향=스테이포에버 002 SOLID PERFUME, 세트 선택=best 2개 (28% 할인)"/>
    <n v="9"/>
    <x v="0"/>
    <x v="8"/>
    <n v="210101"/>
    <m/>
    <n v="529200"/>
  </r>
  <r>
    <x v="259"/>
    <x v="5"/>
    <m/>
    <x v="1"/>
    <s v="솔리드퍼퓸 세트향=커플세트(이그나이트 + 스테이포에버), 세트 선택=1 SET"/>
    <n v="19"/>
    <x v="0"/>
    <x v="3"/>
    <n v="210101"/>
    <m/>
    <n v="1117200"/>
  </r>
  <r>
    <x v="259"/>
    <x v="5"/>
    <m/>
    <x v="1"/>
    <s v="솔리드퍼퓸 세트향=커플세트(이그나이트 + 스테이포에버), 세트 선택=2 SET (42% 할인)"/>
    <n v="1"/>
    <x v="0"/>
    <x v="3"/>
    <n v="210101"/>
    <m/>
    <n v="58800"/>
  </r>
  <r>
    <x v="259"/>
    <x v="5"/>
    <m/>
    <x v="1"/>
    <s v="솔리드퍼퓸 스테이포에버 002제품선택=스테이포에버 1개"/>
    <n v="236"/>
    <x v="0"/>
    <x v="2"/>
    <n v="210101"/>
    <m/>
    <n v="8024000"/>
  </r>
  <r>
    <x v="259"/>
    <x v="5"/>
    <m/>
    <x v="1"/>
    <s v="솔리드퍼퓸 스테이포에버 002제품선택=best스테이포에버 2개[28% 할인]"/>
    <n v="150"/>
    <x v="0"/>
    <x v="8"/>
    <n v="210101"/>
    <m/>
    <n v="8820000"/>
  </r>
  <r>
    <x v="259"/>
    <x v="5"/>
    <m/>
    <x v="1"/>
    <s v="솔리드퍼퓸 스테이포에버 002제품선택=커플추천스테이포에버 + 이그나이트 세트"/>
    <n v="18"/>
    <x v="0"/>
    <x v="3"/>
    <n v="210101"/>
    <m/>
    <n v="1058400"/>
  </r>
  <r>
    <x v="259"/>
    <x v="5"/>
    <m/>
    <x v="1"/>
    <s v="솔리드퍼퓸 스테이포에버 002쇼핑백=선물용 쇼핑백"/>
    <n v="13"/>
    <x v="2"/>
    <x v="11"/>
    <n v="210101"/>
    <m/>
    <n v="26000"/>
  </r>
  <r>
    <x v="260"/>
    <x v="6"/>
    <m/>
    <x v="2"/>
    <s v="솔리드퍼퓸 스테이포에버 002 30ml_CS"/>
    <n v="1"/>
    <x v="0"/>
    <x v="2"/>
    <n v="210101"/>
    <m/>
    <n v="0"/>
  </r>
  <r>
    <x v="260"/>
    <x v="6"/>
    <m/>
    <x v="1"/>
    <s v="솔리드퍼퓸 세트향=이그나이트 001 SOLID PERFUME, 세트 선택=best 2개 (28% 할인)"/>
    <n v="2"/>
    <x v="0"/>
    <x v="9"/>
    <n v="210101"/>
    <m/>
    <n v="117600"/>
  </r>
  <r>
    <x v="260"/>
    <x v="6"/>
    <m/>
    <x v="1"/>
    <s v="솔리드퍼퓸 세트향=스테이포에버 002 SOLID PERFUME, 세트 선택=1개"/>
    <n v="4"/>
    <x v="0"/>
    <x v="2"/>
    <n v="210101"/>
    <m/>
    <n v="136000"/>
  </r>
  <r>
    <x v="260"/>
    <x v="6"/>
    <m/>
    <x v="1"/>
    <s v="솔리드퍼퓸 세트향=스테이포에버 002 SOLID PERFUME, 세트 선택=best 2개 (28% 할인)"/>
    <n v="8"/>
    <x v="0"/>
    <x v="8"/>
    <n v="210101"/>
    <m/>
    <n v="470400"/>
  </r>
  <r>
    <x v="260"/>
    <x v="6"/>
    <m/>
    <x v="1"/>
    <s v="솔리드퍼퓸 세트향=커플세트(이그나이트 + 스테이포에버), 세트 선택=1 SET"/>
    <n v="13"/>
    <x v="0"/>
    <x v="3"/>
    <n v="210101"/>
    <m/>
    <n v="764400"/>
  </r>
  <r>
    <x v="260"/>
    <x v="6"/>
    <m/>
    <x v="1"/>
    <s v="솔리드퍼퓸 세트향=커플세트(이그나이트 + 스테이포에버), 세트 선택=2 SET (42% 할인)"/>
    <n v="2"/>
    <x v="0"/>
    <x v="3"/>
    <n v="210101"/>
    <m/>
    <n v="117600"/>
  </r>
  <r>
    <x v="260"/>
    <x v="6"/>
    <m/>
    <x v="1"/>
    <s v="솔리드퍼퓸 스테이포에버 002제품선택=스테이포에버 1개"/>
    <n v="170"/>
    <x v="0"/>
    <x v="2"/>
    <n v="210101"/>
    <m/>
    <n v="5780000"/>
  </r>
  <r>
    <x v="260"/>
    <x v="6"/>
    <m/>
    <x v="1"/>
    <s v="솔리드퍼퓸 스테이포에버 002제품선택=best스테이포에버 2개[28% 할인]"/>
    <n v="94"/>
    <x v="0"/>
    <x v="8"/>
    <n v="210101"/>
    <m/>
    <n v="5527200"/>
  </r>
  <r>
    <x v="260"/>
    <x v="6"/>
    <m/>
    <x v="1"/>
    <s v="솔리드퍼퓸 스테이포에버 002제품선택=커플추천스테이포에버 + 이그나이트 세트"/>
    <n v="9"/>
    <x v="0"/>
    <x v="3"/>
    <n v="210101"/>
    <m/>
    <n v="529200"/>
  </r>
  <r>
    <x v="260"/>
    <x v="6"/>
    <m/>
    <x v="1"/>
    <s v="솔리드퍼퓸 스테이포에버 002쇼핑백=선물용 쇼핑백"/>
    <n v="8"/>
    <x v="2"/>
    <x v="11"/>
    <n v="210101"/>
    <m/>
    <n v="16000"/>
  </r>
  <r>
    <x v="260"/>
    <x v="6"/>
    <m/>
    <x v="1"/>
    <s v="솔리드퍼퓸 이그나이트 001제품선택=이그나이트 솔리드퍼퓸 - 30ml"/>
    <n v="1"/>
    <x v="0"/>
    <x v="1"/>
    <n v="210101"/>
    <m/>
    <n v="34000"/>
  </r>
  <r>
    <x v="262"/>
    <x v="7"/>
    <m/>
    <x v="0"/>
    <m/>
    <m/>
    <x v="1"/>
    <x v="0"/>
    <m/>
    <m/>
    <m/>
  </r>
  <r>
    <x v="261"/>
    <x v="2"/>
    <m/>
    <x v="2"/>
    <s v="솔리드퍼퓸 스테이포에버 002 30ml"/>
    <n v="1"/>
    <x v="0"/>
    <x v="2"/>
    <n v="210101"/>
    <m/>
    <n v="0"/>
  </r>
  <r>
    <x v="261"/>
    <x v="2"/>
    <m/>
    <x v="2"/>
    <s v="솔리드퍼퓸 이그나이트 001 30ml_CS"/>
    <n v="1"/>
    <x v="0"/>
    <x v="1"/>
    <n v="210101"/>
    <m/>
    <n v="0"/>
  </r>
  <r>
    <x v="261"/>
    <x v="2"/>
    <m/>
    <x v="1"/>
    <s v="솔리드퍼퓸 세트향=이그나이트 001 SOLID PERFUME, 세트 선택=1개"/>
    <n v="2"/>
    <x v="0"/>
    <x v="1"/>
    <n v="210101"/>
    <m/>
    <n v="68000"/>
  </r>
  <r>
    <x v="261"/>
    <x v="2"/>
    <m/>
    <x v="1"/>
    <s v="솔리드퍼퓸 세트향=스테이포에버 002 SOLID PERFUME, 세트 선택=1개"/>
    <n v="11"/>
    <x v="0"/>
    <x v="2"/>
    <n v="210101"/>
    <m/>
    <n v="374000"/>
  </r>
  <r>
    <x v="261"/>
    <x v="2"/>
    <m/>
    <x v="1"/>
    <s v="솔리드퍼퓸 세트향=스테이포에버 002 SOLID PERFUME, 세트 선택=best 2개 (28% 할인)"/>
    <n v="10"/>
    <x v="0"/>
    <x v="8"/>
    <n v="210101"/>
    <m/>
    <n v="588000"/>
  </r>
  <r>
    <x v="261"/>
    <x v="2"/>
    <m/>
    <x v="1"/>
    <s v="솔리드퍼퓸 세트향=커플세트(이그나이트 + 스테이포에버), 세트 선택=1 SET"/>
    <n v="14"/>
    <x v="0"/>
    <x v="3"/>
    <n v="210101"/>
    <m/>
    <n v="823200"/>
  </r>
  <r>
    <x v="261"/>
    <x v="2"/>
    <m/>
    <x v="1"/>
    <s v="솔리드퍼퓸 세트향=커플세트(이그나이트 + 스테이포에버), 세트 선택=2 SET (42% 할인)"/>
    <n v="1"/>
    <x v="0"/>
    <x v="3"/>
    <n v="210101"/>
    <m/>
    <n v="58800"/>
  </r>
  <r>
    <x v="261"/>
    <x v="2"/>
    <m/>
    <x v="1"/>
    <s v="솔리드퍼퓸 스테이포에버 002제품선택=스테이포에버 1개"/>
    <n v="202"/>
    <x v="0"/>
    <x v="2"/>
    <n v="210101"/>
    <m/>
    <n v="6868000"/>
  </r>
  <r>
    <x v="261"/>
    <x v="2"/>
    <m/>
    <x v="1"/>
    <s v="솔리드퍼퓸 스테이포에버 002제품선택=best스테이포에버 2개[28% 할인]"/>
    <n v="105"/>
    <x v="0"/>
    <x v="8"/>
    <n v="210101"/>
    <m/>
    <n v="6174000"/>
  </r>
  <r>
    <x v="261"/>
    <x v="2"/>
    <m/>
    <x v="1"/>
    <s v="솔리드퍼퓸 스테이포에버 002제품선택=커플추천스테이포에버 + 이그나이트 세트"/>
    <n v="5"/>
    <x v="0"/>
    <x v="3"/>
    <n v="210101"/>
    <m/>
    <n v="294000"/>
  </r>
  <r>
    <x v="261"/>
    <x v="2"/>
    <m/>
    <x v="1"/>
    <s v="솔리드퍼퓸 스테이포에버 002쇼핑백=선물용 쇼핑백"/>
    <n v="8"/>
    <x v="2"/>
    <x v="11"/>
    <n v="210101"/>
    <m/>
    <n v="16000"/>
  </r>
  <r>
    <x v="262"/>
    <x v="7"/>
    <m/>
    <x v="0"/>
    <m/>
    <m/>
    <x v="1"/>
    <x v="0"/>
    <m/>
    <m/>
    <m/>
  </r>
</pivotCacheRecords>
</file>

<file path=xl/pivotCache/pivotCacheRecords2.xml><?xml version="1.0" encoding="utf-8"?>
<pivotCacheRecords xmlns="http://schemas.openxmlformats.org/spreadsheetml/2006/main" count="3223">
  <r>
    <x v="0"/>
    <s v="금"/>
    <s v="페이스북/인스타그램"/>
    <m/>
    <m/>
    <m/>
    <s v="고체향수"/>
    <m/>
    <m/>
    <n v="134178"/>
    <m/>
    <m/>
    <m/>
    <m/>
    <m/>
  </r>
  <r>
    <x v="1"/>
    <s v="토"/>
    <s v="페이스북/인스타그램"/>
    <m/>
    <m/>
    <m/>
    <s v="고체향수"/>
    <m/>
    <m/>
    <n v="118671"/>
    <m/>
    <m/>
    <m/>
    <m/>
    <m/>
  </r>
  <r>
    <x v="2"/>
    <s v="화"/>
    <s v="페이스북/인스타그램"/>
    <m/>
    <m/>
    <m/>
    <s v="고체향수"/>
    <m/>
    <m/>
    <n v="230036"/>
    <m/>
    <m/>
    <m/>
    <m/>
    <m/>
  </r>
  <r>
    <x v="3"/>
    <s v="수"/>
    <s v="페이스북/인스타그램"/>
    <m/>
    <m/>
    <m/>
    <s v="고체향수"/>
    <m/>
    <m/>
    <n v="647321"/>
    <m/>
    <m/>
    <m/>
    <m/>
    <m/>
  </r>
  <r>
    <x v="4"/>
    <s v="목"/>
    <s v="페이스북/인스타그램"/>
    <m/>
    <m/>
    <m/>
    <s v="고체향수"/>
    <m/>
    <m/>
    <n v="501095"/>
    <m/>
    <m/>
    <m/>
    <m/>
    <m/>
  </r>
  <r>
    <x v="5"/>
    <s v="금"/>
    <s v="페이스북/인스타그램"/>
    <m/>
    <m/>
    <m/>
    <s v="고체향수"/>
    <m/>
    <m/>
    <n v="69797"/>
    <m/>
    <m/>
    <m/>
    <m/>
    <m/>
  </r>
  <r>
    <x v="6"/>
    <s v="토"/>
    <s v="페이스북/인스타그램"/>
    <m/>
    <m/>
    <m/>
    <s v="고체향수"/>
    <m/>
    <m/>
    <n v="128834"/>
    <m/>
    <m/>
    <m/>
    <m/>
    <m/>
  </r>
  <r>
    <x v="7"/>
    <s v="일"/>
    <s v="페이스북/인스타그램"/>
    <m/>
    <m/>
    <m/>
    <s v="고체향수"/>
    <m/>
    <m/>
    <n v="200529"/>
    <m/>
    <m/>
    <m/>
    <m/>
    <m/>
  </r>
  <r>
    <x v="3"/>
    <s v="수"/>
    <s v="네이버 브랜드검색"/>
    <m/>
    <m/>
    <m/>
    <s v="고체향수"/>
    <m/>
    <m/>
    <n v="20000"/>
    <m/>
    <m/>
    <m/>
    <m/>
    <m/>
  </r>
  <r>
    <x v="4"/>
    <s v="목"/>
    <s v="네이버 브랜드검색"/>
    <m/>
    <m/>
    <m/>
    <s v="고체향수"/>
    <m/>
    <m/>
    <n v="20000"/>
    <m/>
    <m/>
    <m/>
    <m/>
    <m/>
  </r>
  <r>
    <x v="5"/>
    <s v="금"/>
    <s v="네이버 브랜드검색"/>
    <m/>
    <m/>
    <m/>
    <s v="고체향수"/>
    <m/>
    <m/>
    <n v="20000"/>
    <m/>
    <m/>
    <m/>
    <m/>
    <m/>
  </r>
  <r>
    <x v="6"/>
    <s v="토"/>
    <s v="네이버 브랜드검색"/>
    <m/>
    <m/>
    <m/>
    <s v="고체향수"/>
    <m/>
    <m/>
    <n v="20000"/>
    <m/>
    <m/>
    <m/>
    <m/>
    <m/>
  </r>
  <r>
    <x v="7"/>
    <s v="일"/>
    <s v="네이버 브랜드검색"/>
    <m/>
    <m/>
    <m/>
    <s v="고체향수"/>
    <m/>
    <m/>
    <n v="20000"/>
    <m/>
    <m/>
    <m/>
    <m/>
    <m/>
  </r>
  <r>
    <x v="2"/>
    <s v="화"/>
    <s v="뷰스컴퍼니 리뷰"/>
    <m/>
    <m/>
    <m/>
    <s v="고체향수"/>
    <m/>
    <m/>
    <n v="200000"/>
    <m/>
    <m/>
    <m/>
    <m/>
    <m/>
  </r>
  <r>
    <x v="8"/>
    <s v="월"/>
    <s v="페이스북/인스타그램"/>
    <m/>
    <m/>
    <m/>
    <s v="고체향수"/>
    <m/>
    <m/>
    <n v="192706"/>
    <m/>
    <m/>
    <m/>
    <m/>
    <m/>
  </r>
  <r>
    <x v="9"/>
    <s v="화"/>
    <s v="페이스북/인스타그램"/>
    <m/>
    <m/>
    <m/>
    <s v="고체향수"/>
    <m/>
    <m/>
    <n v="113677"/>
    <m/>
    <m/>
    <m/>
    <m/>
    <m/>
  </r>
  <r>
    <x v="10"/>
    <s v="수"/>
    <s v="페이스북/인스타그램"/>
    <m/>
    <m/>
    <m/>
    <s v="고체향수"/>
    <m/>
    <m/>
    <n v="377714"/>
    <m/>
    <m/>
    <m/>
    <m/>
    <m/>
  </r>
  <r>
    <x v="11"/>
    <s v="목"/>
    <s v="페이스북/인스타그램"/>
    <m/>
    <m/>
    <m/>
    <s v="고체향수"/>
    <m/>
    <m/>
    <n v="580159"/>
    <m/>
    <m/>
    <m/>
    <m/>
    <m/>
  </r>
  <r>
    <x v="12"/>
    <s v="금"/>
    <s v="페이스북/인스타그램"/>
    <m/>
    <m/>
    <m/>
    <s v="고체향수"/>
    <m/>
    <m/>
    <n v="269053"/>
    <m/>
    <m/>
    <m/>
    <m/>
    <m/>
  </r>
  <r>
    <x v="13"/>
    <s v="토"/>
    <s v="페이스북/인스타그램"/>
    <m/>
    <m/>
    <m/>
    <s v="고체향수"/>
    <m/>
    <m/>
    <n v="237187"/>
    <m/>
    <m/>
    <m/>
    <m/>
    <m/>
  </r>
  <r>
    <x v="14"/>
    <s v="일"/>
    <s v="페이스북/인스타그램"/>
    <m/>
    <m/>
    <m/>
    <s v="고체향수"/>
    <m/>
    <m/>
    <n v="193524"/>
    <m/>
    <m/>
    <m/>
    <m/>
    <m/>
  </r>
  <r>
    <x v="15"/>
    <s v="월"/>
    <s v="페이스북/인스타그램"/>
    <m/>
    <m/>
    <m/>
    <s v="고체향수"/>
    <m/>
    <m/>
    <n v="161106"/>
    <m/>
    <m/>
    <m/>
    <m/>
    <m/>
  </r>
  <r>
    <x v="16"/>
    <s v="화"/>
    <s v="페이스북/인스타그램"/>
    <m/>
    <m/>
    <m/>
    <s v="고체향수"/>
    <m/>
    <m/>
    <n v="282434"/>
    <m/>
    <m/>
    <m/>
    <m/>
    <m/>
  </r>
  <r>
    <x v="17"/>
    <s v="수"/>
    <s v="페이스북/인스타그램"/>
    <m/>
    <m/>
    <m/>
    <s v="고체향수"/>
    <m/>
    <m/>
    <n v="396809"/>
    <m/>
    <m/>
    <m/>
    <m/>
    <m/>
  </r>
  <r>
    <x v="18"/>
    <s v="목"/>
    <s v="페이스북/인스타그램"/>
    <m/>
    <m/>
    <m/>
    <s v="고체향수"/>
    <m/>
    <m/>
    <n v="390556"/>
    <m/>
    <m/>
    <m/>
    <m/>
    <m/>
  </r>
  <r>
    <x v="19"/>
    <s v="금"/>
    <s v="페이스북/인스타그램"/>
    <m/>
    <m/>
    <m/>
    <s v="고체향수"/>
    <m/>
    <m/>
    <n v="328542"/>
    <m/>
    <m/>
    <m/>
    <m/>
    <m/>
  </r>
  <r>
    <x v="20"/>
    <s v="토"/>
    <s v="페이스북/인스타그램"/>
    <m/>
    <m/>
    <m/>
    <s v="고체향수"/>
    <m/>
    <m/>
    <n v="350961"/>
    <m/>
    <m/>
    <m/>
    <m/>
    <m/>
  </r>
  <r>
    <x v="21"/>
    <s v="일"/>
    <s v="페이스북/인스타그램"/>
    <m/>
    <m/>
    <m/>
    <s v="고체향수"/>
    <m/>
    <m/>
    <n v="353357"/>
    <m/>
    <m/>
    <m/>
    <m/>
    <m/>
  </r>
  <r>
    <x v="22"/>
    <s v="월"/>
    <s v="페이스북/인스타그램"/>
    <m/>
    <m/>
    <m/>
    <s v="고체향수"/>
    <m/>
    <m/>
    <n v="338206"/>
    <m/>
    <m/>
    <m/>
    <m/>
    <m/>
  </r>
  <r>
    <x v="23"/>
    <s v="화"/>
    <s v="페이스북/인스타그램"/>
    <m/>
    <m/>
    <m/>
    <s v="고체향수"/>
    <m/>
    <m/>
    <n v="355041"/>
    <m/>
    <m/>
    <m/>
    <m/>
    <m/>
  </r>
  <r>
    <x v="24"/>
    <s v="수"/>
    <s v="페이스북/인스타그램"/>
    <m/>
    <m/>
    <m/>
    <s v="고체향수"/>
    <m/>
    <m/>
    <n v="468860"/>
    <m/>
    <m/>
    <m/>
    <m/>
    <m/>
  </r>
  <r>
    <x v="25"/>
    <s v="목"/>
    <s v="페이스북/인스타그램"/>
    <m/>
    <m/>
    <m/>
    <s v="고체향수"/>
    <m/>
    <m/>
    <n v="961927"/>
    <m/>
    <m/>
    <m/>
    <m/>
    <m/>
  </r>
  <r>
    <x v="26"/>
    <s v="금"/>
    <s v="페이스북/인스타그램"/>
    <m/>
    <m/>
    <m/>
    <s v="고체향수"/>
    <m/>
    <m/>
    <n v="878473"/>
    <m/>
    <m/>
    <m/>
    <m/>
    <m/>
  </r>
  <r>
    <x v="27"/>
    <s v="토"/>
    <s v="페이스북/인스타그램"/>
    <m/>
    <m/>
    <m/>
    <s v="고체향수"/>
    <m/>
    <m/>
    <n v="1087409"/>
    <m/>
    <m/>
    <m/>
    <m/>
    <m/>
  </r>
  <r>
    <x v="28"/>
    <s v="일"/>
    <s v="페이스북/인스타그램"/>
    <m/>
    <m/>
    <m/>
    <s v="고체향수"/>
    <m/>
    <m/>
    <n v="1248838"/>
    <m/>
    <m/>
    <m/>
    <m/>
    <m/>
  </r>
  <r>
    <x v="29"/>
    <s v="월"/>
    <s v="페이스북/인스타그램"/>
    <m/>
    <m/>
    <m/>
    <s v="고체향수"/>
    <m/>
    <m/>
    <n v="1602474"/>
    <m/>
    <m/>
    <m/>
    <m/>
    <m/>
  </r>
  <r>
    <x v="30"/>
    <s v="화"/>
    <s v="페이스북/인스타그램"/>
    <m/>
    <m/>
    <m/>
    <s v="고체향수"/>
    <m/>
    <m/>
    <n v="1567376"/>
    <m/>
    <m/>
    <m/>
    <m/>
    <m/>
  </r>
  <r>
    <x v="31"/>
    <s v="수"/>
    <s v="페이스북/인스타그램"/>
    <m/>
    <m/>
    <m/>
    <s v="고체향수"/>
    <m/>
    <m/>
    <n v="1607092"/>
    <m/>
    <m/>
    <m/>
    <m/>
    <m/>
  </r>
  <r>
    <x v="32"/>
    <s v="목"/>
    <s v="페이스북/인스타그램"/>
    <m/>
    <m/>
    <m/>
    <s v="고체향수"/>
    <m/>
    <m/>
    <n v="1780764"/>
    <m/>
    <m/>
    <m/>
    <m/>
    <m/>
  </r>
  <r>
    <x v="33"/>
    <s v="금"/>
    <s v="페이스북/인스타그램"/>
    <m/>
    <m/>
    <m/>
    <s v="고체향수"/>
    <m/>
    <m/>
    <n v="1809511"/>
    <m/>
    <m/>
    <m/>
    <m/>
    <m/>
  </r>
  <r>
    <x v="34"/>
    <s v="토"/>
    <s v="페이스북/인스타그램"/>
    <m/>
    <m/>
    <m/>
    <s v="고체향수"/>
    <m/>
    <m/>
    <n v="1920335"/>
    <m/>
    <m/>
    <m/>
    <m/>
    <m/>
  </r>
  <r>
    <x v="35"/>
    <s v="일"/>
    <s v="페이스북/인스타그램"/>
    <m/>
    <m/>
    <m/>
    <s v="고체향수"/>
    <m/>
    <m/>
    <n v="1598927"/>
    <m/>
    <m/>
    <m/>
    <m/>
    <m/>
  </r>
  <r>
    <x v="36"/>
    <s v="월"/>
    <s v="페이스북/인스타그램"/>
    <m/>
    <m/>
    <m/>
    <s v="고체향수"/>
    <m/>
    <m/>
    <n v="1355641"/>
    <m/>
    <m/>
    <m/>
    <m/>
    <m/>
  </r>
  <r>
    <x v="37"/>
    <s v="화"/>
    <s v="페이스북/인스타그램"/>
    <m/>
    <m/>
    <m/>
    <s v="고체향수"/>
    <m/>
    <m/>
    <n v="1301523"/>
    <m/>
    <m/>
    <m/>
    <m/>
    <m/>
  </r>
  <r>
    <x v="38"/>
    <s v="수"/>
    <s v="페이스북/인스타그램"/>
    <m/>
    <m/>
    <m/>
    <s v="고체향수"/>
    <m/>
    <m/>
    <n v="866004"/>
    <m/>
    <m/>
    <m/>
    <m/>
    <m/>
  </r>
  <r>
    <x v="39"/>
    <s v="목"/>
    <s v="페이스북/인스타그램"/>
    <m/>
    <m/>
    <m/>
    <s v="고체향수"/>
    <m/>
    <m/>
    <n v="988933"/>
    <m/>
    <m/>
    <m/>
    <m/>
    <m/>
  </r>
  <r>
    <x v="40"/>
    <s v="금"/>
    <s v="페이스북/인스타그램"/>
    <m/>
    <m/>
    <m/>
    <s v="고체향수"/>
    <m/>
    <m/>
    <n v="532347"/>
    <m/>
    <m/>
    <m/>
    <m/>
    <m/>
  </r>
  <r>
    <x v="41"/>
    <s v="토"/>
    <s v="페이스북/인스타그램"/>
    <m/>
    <m/>
    <m/>
    <s v="고체향수"/>
    <m/>
    <m/>
    <n v="126894"/>
    <m/>
    <m/>
    <m/>
    <m/>
    <m/>
  </r>
  <r>
    <x v="42"/>
    <s v="일"/>
    <s v="페이스북/인스타그램"/>
    <m/>
    <m/>
    <m/>
    <s v="고체향수"/>
    <m/>
    <m/>
    <n v="261799"/>
    <m/>
    <m/>
    <m/>
    <m/>
    <m/>
  </r>
  <r>
    <x v="43"/>
    <s v="월"/>
    <s v="페이스북/인스타그램"/>
    <m/>
    <m/>
    <m/>
    <s v="고체향수"/>
    <m/>
    <m/>
    <n v="447045"/>
    <m/>
    <m/>
    <m/>
    <m/>
    <m/>
  </r>
  <r>
    <x v="44"/>
    <s v="화"/>
    <s v="페이스북/인스타그램"/>
    <m/>
    <m/>
    <m/>
    <s v="고체향수"/>
    <m/>
    <m/>
    <n v="621711"/>
    <m/>
    <m/>
    <m/>
    <m/>
    <m/>
  </r>
  <r>
    <x v="45"/>
    <s v="수"/>
    <s v="페이스북/인스타그램"/>
    <m/>
    <m/>
    <m/>
    <s v="고체향수"/>
    <m/>
    <m/>
    <n v="617293"/>
    <m/>
    <m/>
    <m/>
    <m/>
    <m/>
  </r>
  <r>
    <x v="46"/>
    <s v="목"/>
    <s v="페이스북/인스타그램"/>
    <m/>
    <m/>
    <m/>
    <s v="고체향수"/>
    <m/>
    <m/>
    <n v="721867"/>
    <m/>
    <m/>
    <m/>
    <m/>
    <m/>
  </r>
  <r>
    <x v="47"/>
    <s v="금"/>
    <s v="페이스북/인스타그램"/>
    <m/>
    <m/>
    <m/>
    <s v="고체향수"/>
    <m/>
    <m/>
    <n v="450794"/>
    <m/>
    <m/>
    <m/>
    <m/>
    <m/>
  </r>
  <r>
    <x v="48"/>
    <s v="토"/>
    <s v="페이스북/인스타그램"/>
    <m/>
    <m/>
    <m/>
    <s v="고체향수"/>
    <m/>
    <m/>
    <n v="726705"/>
    <m/>
    <m/>
    <m/>
    <m/>
    <m/>
  </r>
  <r>
    <x v="49"/>
    <s v="일"/>
    <s v="페이스북/인스타그램"/>
    <m/>
    <m/>
    <m/>
    <s v="고체향수"/>
    <m/>
    <m/>
    <n v="1105544"/>
    <m/>
    <m/>
    <m/>
    <m/>
    <m/>
  </r>
  <r>
    <x v="50"/>
    <s v="월"/>
    <s v="페이스북/인스타그램"/>
    <m/>
    <m/>
    <m/>
    <s v="고체향수"/>
    <m/>
    <m/>
    <n v="729014"/>
    <m/>
    <m/>
    <m/>
    <m/>
    <m/>
  </r>
  <r>
    <x v="51"/>
    <s v="화"/>
    <s v="페이스북/인스타그램"/>
    <m/>
    <m/>
    <m/>
    <s v="고체향수"/>
    <m/>
    <m/>
    <n v="1494667"/>
    <m/>
    <m/>
    <m/>
    <m/>
    <m/>
  </r>
  <r>
    <x v="52"/>
    <s v="수"/>
    <s v="페이스북/인스타그램"/>
    <m/>
    <m/>
    <m/>
    <s v="고체향수"/>
    <m/>
    <m/>
    <n v="1996151"/>
    <m/>
    <m/>
    <m/>
    <m/>
    <m/>
  </r>
  <r>
    <x v="53"/>
    <s v="목"/>
    <s v="페이스북/인스타그램"/>
    <m/>
    <m/>
    <m/>
    <s v="고체향수"/>
    <m/>
    <m/>
    <n v="1297037"/>
    <m/>
    <m/>
    <m/>
    <m/>
    <m/>
  </r>
  <r>
    <x v="54"/>
    <s v="금"/>
    <s v="페이스북/인스타그램"/>
    <m/>
    <m/>
    <m/>
    <s v="고체향수"/>
    <m/>
    <m/>
    <n v="2002362"/>
    <m/>
    <m/>
    <m/>
    <m/>
    <m/>
  </r>
  <r>
    <x v="55"/>
    <s v="토"/>
    <s v="페이스북/인스타그램"/>
    <m/>
    <m/>
    <m/>
    <s v="고체향수"/>
    <m/>
    <m/>
    <n v="867269"/>
    <m/>
    <m/>
    <m/>
    <m/>
    <m/>
  </r>
  <r>
    <x v="56"/>
    <s v="일"/>
    <s v="페이스북/인스타그램"/>
    <m/>
    <m/>
    <m/>
    <s v="고체향수"/>
    <m/>
    <m/>
    <n v="1072667"/>
    <m/>
    <m/>
    <m/>
    <m/>
    <m/>
  </r>
  <r>
    <x v="57"/>
    <s v="월"/>
    <s v="페이스북/인스타그램"/>
    <m/>
    <m/>
    <m/>
    <s v="고체향수"/>
    <m/>
    <m/>
    <n v="1269040"/>
    <m/>
    <m/>
    <m/>
    <m/>
    <m/>
  </r>
  <r>
    <x v="48"/>
    <s v="토"/>
    <s v="네이버 쇼핑검색"/>
    <m/>
    <m/>
    <m/>
    <s v="고체향수"/>
    <m/>
    <m/>
    <n v="499.9999999999999"/>
    <m/>
    <m/>
    <m/>
    <m/>
    <m/>
  </r>
  <r>
    <x v="49"/>
    <s v="일"/>
    <s v="네이버 쇼핑검색"/>
    <m/>
    <m/>
    <m/>
    <s v="고체향수"/>
    <m/>
    <m/>
    <n v="1120"/>
    <m/>
    <m/>
    <m/>
    <m/>
    <m/>
  </r>
  <r>
    <x v="50"/>
    <s v="월"/>
    <s v="네이버 쇼핑검색"/>
    <m/>
    <m/>
    <m/>
    <s v="고체향수"/>
    <m/>
    <m/>
    <n v="3070"/>
    <m/>
    <m/>
    <m/>
    <m/>
    <m/>
  </r>
  <r>
    <x v="51"/>
    <s v="화"/>
    <s v="네이버 쇼핑검색"/>
    <m/>
    <m/>
    <m/>
    <s v="고체향수"/>
    <m/>
    <m/>
    <n v="1540"/>
    <m/>
    <m/>
    <m/>
    <m/>
    <m/>
  </r>
  <r>
    <x v="52"/>
    <s v="수"/>
    <s v="네이버 쇼핑검색"/>
    <m/>
    <m/>
    <m/>
    <s v="고체향수"/>
    <m/>
    <m/>
    <n v="2380"/>
    <m/>
    <m/>
    <m/>
    <m/>
    <m/>
  </r>
  <r>
    <x v="53"/>
    <s v="목"/>
    <s v="네이버 쇼핑검색"/>
    <m/>
    <m/>
    <m/>
    <s v="고체향수"/>
    <m/>
    <m/>
    <n v="2080"/>
    <m/>
    <m/>
    <m/>
    <m/>
    <m/>
  </r>
  <r>
    <x v="54"/>
    <s v="금"/>
    <s v="네이버 쇼핑검색"/>
    <m/>
    <m/>
    <m/>
    <s v="고체향수"/>
    <m/>
    <m/>
    <n v="3170"/>
    <m/>
    <m/>
    <m/>
    <m/>
    <m/>
  </r>
  <r>
    <x v="55"/>
    <s v="토"/>
    <s v="네이버 쇼핑검색"/>
    <m/>
    <m/>
    <m/>
    <s v="고체향수"/>
    <m/>
    <m/>
    <n v="4110"/>
    <m/>
    <m/>
    <m/>
    <m/>
    <m/>
  </r>
  <r>
    <x v="56"/>
    <s v="일"/>
    <s v="네이버 쇼핑검색"/>
    <m/>
    <m/>
    <m/>
    <s v="고체향수"/>
    <m/>
    <m/>
    <n v="799.9999999999999"/>
    <m/>
    <m/>
    <m/>
    <m/>
    <m/>
  </r>
  <r>
    <x v="57"/>
    <s v="월"/>
    <s v="네이버 쇼핑검색"/>
    <m/>
    <m/>
    <m/>
    <s v="고체향수"/>
    <m/>
    <m/>
    <n v="4130"/>
    <m/>
    <m/>
    <m/>
    <m/>
    <m/>
  </r>
  <r>
    <x v="40"/>
    <s v="금"/>
    <s v="네이버 파워링크"/>
    <m/>
    <m/>
    <m/>
    <s v="고체향수"/>
    <m/>
    <m/>
    <n v="70"/>
    <m/>
    <m/>
    <m/>
    <m/>
    <m/>
  </r>
  <r>
    <x v="42"/>
    <s v="일"/>
    <s v="네이버 파워링크"/>
    <m/>
    <m/>
    <m/>
    <s v="고체향수"/>
    <m/>
    <m/>
    <n v="70"/>
    <m/>
    <m/>
    <m/>
    <m/>
    <m/>
  </r>
  <r>
    <x v="45"/>
    <s v="수"/>
    <s v="네이버 파워링크"/>
    <m/>
    <m/>
    <m/>
    <s v="고체향수"/>
    <m/>
    <m/>
    <n v="70"/>
    <m/>
    <m/>
    <m/>
    <m/>
    <m/>
  </r>
  <r>
    <x v="47"/>
    <s v="금"/>
    <s v="네이버 파워링크"/>
    <m/>
    <m/>
    <m/>
    <s v="고체향수"/>
    <m/>
    <m/>
    <n v="140"/>
    <m/>
    <m/>
    <m/>
    <m/>
    <m/>
  </r>
  <r>
    <x v="57"/>
    <s v="월"/>
    <s v="네이버 파워링크"/>
    <m/>
    <m/>
    <m/>
    <s v="고체향수"/>
    <m/>
    <m/>
    <n v="70"/>
    <m/>
    <m/>
    <m/>
    <m/>
    <m/>
  </r>
  <r>
    <x v="8"/>
    <s v="월"/>
    <s v="네이버 브랜드검색"/>
    <m/>
    <m/>
    <m/>
    <s v="고체향수"/>
    <m/>
    <m/>
    <n v="20000"/>
    <m/>
    <m/>
    <m/>
    <m/>
    <m/>
  </r>
  <r>
    <x v="9"/>
    <s v="화"/>
    <s v="네이버 브랜드검색"/>
    <m/>
    <m/>
    <m/>
    <s v="고체향수"/>
    <m/>
    <m/>
    <n v="20000"/>
    <m/>
    <m/>
    <m/>
    <m/>
    <m/>
  </r>
  <r>
    <x v="10"/>
    <s v="수"/>
    <s v="네이버 브랜드검색"/>
    <m/>
    <m/>
    <m/>
    <s v="고체향수"/>
    <m/>
    <m/>
    <n v="20000"/>
    <m/>
    <m/>
    <m/>
    <m/>
    <m/>
  </r>
  <r>
    <x v="11"/>
    <s v="목"/>
    <s v="네이버 브랜드검색"/>
    <m/>
    <m/>
    <m/>
    <s v="고체향수"/>
    <m/>
    <m/>
    <n v="20000"/>
    <m/>
    <m/>
    <m/>
    <m/>
    <m/>
  </r>
  <r>
    <x v="12"/>
    <s v="금"/>
    <s v="네이버 브랜드검색"/>
    <m/>
    <m/>
    <m/>
    <s v="고체향수"/>
    <m/>
    <m/>
    <n v="20000"/>
    <m/>
    <m/>
    <m/>
    <m/>
    <m/>
  </r>
  <r>
    <x v="13"/>
    <s v="토"/>
    <s v="네이버 브랜드검색"/>
    <m/>
    <m/>
    <m/>
    <s v="고체향수"/>
    <m/>
    <m/>
    <n v="20000"/>
    <m/>
    <m/>
    <m/>
    <m/>
    <m/>
  </r>
  <r>
    <x v="14"/>
    <s v="일"/>
    <s v="네이버 브랜드검색"/>
    <m/>
    <m/>
    <m/>
    <s v="고체향수"/>
    <m/>
    <m/>
    <n v="20000"/>
    <m/>
    <m/>
    <m/>
    <m/>
    <m/>
  </r>
  <r>
    <x v="15"/>
    <s v="월"/>
    <s v="네이버 브랜드검색"/>
    <m/>
    <m/>
    <m/>
    <s v="고체향수"/>
    <m/>
    <m/>
    <n v="20000"/>
    <m/>
    <m/>
    <m/>
    <m/>
    <m/>
  </r>
  <r>
    <x v="16"/>
    <s v="화"/>
    <s v="네이버 브랜드검색"/>
    <m/>
    <m/>
    <m/>
    <s v="고체향수"/>
    <m/>
    <m/>
    <n v="20000"/>
    <m/>
    <m/>
    <m/>
    <m/>
    <m/>
  </r>
  <r>
    <x v="17"/>
    <s v="수"/>
    <s v="네이버 브랜드검색"/>
    <m/>
    <m/>
    <m/>
    <s v="고체향수"/>
    <m/>
    <m/>
    <n v="20000"/>
    <m/>
    <m/>
    <m/>
    <m/>
    <m/>
  </r>
  <r>
    <x v="18"/>
    <s v="목"/>
    <s v="네이버 브랜드검색"/>
    <m/>
    <m/>
    <m/>
    <s v="고체향수"/>
    <m/>
    <m/>
    <n v="20000"/>
    <m/>
    <m/>
    <m/>
    <m/>
    <m/>
  </r>
  <r>
    <x v="19"/>
    <s v="금"/>
    <s v="네이버 브랜드검색"/>
    <m/>
    <m/>
    <m/>
    <s v="고체향수"/>
    <m/>
    <m/>
    <n v="20000"/>
    <m/>
    <m/>
    <m/>
    <m/>
    <m/>
  </r>
  <r>
    <x v="20"/>
    <s v="토"/>
    <s v="네이버 브랜드검색"/>
    <m/>
    <m/>
    <m/>
    <s v="고체향수"/>
    <m/>
    <m/>
    <n v="20000"/>
    <m/>
    <m/>
    <m/>
    <m/>
    <m/>
  </r>
  <r>
    <x v="21"/>
    <s v="일"/>
    <s v="네이버 브랜드검색"/>
    <m/>
    <m/>
    <m/>
    <s v="고체향수"/>
    <m/>
    <m/>
    <n v="20000"/>
    <m/>
    <m/>
    <m/>
    <m/>
    <m/>
  </r>
  <r>
    <x v="22"/>
    <s v="월"/>
    <s v="네이버 브랜드검색"/>
    <m/>
    <m/>
    <m/>
    <s v="고체향수"/>
    <m/>
    <m/>
    <n v="20000"/>
    <m/>
    <m/>
    <m/>
    <m/>
    <m/>
  </r>
  <r>
    <x v="23"/>
    <s v="화"/>
    <s v="네이버 브랜드검색"/>
    <m/>
    <m/>
    <m/>
    <s v="고체향수"/>
    <m/>
    <m/>
    <n v="20000"/>
    <m/>
    <m/>
    <m/>
    <m/>
    <m/>
  </r>
  <r>
    <x v="24"/>
    <s v="수"/>
    <s v="네이버 브랜드검색"/>
    <m/>
    <m/>
    <m/>
    <s v="고체향수"/>
    <m/>
    <m/>
    <n v="20000"/>
    <m/>
    <m/>
    <m/>
    <m/>
    <m/>
  </r>
  <r>
    <x v="25"/>
    <s v="목"/>
    <s v="네이버 브랜드검색"/>
    <m/>
    <m/>
    <m/>
    <s v="고체향수"/>
    <m/>
    <m/>
    <n v="20000"/>
    <m/>
    <m/>
    <m/>
    <m/>
    <m/>
  </r>
  <r>
    <x v="26"/>
    <s v="금"/>
    <s v="네이버 브랜드검색"/>
    <m/>
    <m/>
    <m/>
    <s v="고체향수"/>
    <m/>
    <m/>
    <n v="20000"/>
    <m/>
    <m/>
    <m/>
    <m/>
    <m/>
  </r>
  <r>
    <x v="27"/>
    <s v="토"/>
    <s v="네이버 브랜드검색"/>
    <m/>
    <m/>
    <m/>
    <s v="고체향수"/>
    <m/>
    <m/>
    <n v="20000"/>
    <m/>
    <m/>
    <m/>
    <m/>
    <m/>
  </r>
  <r>
    <x v="28"/>
    <s v="일"/>
    <s v="네이버 브랜드검색"/>
    <m/>
    <m/>
    <m/>
    <s v="고체향수"/>
    <m/>
    <m/>
    <n v="20000"/>
    <m/>
    <m/>
    <m/>
    <m/>
    <m/>
  </r>
  <r>
    <x v="29"/>
    <s v="월"/>
    <s v="네이버 브랜드검색"/>
    <m/>
    <m/>
    <m/>
    <s v="고체향수"/>
    <m/>
    <m/>
    <n v="20000"/>
    <m/>
    <m/>
    <m/>
    <m/>
    <m/>
  </r>
  <r>
    <x v="30"/>
    <s v="화"/>
    <s v="네이버 브랜드검색"/>
    <m/>
    <m/>
    <m/>
    <s v="고체향수"/>
    <m/>
    <m/>
    <n v="20000"/>
    <m/>
    <m/>
    <m/>
    <m/>
    <m/>
  </r>
  <r>
    <x v="31"/>
    <s v="수"/>
    <s v="네이버 브랜드검색"/>
    <m/>
    <m/>
    <m/>
    <s v="고체향수"/>
    <m/>
    <m/>
    <n v="20000"/>
    <m/>
    <m/>
    <m/>
    <m/>
    <m/>
  </r>
  <r>
    <x v="32"/>
    <s v="목"/>
    <s v="네이버 브랜드검색"/>
    <m/>
    <m/>
    <m/>
    <s v="고체향수"/>
    <m/>
    <m/>
    <n v="20000"/>
    <m/>
    <m/>
    <m/>
    <m/>
    <m/>
  </r>
  <r>
    <x v="33"/>
    <s v="금"/>
    <s v="네이버 브랜드검색"/>
    <m/>
    <m/>
    <m/>
    <s v="고체향수"/>
    <m/>
    <m/>
    <n v="20000"/>
    <m/>
    <m/>
    <m/>
    <m/>
    <m/>
  </r>
  <r>
    <x v="34"/>
    <s v="토"/>
    <s v="네이버 브랜드검색"/>
    <m/>
    <m/>
    <m/>
    <s v="고체향수"/>
    <m/>
    <m/>
    <n v="20000"/>
    <m/>
    <m/>
    <m/>
    <m/>
    <m/>
  </r>
  <r>
    <x v="35"/>
    <s v="일"/>
    <s v="네이버 브랜드검색"/>
    <m/>
    <m/>
    <m/>
    <s v="고체향수"/>
    <m/>
    <m/>
    <n v="20000"/>
    <m/>
    <m/>
    <m/>
    <m/>
    <m/>
  </r>
  <r>
    <x v="36"/>
    <s v="월"/>
    <s v="네이버 브랜드검색"/>
    <m/>
    <m/>
    <m/>
    <s v="고체향수"/>
    <m/>
    <m/>
    <n v="20000"/>
    <m/>
    <m/>
    <m/>
    <m/>
    <m/>
  </r>
  <r>
    <x v="37"/>
    <s v="화"/>
    <s v="네이버 브랜드검색"/>
    <m/>
    <m/>
    <m/>
    <s v="고체향수"/>
    <m/>
    <m/>
    <n v="20000"/>
    <m/>
    <m/>
    <m/>
    <m/>
    <m/>
  </r>
  <r>
    <x v="38"/>
    <s v="수"/>
    <s v="네이버 브랜드검색"/>
    <m/>
    <m/>
    <m/>
    <s v="고체향수"/>
    <m/>
    <m/>
    <n v="20000"/>
    <m/>
    <m/>
    <m/>
    <m/>
    <m/>
  </r>
  <r>
    <x v="39"/>
    <s v="목"/>
    <s v="네이버 브랜드검색"/>
    <m/>
    <m/>
    <m/>
    <s v="고체향수"/>
    <m/>
    <m/>
    <n v="20000"/>
    <m/>
    <m/>
    <m/>
    <m/>
    <m/>
  </r>
  <r>
    <x v="40"/>
    <s v="금"/>
    <s v="네이버 브랜드검색"/>
    <m/>
    <m/>
    <m/>
    <s v="고체향수"/>
    <m/>
    <m/>
    <n v="20000"/>
    <m/>
    <m/>
    <m/>
    <m/>
    <m/>
  </r>
  <r>
    <x v="41"/>
    <s v="토"/>
    <s v="네이버 브랜드검색"/>
    <m/>
    <m/>
    <m/>
    <s v="고체향수"/>
    <m/>
    <m/>
    <n v="20000"/>
    <m/>
    <m/>
    <m/>
    <m/>
    <m/>
  </r>
  <r>
    <x v="42"/>
    <s v="일"/>
    <s v="네이버 브랜드검색"/>
    <m/>
    <m/>
    <m/>
    <s v="고체향수"/>
    <m/>
    <m/>
    <n v="20000"/>
    <m/>
    <m/>
    <m/>
    <m/>
    <m/>
  </r>
  <r>
    <x v="43"/>
    <s v="월"/>
    <s v="네이버 브랜드검색"/>
    <m/>
    <m/>
    <m/>
    <s v="고체향수"/>
    <m/>
    <m/>
    <n v="20000"/>
    <m/>
    <m/>
    <m/>
    <m/>
    <m/>
  </r>
  <r>
    <x v="44"/>
    <s v="화"/>
    <s v="네이버 브랜드검색"/>
    <m/>
    <m/>
    <m/>
    <s v="고체향수"/>
    <m/>
    <m/>
    <n v="20000"/>
    <m/>
    <m/>
    <m/>
    <m/>
    <m/>
  </r>
  <r>
    <x v="45"/>
    <s v="수"/>
    <s v="네이버 브랜드검색"/>
    <m/>
    <m/>
    <m/>
    <s v="고체향수"/>
    <m/>
    <m/>
    <n v="20000"/>
    <m/>
    <m/>
    <m/>
    <m/>
    <m/>
  </r>
  <r>
    <x v="46"/>
    <s v="목"/>
    <s v="네이버 브랜드검색"/>
    <m/>
    <m/>
    <m/>
    <s v="고체향수"/>
    <m/>
    <m/>
    <n v="20000"/>
    <m/>
    <m/>
    <m/>
    <m/>
    <m/>
  </r>
  <r>
    <x v="47"/>
    <s v="금"/>
    <s v="네이버 브랜드검색"/>
    <m/>
    <m/>
    <m/>
    <s v="고체향수"/>
    <m/>
    <m/>
    <n v="20000"/>
    <m/>
    <m/>
    <m/>
    <m/>
    <m/>
  </r>
  <r>
    <x v="48"/>
    <s v="토"/>
    <s v="네이버 브랜드검색"/>
    <m/>
    <m/>
    <m/>
    <s v="고체향수"/>
    <m/>
    <m/>
    <n v="20000"/>
    <m/>
    <m/>
    <m/>
    <m/>
    <m/>
  </r>
  <r>
    <x v="49"/>
    <s v="일"/>
    <s v="네이버 브랜드검색"/>
    <m/>
    <m/>
    <m/>
    <s v="고체향수"/>
    <m/>
    <m/>
    <n v="20000"/>
    <m/>
    <m/>
    <m/>
    <m/>
    <m/>
  </r>
  <r>
    <x v="50"/>
    <s v="월"/>
    <s v="네이버 브랜드검색"/>
    <m/>
    <m/>
    <m/>
    <s v="고체향수"/>
    <m/>
    <m/>
    <n v="20000"/>
    <m/>
    <m/>
    <m/>
    <m/>
    <m/>
  </r>
  <r>
    <x v="51"/>
    <s v="화"/>
    <s v="네이버 브랜드검색"/>
    <m/>
    <m/>
    <m/>
    <s v="고체향수"/>
    <m/>
    <m/>
    <n v="20000"/>
    <m/>
    <m/>
    <m/>
    <m/>
    <m/>
  </r>
  <r>
    <x v="52"/>
    <s v="수"/>
    <s v="네이버 브랜드검색"/>
    <m/>
    <m/>
    <m/>
    <s v="고체향수"/>
    <m/>
    <m/>
    <n v="20000"/>
    <m/>
    <m/>
    <m/>
    <m/>
    <m/>
  </r>
  <r>
    <x v="53"/>
    <s v="목"/>
    <s v="네이버 브랜드검색"/>
    <m/>
    <m/>
    <m/>
    <s v="고체향수"/>
    <m/>
    <m/>
    <n v="20000"/>
    <m/>
    <m/>
    <m/>
    <m/>
    <m/>
  </r>
  <r>
    <x v="54"/>
    <s v="금"/>
    <s v="네이버 브랜드검색"/>
    <m/>
    <m/>
    <m/>
    <s v="고체향수"/>
    <m/>
    <m/>
    <n v="20000"/>
    <m/>
    <m/>
    <m/>
    <m/>
    <m/>
  </r>
  <r>
    <x v="55"/>
    <s v="토"/>
    <s v="네이버 브랜드검색"/>
    <m/>
    <m/>
    <m/>
    <s v="고체향수"/>
    <m/>
    <m/>
    <n v="20000"/>
    <m/>
    <m/>
    <m/>
    <m/>
    <m/>
  </r>
  <r>
    <x v="56"/>
    <s v="일"/>
    <s v="네이버 브랜드검색"/>
    <m/>
    <m/>
    <m/>
    <s v="고체향수"/>
    <m/>
    <m/>
    <n v="20000"/>
    <m/>
    <m/>
    <m/>
    <m/>
    <m/>
  </r>
  <r>
    <x v="57"/>
    <s v="월"/>
    <s v="네이버 브랜드검색"/>
    <m/>
    <m/>
    <m/>
    <s v="고체향수"/>
    <m/>
    <m/>
    <n v="20000"/>
    <m/>
    <m/>
    <m/>
    <m/>
    <m/>
  </r>
  <r>
    <x v="15"/>
    <s v="월"/>
    <s v="유튜브"/>
    <m/>
    <m/>
    <m/>
    <s v="고체향수"/>
    <m/>
    <m/>
    <n v="138745"/>
    <m/>
    <m/>
    <m/>
    <m/>
    <m/>
  </r>
  <r>
    <x v="16"/>
    <s v="화"/>
    <s v="유튜브"/>
    <m/>
    <m/>
    <m/>
    <s v="고체향수"/>
    <m/>
    <m/>
    <n v="91291"/>
    <m/>
    <m/>
    <m/>
    <m/>
    <m/>
  </r>
  <r>
    <x v="17"/>
    <s v="수"/>
    <s v="유튜브"/>
    <m/>
    <m/>
    <m/>
    <s v="고체향수"/>
    <m/>
    <m/>
    <n v="47913"/>
    <m/>
    <m/>
    <m/>
    <m/>
    <m/>
  </r>
  <r>
    <x v="8"/>
    <s v="월"/>
    <s v="기획사이다"/>
    <m/>
    <m/>
    <m/>
    <s v="고체향수"/>
    <m/>
    <m/>
    <n v="4700000"/>
    <m/>
    <m/>
    <m/>
    <m/>
    <m/>
  </r>
  <r>
    <x v="58"/>
    <s v="화"/>
    <s v="페이스북/인스타그램"/>
    <m/>
    <m/>
    <m/>
    <m/>
    <m/>
    <m/>
    <n v="1763178"/>
    <m/>
    <m/>
    <m/>
    <m/>
    <m/>
  </r>
  <r>
    <x v="59"/>
    <s v="수"/>
    <s v="페이스북/인스타그램"/>
    <m/>
    <m/>
    <m/>
    <m/>
    <m/>
    <m/>
    <n v="2026645"/>
    <m/>
    <m/>
    <m/>
    <m/>
    <m/>
  </r>
  <r>
    <x v="60"/>
    <s v="목"/>
    <s v="페이스북/인스타그램"/>
    <m/>
    <m/>
    <m/>
    <m/>
    <m/>
    <m/>
    <n v="2601081"/>
    <m/>
    <m/>
    <m/>
    <m/>
    <m/>
  </r>
  <r>
    <x v="61"/>
    <s v="금"/>
    <s v="페이스북/인스타그램"/>
    <m/>
    <m/>
    <m/>
    <m/>
    <m/>
    <m/>
    <n v="2917007"/>
    <m/>
    <m/>
    <m/>
    <m/>
    <m/>
  </r>
  <r>
    <x v="62"/>
    <s v="토"/>
    <s v="페이스북/인스타그램"/>
    <m/>
    <m/>
    <m/>
    <m/>
    <m/>
    <m/>
    <n v="2381826"/>
    <m/>
    <m/>
    <m/>
    <m/>
    <m/>
  </r>
  <r>
    <x v="63"/>
    <s v="일"/>
    <s v="페이스북/인스타그램"/>
    <m/>
    <m/>
    <m/>
    <m/>
    <m/>
    <m/>
    <n v="3509277"/>
    <m/>
    <m/>
    <m/>
    <m/>
    <m/>
  </r>
  <r>
    <x v="64"/>
    <s v="월"/>
    <s v="페이스북/인스타그램"/>
    <m/>
    <m/>
    <m/>
    <m/>
    <m/>
    <m/>
    <n v="2544193"/>
    <m/>
    <m/>
    <m/>
    <m/>
    <m/>
  </r>
  <r>
    <x v="65"/>
    <s v="화"/>
    <s v="페이스북/인스타그램"/>
    <m/>
    <m/>
    <m/>
    <m/>
    <m/>
    <m/>
    <n v="2684927"/>
    <m/>
    <m/>
    <m/>
    <m/>
    <m/>
  </r>
  <r>
    <x v="66"/>
    <s v="수"/>
    <s v="페이스북/인스타그램"/>
    <m/>
    <m/>
    <m/>
    <m/>
    <m/>
    <m/>
    <n v="1888783"/>
    <m/>
    <m/>
    <m/>
    <m/>
    <m/>
  </r>
  <r>
    <x v="67"/>
    <s v="목"/>
    <s v="페이스북/인스타그램"/>
    <m/>
    <m/>
    <m/>
    <m/>
    <m/>
    <m/>
    <n v="1325534"/>
    <m/>
    <m/>
    <m/>
    <m/>
    <m/>
  </r>
  <r>
    <x v="68"/>
    <s v="금"/>
    <s v="페이스북/인스타그램"/>
    <m/>
    <m/>
    <m/>
    <m/>
    <m/>
    <m/>
    <n v="1635202"/>
    <m/>
    <m/>
    <m/>
    <m/>
    <m/>
  </r>
  <r>
    <x v="69"/>
    <s v="토"/>
    <s v="페이스북/인스타그램"/>
    <m/>
    <m/>
    <m/>
    <m/>
    <m/>
    <m/>
    <n v="1353293"/>
    <m/>
    <m/>
    <m/>
    <m/>
    <m/>
  </r>
  <r>
    <x v="70"/>
    <s v="일"/>
    <s v="페이스북/인스타그램"/>
    <m/>
    <m/>
    <m/>
    <m/>
    <m/>
    <m/>
    <n v="1321069"/>
    <m/>
    <m/>
    <m/>
    <m/>
    <m/>
  </r>
  <r>
    <x v="71"/>
    <s v="월"/>
    <s v="페이스북/인스타그램"/>
    <m/>
    <m/>
    <m/>
    <m/>
    <m/>
    <m/>
    <n v="2196005"/>
    <m/>
    <m/>
    <m/>
    <m/>
    <m/>
  </r>
  <r>
    <x v="72"/>
    <s v="화"/>
    <s v="페이스북/인스타그램"/>
    <m/>
    <m/>
    <m/>
    <m/>
    <m/>
    <m/>
    <n v="1870810"/>
    <m/>
    <m/>
    <m/>
    <m/>
    <m/>
  </r>
  <r>
    <x v="73"/>
    <s v="수"/>
    <s v="페이스북/인스타그램"/>
    <m/>
    <m/>
    <m/>
    <m/>
    <m/>
    <m/>
    <n v="1585158"/>
    <m/>
    <m/>
    <m/>
    <m/>
    <m/>
  </r>
  <r>
    <x v="74"/>
    <s v="목"/>
    <s v="페이스북/인스타그램"/>
    <m/>
    <m/>
    <m/>
    <m/>
    <m/>
    <m/>
    <n v="1290778"/>
    <m/>
    <m/>
    <m/>
    <m/>
    <m/>
  </r>
  <r>
    <x v="75"/>
    <s v="금"/>
    <s v="페이스북/인스타그램"/>
    <m/>
    <m/>
    <m/>
    <m/>
    <m/>
    <m/>
    <n v="1460230"/>
    <m/>
    <m/>
    <m/>
    <m/>
    <m/>
  </r>
  <r>
    <x v="76"/>
    <s v="토"/>
    <s v="페이스북/인스타그램"/>
    <m/>
    <m/>
    <m/>
    <m/>
    <m/>
    <m/>
    <n v="1507885"/>
    <m/>
    <m/>
    <m/>
    <m/>
    <m/>
  </r>
  <r>
    <x v="77"/>
    <s v="일"/>
    <s v="페이스북/인스타그램"/>
    <m/>
    <m/>
    <m/>
    <m/>
    <m/>
    <m/>
    <n v="1617573"/>
    <m/>
    <m/>
    <m/>
    <m/>
    <m/>
  </r>
  <r>
    <x v="78"/>
    <s v="월"/>
    <s v="페이스북/인스타그램"/>
    <m/>
    <m/>
    <m/>
    <m/>
    <m/>
    <m/>
    <n v="1741039"/>
    <m/>
    <m/>
    <m/>
    <m/>
    <m/>
  </r>
  <r>
    <x v="79"/>
    <s v="화"/>
    <s v="페이스북/인스타그램"/>
    <m/>
    <m/>
    <m/>
    <m/>
    <m/>
    <m/>
    <n v="1747479"/>
    <m/>
    <m/>
    <m/>
    <m/>
    <m/>
  </r>
  <r>
    <x v="80"/>
    <s v="수"/>
    <s v="페이스북/인스타그램"/>
    <m/>
    <m/>
    <m/>
    <m/>
    <m/>
    <m/>
    <n v="1951239"/>
    <m/>
    <m/>
    <m/>
    <m/>
    <m/>
  </r>
  <r>
    <x v="81"/>
    <s v="목"/>
    <s v="페이스북/인스타그램"/>
    <m/>
    <m/>
    <m/>
    <m/>
    <m/>
    <m/>
    <n v="1634493"/>
    <m/>
    <m/>
    <m/>
    <m/>
    <m/>
  </r>
  <r>
    <x v="82"/>
    <s v="금"/>
    <s v="페이스북/인스타그램"/>
    <m/>
    <m/>
    <m/>
    <m/>
    <m/>
    <m/>
    <n v="1323227"/>
    <m/>
    <m/>
    <m/>
    <m/>
    <m/>
  </r>
  <r>
    <x v="83"/>
    <s v="토"/>
    <s v="페이스북/인스타그램"/>
    <m/>
    <m/>
    <m/>
    <m/>
    <m/>
    <m/>
    <n v="995395"/>
    <m/>
    <m/>
    <m/>
    <m/>
    <m/>
  </r>
  <r>
    <x v="84"/>
    <s v="일"/>
    <s v="페이스북/인스타그램"/>
    <m/>
    <m/>
    <m/>
    <m/>
    <m/>
    <m/>
    <n v="1013688"/>
    <m/>
    <m/>
    <m/>
    <m/>
    <m/>
  </r>
  <r>
    <x v="85"/>
    <s v="월"/>
    <s v="페이스북/인스타그램"/>
    <m/>
    <m/>
    <m/>
    <m/>
    <m/>
    <m/>
    <n v="1369854"/>
    <m/>
    <m/>
    <m/>
    <m/>
    <m/>
  </r>
  <r>
    <x v="86"/>
    <s v="화"/>
    <s v="페이스북/인스타그램"/>
    <m/>
    <m/>
    <m/>
    <m/>
    <m/>
    <m/>
    <n v="1442119"/>
    <m/>
    <m/>
    <m/>
    <m/>
    <m/>
  </r>
  <r>
    <x v="87"/>
    <s v="수"/>
    <s v="페이스북/인스타그램"/>
    <m/>
    <m/>
    <m/>
    <m/>
    <m/>
    <m/>
    <n v="1786142"/>
    <m/>
    <m/>
    <m/>
    <m/>
    <m/>
  </r>
  <r>
    <x v="88"/>
    <s v="목"/>
    <s v="페이스북/인스타그램"/>
    <m/>
    <m/>
    <m/>
    <m/>
    <m/>
    <m/>
    <n v="1889671"/>
    <m/>
    <m/>
    <m/>
    <m/>
    <m/>
  </r>
  <r>
    <x v="89"/>
    <s v="금"/>
    <s v="페이스북/인스타그램"/>
    <m/>
    <m/>
    <m/>
    <m/>
    <m/>
    <m/>
    <n v="1793441"/>
    <m/>
    <m/>
    <m/>
    <m/>
    <m/>
  </r>
  <r>
    <x v="90"/>
    <s v="토"/>
    <s v="페이스북/인스타그램"/>
    <m/>
    <m/>
    <m/>
    <m/>
    <m/>
    <m/>
    <n v="1439223"/>
    <m/>
    <m/>
    <m/>
    <m/>
    <m/>
  </r>
  <r>
    <x v="91"/>
    <s v="일"/>
    <s v="페이스북/인스타그램"/>
    <m/>
    <m/>
    <m/>
    <m/>
    <m/>
    <m/>
    <n v="1858292"/>
    <m/>
    <m/>
    <m/>
    <m/>
    <m/>
  </r>
  <r>
    <x v="92"/>
    <s v="월"/>
    <s v="페이스북/인스타그램"/>
    <m/>
    <m/>
    <m/>
    <m/>
    <m/>
    <m/>
    <n v="1904380"/>
    <m/>
    <m/>
    <m/>
    <m/>
    <m/>
  </r>
  <r>
    <x v="93"/>
    <s v="화"/>
    <s v="페이스북/인스타그램"/>
    <m/>
    <m/>
    <m/>
    <m/>
    <m/>
    <m/>
    <n v="1900368"/>
    <m/>
    <m/>
    <m/>
    <m/>
    <m/>
  </r>
  <r>
    <x v="94"/>
    <s v="수"/>
    <s v="페이스북/인스타그램"/>
    <m/>
    <m/>
    <m/>
    <m/>
    <m/>
    <m/>
    <n v="2016760"/>
    <m/>
    <m/>
    <m/>
    <m/>
    <m/>
  </r>
  <r>
    <x v="95"/>
    <s v="목"/>
    <s v="페이스북/인스타그램"/>
    <m/>
    <m/>
    <m/>
    <m/>
    <m/>
    <m/>
    <n v="1760782"/>
    <m/>
    <m/>
    <m/>
    <m/>
    <m/>
  </r>
  <r>
    <x v="96"/>
    <s v="금"/>
    <s v="페이스북/인스타그램"/>
    <m/>
    <m/>
    <m/>
    <m/>
    <m/>
    <m/>
    <n v="1694277"/>
    <m/>
    <m/>
    <m/>
    <m/>
    <m/>
  </r>
  <r>
    <x v="97"/>
    <s v="토"/>
    <s v="페이스북/인스타그램"/>
    <m/>
    <m/>
    <m/>
    <m/>
    <m/>
    <m/>
    <n v="1589744"/>
    <m/>
    <m/>
    <m/>
    <m/>
    <m/>
  </r>
  <r>
    <x v="98"/>
    <s v="일"/>
    <s v="페이스북/인스타그램"/>
    <m/>
    <m/>
    <m/>
    <m/>
    <m/>
    <m/>
    <n v="1804164"/>
    <m/>
    <m/>
    <m/>
    <m/>
    <m/>
  </r>
  <r>
    <x v="99"/>
    <s v="월"/>
    <s v="페이스북/인스타그램"/>
    <m/>
    <m/>
    <m/>
    <m/>
    <m/>
    <m/>
    <n v="2220566"/>
    <m/>
    <m/>
    <m/>
    <m/>
    <m/>
  </r>
  <r>
    <x v="100"/>
    <s v="화"/>
    <s v="페이스북/인스타그램"/>
    <m/>
    <m/>
    <m/>
    <m/>
    <m/>
    <m/>
    <n v="2172200"/>
    <m/>
    <m/>
    <m/>
    <m/>
    <m/>
  </r>
  <r>
    <x v="101"/>
    <s v="수"/>
    <s v="페이스북/인스타그램"/>
    <m/>
    <m/>
    <m/>
    <m/>
    <m/>
    <m/>
    <n v="2027733"/>
    <m/>
    <m/>
    <m/>
    <m/>
    <m/>
  </r>
  <r>
    <x v="102"/>
    <s v="목"/>
    <s v="페이스북/인스타그램"/>
    <m/>
    <m/>
    <m/>
    <m/>
    <m/>
    <m/>
    <n v="1887474"/>
    <m/>
    <m/>
    <m/>
    <m/>
    <m/>
  </r>
  <r>
    <x v="103"/>
    <s v="금"/>
    <s v="페이스북/인스타그램"/>
    <m/>
    <m/>
    <m/>
    <m/>
    <m/>
    <m/>
    <n v="1935877"/>
    <m/>
    <m/>
    <m/>
    <m/>
    <m/>
  </r>
  <r>
    <x v="104"/>
    <s v="토"/>
    <s v="페이스북/인스타그램"/>
    <m/>
    <m/>
    <m/>
    <m/>
    <m/>
    <m/>
    <n v="1762702"/>
    <m/>
    <m/>
    <m/>
    <m/>
    <m/>
  </r>
  <r>
    <x v="105"/>
    <s v="일"/>
    <s v="페이스북/인스타그램"/>
    <m/>
    <m/>
    <m/>
    <m/>
    <m/>
    <m/>
    <n v="1790570"/>
    <m/>
    <m/>
    <m/>
    <m/>
    <m/>
  </r>
  <r>
    <x v="106"/>
    <s v="월"/>
    <s v="페이스북/인스타그램"/>
    <m/>
    <m/>
    <m/>
    <m/>
    <m/>
    <m/>
    <n v="1783661"/>
    <m/>
    <m/>
    <m/>
    <m/>
    <m/>
  </r>
  <r>
    <x v="107"/>
    <s v="화"/>
    <s v="페이스북/인스타그램"/>
    <m/>
    <m/>
    <m/>
    <m/>
    <m/>
    <m/>
    <n v="1665216"/>
    <m/>
    <m/>
    <m/>
    <m/>
    <m/>
  </r>
  <r>
    <x v="108"/>
    <s v="수"/>
    <s v="페이스북/인스타그램"/>
    <m/>
    <m/>
    <m/>
    <m/>
    <m/>
    <m/>
    <n v="1702811"/>
    <m/>
    <m/>
    <m/>
    <m/>
    <m/>
  </r>
  <r>
    <x v="109"/>
    <s v="목"/>
    <s v="페이스북/인스타그램"/>
    <m/>
    <m/>
    <m/>
    <m/>
    <m/>
    <m/>
    <n v="1922127"/>
    <m/>
    <m/>
    <m/>
    <m/>
    <m/>
  </r>
  <r>
    <x v="110"/>
    <s v="금"/>
    <s v="페이스북/인스타그램"/>
    <m/>
    <m/>
    <m/>
    <m/>
    <m/>
    <m/>
    <n v="1798895"/>
    <m/>
    <m/>
    <m/>
    <m/>
    <m/>
  </r>
  <r>
    <x v="111"/>
    <s v="토"/>
    <s v="페이스북/인스타그램"/>
    <m/>
    <m/>
    <m/>
    <m/>
    <m/>
    <m/>
    <n v="1643292"/>
    <m/>
    <m/>
    <m/>
    <m/>
    <m/>
  </r>
  <r>
    <x v="112"/>
    <s v="일"/>
    <s v="페이스북/인스타그램"/>
    <m/>
    <m/>
    <m/>
    <m/>
    <m/>
    <m/>
    <n v="1703664"/>
    <m/>
    <m/>
    <m/>
    <m/>
    <m/>
  </r>
  <r>
    <x v="113"/>
    <s v="월"/>
    <s v="페이스북/인스타그램"/>
    <m/>
    <m/>
    <m/>
    <m/>
    <m/>
    <m/>
    <n v="1950145"/>
    <m/>
    <m/>
    <m/>
    <m/>
    <m/>
  </r>
  <r>
    <x v="114"/>
    <s v="화"/>
    <s v="페이스북/인스타그램"/>
    <m/>
    <m/>
    <m/>
    <m/>
    <m/>
    <m/>
    <n v="1865959"/>
    <m/>
    <m/>
    <m/>
    <m/>
    <m/>
  </r>
  <r>
    <x v="115"/>
    <s v="수"/>
    <s v="페이스북/인스타그램"/>
    <m/>
    <m/>
    <m/>
    <m/>
    <m/>
    <m/>
    <n v="1845485"/>
    <m/>
    <m/>
    <m/>
    <m/>
    <m/>
  </r>
  <r>
    <x v="116"/>
    <s v="목"/>
    <s v="페이스북/인스타그램"/>
    <m/>
    <m/>
    <m/>
    <m/>
    <m/>
    <m/>
    <n v="1785124"/>
    <m/>
    <m/>
    <m/>
    <m/>
    <m/>
  </r>
  <r>
    <x v="117"/>
    <s v="금"/>
    <s v="페이스북/인스타그램"/>
    <m/>
    <m/>
    <m/>
    <m/>
    <m/>
    <m/>
    <n v="2054944"/>
    <m/>
    <m/>
    <m/>
    <m/>
    <m/>
  </r>
  <r>
    <x v="118"/>
    <s v="토"/>
    <s v="페이스북/인스타그램"/>
    <m/>
    <m/>
    <m/>
    <m/>
    <m/>
    <m/>
    <n v="1848540"/>
    <m/>
    <m/>
    <m/>
    <m/>
    <m/>
  </r>
  <r>
    <x v="119"/>
    <s v="일"/>
    <s v="페이스북/인스타그램"/>
    <m/>
    <m/>
    <m/>
    <m/>
    <m/>
    <m/>
    <n v="2092786"/>
    <m/>
    <m/>
    <m/>
    <m/>
    <m/>
  </r>
  <r>
    <x v="120"/>
    <s v="월"/>
    <s v="페이스북/인스타그램"/>
    <m/>
    <m/>
    <m/>
    <m/>
    <m/>
    <m/>
    <n v="2428882"/>
    <m/>
    <m/>
    <m/>
    <m/>
    <m/>
  </r>
  <r>
    <x v="121"/>
    <s v="화"/>
    <s v="페이스북/인스타그램"/>
    <m/>
    <m/>
    <m/>
    <m/>
    <m/>
    <m/>
    <n v="2347547"/>
    <m/>
    <m/>
    <m/>
    <m/>
    <m/>
  </r>
  <r>
    <x v="122"/>
    <s v="수"/>
    <s v="페이스북/인스타그램"/>
    <m/>
    <m/>
    <m/>
    <m/>
    <m/>
    <m/>
    <n v="2632496"/>
    <m/>
    <m/>
    <m/>
    <m/>
    <m/>
  </r>
  <r>
    <x v="123"/>
    <s v="목"/>
    <s v="페이스북/인스타그램"/>
    <m/>
    <m/>
    <m/>
    <m/>
    <m/>
    <m/>
    <n v="2558867"/>
    <m/>
    <m/>
    <m/>
    <m/>
    <m/>
  </r>
  <r>
    <x v="124"/>
    <s v="금"/>
    <s v="페이스북/인스타그램"/>
    <m/>
    <m/>
    <m/>
    <m/>
    <m/>
    <m/>
    <n v="2592883"/>
    <m/>
    <m/>
    <m/>
    <m/>
    <m/>
  </r>
  <r>
    <x v="125"/>
    <s v="토"/>
    <s v="페이스북/인스타그램"/>
    <m/>
    <m/>
    <m/>
    <m/>
    <m/>
    <m/>
    <n v="2876765"/>
    <m/>
    <m/>
    <m/>
    <m/>
    <m/>
  </r>
  <r>
    <x v="126"/>
    <s v="일"/>
    <s v="페이스북/인스타그램"/>
    <m/>
    <m/>
    <m/>
    <m/>
    <m/>
    <m/>
    <n v="3087637"/>
    <m/>
    <m/>
    <m/>
    <m/>
    <m/>
  </r>
  <r>
    <x v="127"/>
    <s v="월"/>
    <s v="페이스북/인스타그램"/>
    <m/>
    <m/>
    <m/>
    <m/>
    <m/>
    <m/>
    <n v="3068541"/>
    <m/>
    <m/>
    <m/>
    <m/>
    <m/>
  </r>
  <r>
    <x v="128"/>
    <s v="화"/>
    <s v="페이스북/인스타그램"/>
    <m/>
    <m/>
    <m/>
    <m/>
    <m/>
    <m/>
    <n v="3570232"/>
    <m/>
    <m/>
    <m/>
    <m/>
    <m/>
  </r>
  <r>
    <x v="129"/>
    <s v="수"/>
    <s v="페이스북/인스타그램"/>
    <m/>
    <m/>
    <m/>
    <m/>
    <m/>
    <m/>
    <n v="3935350"/>
    <m/>
    <m/>
    <m/>
    <m/>
    <m/>
  </r>
  <r>
    <x v="130"/>
    <s v="목"/>
    <s v="페이스북/인스타그램"/>
    <m/>
    <m/>
    <m/>
    <m/>
    <m/>
    <m/>
    <n v="4194609"/>
    <m/>
    <m/>
    <m/>
    <m/>
    <m/>
  </r>
  <r>
    <x v="131"/>
    <s v="금"/>
    <s v="페이스북/인스타그램"/>
    <m/>
    <m/>
    <m/>
    <m/>
    <m/>
    <m/>
    <n v="4042480"/>
    <m/>
    <m/>
    <m/>
    <m/>
    <m/>
  </r>
  <r>
    <x v="132"/>
    <s v="토"/>
    <s v="페이스북/인스타그램"/>
    <m/>
    <m/>
    <m/>
    <m/>
    <m/>
    <m/>
    <n v="4286573"/>
    <m/>
    <m/>
    <m/>
    <m/>
    <m/>
  </r>
  <r>
    <x v="133"/>
    <s v="일"/>
    <s v="페이스북/인스타그램"/>
    <m/>
    <m/>
    <m/>
    <m/>
    <m/>
    <m/>
    <n v="4321892"/>
    <m/>
    <m/>
    <m/>
    <m/>
    <m/>
  </r>
  <r>
    <x v="134"/>
    <s v="월"/>
    <s v="페이스북/인스타그램"/>
    <m/>
    <m/>
    <m/>
    <m/>
    <m/>
    <m/>
    <n v="3497320"/>
    <m/>
    <m/>
    <m/>
    <m/>
    <m/>
  </r>
  <r>
    <x v="135"/>
    <s v="화"/>
    <s v="페이스북/인스타그램"/>
    <m/>
    <m/>
    <m/>
    <m/>
    <m/>
    <m/>
    <n v="3952055"/>
    <m/>
    <m/>
    <m/>
    <m/>
    <m/>
  </r>
  <r>
    <x v="136"/>
    <s v="수"/>
    <s v="페이스북/인스타그램"/>
    <m/>
    <m/>
    <m/>
    <m/>
    <m/>
    <m/>
    <n v="4178698"/>
    <m/>
    <m/>
    <m/>
    <m/>
    <m/>
  </r>
  <r>
    <x v="137"/>
    <s v="목"/>
    <s v="페이스북/인스타그램"/>
    <m/>
    <m/>
    <m/>
    <m/>
    <m/>
    <m/>
    <n v="3909871"/>
    <m/>
    <m/>
    <m/>
    <m/>
    <m/>
  </r>
  <r>
    <x v="138"/>
    <s v="금"/>
    <s v="페이스북/인스타그램"/>
    <m/>
    <m/>
    <m/>
    <m/>
    <m/>
    <m/>
    <n v="4965656"/>
    <m/>
    <m/>
    <m/>
    <m/>
    <m/>
  </r>
  <r>
    <x v="139"/>
    <s v="토"/>
    <s v="페이스북/인스타그램"/>
    <m/>
    <m/>
    <m/>
    <m/>
    <m/>
    <m/>
    <n v="5104416"/>
    <m/>
    <m/>
    <m/>
    <m/>
    <m/>
  </r>
  <r>
    <x v="140"/>
    <s v="일"/>
    <s v="페이스북/인스타그램"/>
    <m/>
    <m/>
    <m/>
    <m/>
    <m/>
    <m/>
    <n v="5124673"/>
    <m/>
    <m/>
    <m/>
    <m/>
    <m/>
  </r>
  <r>
    <x v="141"/>
    <s v="월"/>
    <s v="페이스북/인스타그램"/>
    <m/>
    <m/>
    <m/>
    <m/>
    <m/>
    <m/>
    <n v="5429661"/>
    <m/>
    <m/>
    <m/>
    <m/>
    <m/>
  </r>
  <r>
    <x v="142"/>
    <s v="화"/>
    <s v="페이스북/인스타그램"/>
    <m/>
    <m/>
    <m/>
    <m/>
    <m/>
    <m/>
    <n v="5749470"/>
    <m/>
    <m/>
    <m/>
    <m/>
    <m/>
  </r>
  <r>
    <x v="143"/>
    <s v="수"/>
    <s v="페이스북/인스타그램"/>
    <m/>
    <m/>
    <m/>
    <m/>
    <m/>
    <m/>
    <n v="5918409"/>
    <m/>
    <m/>
    <m/>
    <m/>
    <m/>
  </r>
  <r>
    <x v="144"/>
    <s v="목"/>
    <s v="페이스북/인스타그램"/>
    <m/>
    <m/>
    <m/>
    <m/>
    <m/>
    <m/>
    <n v="5660700"/>
    <m/>
    <m/>
    <m/>
    <m/>
    <m/>
  </r>
  <r>
    <x v="145"/>
    <s v="금"/>
    <s v="페이스북/인스타그램"/>
    <m/>
    <m/>
    <m/>
    <m/>
    <m/>
    <m/>
    <n v="5423171"/>
    <m/>
    <m/>
    <m/>
    <m/>
    <m/>
  </r>
  <r>
    <x v="146"/>
    <s v="토"/>
    <s v="페이스북/인스타그램"/>
    <m/>
    <m/>
    <m/>
    <m/>
    <m/>
    <m/>
    <n v="5538240"/>
    <m/>
    <m/>
    <m/>
    <m/>
    <m/>
  </r>
  <r>
    <x v="147"/>
    <s v="일"/>
    <s v="페이스북/인스타그램"/>
    <m/>
    <m/>
    <m/>
    <m/>
    <m/>
    <m/>
    <n v="5823280"/>
    <m/>
    <m/>
    <m/>
    <m/>
    <m/>
  </r>
  <r>
    <x v="148"/>
    <s v="월"/>
    <s v="페이스북/인스타그램"/>
    <m/>
    <m/>
    <m/>
    <m/>
    <m/>
    <m/>
    <n v="5956853"/>
    <m/>
    <m/>
    <m/>
    <m/>
    <m/>
  </r>
  <r>
    <x v="149"/>
    <s v="화"/>
    <s v="페이스북/인스타그램"/>
    <m/>
    <m/>
    <m/>
    <m/>
    <m/>
    <m/>
    <n v="6301841"/>
    <m/>
    <m/>
    <m/>
    <m/>
    <m/>
  </r>
  <r>
    <x v="150"/>
    <s v="수"/>
    <s v="페이스북/인스타그램"/>
    <m/>
    <m/>
    <m/>
    <m/>
    <m/>
    <m/>
    <n v="6577186"/>
    <m/>
    <m/>
    <m/>
    <m/>
    <m/>
  </r>
  <r>
    <x v="151"/>
    <s v="목"/>
    <s v="페이스북/인스타그램"/>
    <m/>
    <m/>
    <m/>
    <m/>
    <m/>
    <m/>
    <n v="6318505"/>
    <m/>
    <m/>
    <m/>
    <m/>
    <m/>
  </r>
  <r>
    <x v="152"/>
    <s v="금"/>
    <s v="페이스북/인스타그램"/>
    <m/>
    <m/>
    <m/>
    <m/>
    <m/>
    <m/>
    <n v="5901422"/>
    <m/>
    <m/>
    <m/>
    <m/>
    <m/>
  </r>
  <r>
    <x v="153"/>
    <s v="토"/>
    <s v="페이스북/인스타그램"/>
    <m/>
    <m/>
    <m/>
    <m/>
    <m/>
    <m/>
    <n v="5827226"/>
    <m/>
    <m/>
    <m/>
    <m/>
    <m/>
  </r>
  <r>
    <x v="154"/>
    <s v="일"/>
    <s v="페이스북/인스타그램"/>
    <m/>
    <m/>
    <m/>
    <m/>
    <m/>
    <m/>
    <n v="5722965"/>
    <m/>
    <m/>
    <m/>
    <m/>
    <m/>
  </r>
  <r>
    <x v="155"/>
    <s v="월"/>
    <s v="페이스북/인스타그램"/>
    <m/>
    <m/>
    <m/>
    <m/>
    <m/>
    <m/>
    <n v="5965586"/>
    <m/>
    <m/>
    <m/>
    <m/>
    <m/>
  </r>
  <r>
    <x v="156"/>
    <s v="화"/>
    <s v="페이스북/인스타그램"/>
    <m/>
    <m/>
    <m/>
    <m/>
    <m/>
    <m/>
    <n v="6733643"/>
    <m/>
    <m/>
    <m/>
    <m/>
    <m/>
  </r>
  <r>
    <x v="157"/>
    <s v="수"/>
    <s v="페이스북/인스타그램"/>
    <m/>
    <m/>
    <m/>
    <m/>
    <m/>
    <m/>
    <n v="6362911"/>
    <m/>
    <m/>
    <m/>
    <m/>
    <m/>
  </r>
  <r>
    <x v="158"/>
    <s v="목"/>
    <s v="페이스북/인스타그램"/>
    <m/>
    <m/>
    <m/>
    <m/>
    <m/>
    <m/>
    <n v="5411754"/>
    <m/>
    <m/>
    <m/>
    <m/>
    <m/>
  </r>
  <r>
    <x v="159"/>
    <s v="금"/>
    <s v="페이스북/인스타그램"/>
    <m/>
    <m/>
    <m/>
    <m/>
    <m/>
    <m/>
    <n v="5158645"/>
    <m/>
    <m/>
    <m/>
    <m/>
    <m/>
  </r>
  <r>
    <x v="160"/>
    <s v="토"/>
    <s v="페이스북/인스타그램"/>
    <m/>
    <m/>
    <m/>
    <m/>
    <m/>
    <m/>
    <n v="5393829"/>
    <m/>
    <m/>
    <m/>
    <m/>
    <m/>
  </r>
  <r>
    <x v="161"/>
    <s v="일"/>
    <s v="페이스북/인스타그램"/>
    <m/>
    <m/>
    <m/>
    <m/>
    <m/>
    <m/>
    <n v="5259332"/>
    <m/>
    <m/>
    <m/>
    <m/>
    <m/>
  </r>
  <r>
    <x v="162"/>
    <s v="월"/>
    <s v="페이스북/인스타그램"/>
    <m/>
    <m/>
    <m/>
    <m/>
    <m/>
    <m/>
    <n v="5061677"/>
    <m/>
    <m/>
    <m/>
    <m/>
    <m/>
  </r>
  <r>
    <x v="163"/>
    <s v="화"/>
    <s v="페이스북/인스타그램"/>
    <m/>
    <m/>
    <m/>
    <m/>
    <m/>
    <m/>
    <n v="5418913"/>
    <m/>
    <m/>
    <m/>
    <m/>
    <m/>
  </r>
  <r>
    <x v="164"/>
    <s v="수"/>
    <s v="페이스북/인스타그램"/>
    <m/>
    <m/>
    <m/>
    <m/>
    <m/>
    <m/>
    <n v="5769473"/>
    <m/>
    <m/>
    <m/>
    <m/>
    <m/>
  </r>
  <r>
    <x v="165"/>
    <s v="목"/>
    <s v="페이스북/인스타그램"/>
    <m/>
    <m/>
    <m/>
    <m/>
    <m/>
    <m/>
    <n v="5089776"/>
    <m/>
    <m/>
    <m/>
    <m/>
    <m/>
  </r>
  <r>
    <x v="166"/>
    <s v="금"/>
    <s v="페이스북/인스타그램"/>
    <m/>
    <m/>
    <m/>
    <m/>
    <m/>
    <m/>
    <n v="4755724"/>
    <m/>
    <m/>
    <m/>
    <m/>
    <m/>
  </r>
  <r>
    <x v="167"/>
    <s v="토"/>
    <s v="페이스북/인스타그램"/>
    <m/>
    <m/>
    <m/>
    <m/>
    <m/>
    <m/>
    <n v="5029674"/>
    <m/>
    <m/>
    <m/>
    <m/>
    <m/>
  </r>
  <r>
    <x v="168"/>
    <s v="일"/>
    <s v="페이스북/인스타그램"/>
    <m/>
    <m/>
    <m/>
    <m/>
    <m/>
    <m/>
    <n v="5026491"/>
    <m/>
    <m/>
    <m/>
    <m/>
    <m/>
  </r>
  <r>
    <x v="169"/>
    <s v="월"/>
    <s v="페이스북/인스타그램"/>
    <m/>
    <m/>
    <m/>
    <m/>
    <m/>
    <m/>
    <n v="4981840"/>
    <m/>
    <m/>
    <m/>
    <m/>
    <m/>
  </r>
  <r>
    <x v="170"/>
    <s v="화"/>
    <s v="페이스북/인스타그램"/>
    <m/>
    <m/>
    <m/>
    <m/>
    <m/>
    <m/>
    <n v="5098311"/>
    <m/>
    <m/>
    <m/>
    <m/>
    <m/>
  </r>
  <r>
    <x v="171"/>
    <s v="수"/>
    <s v="페이스북/인스타그램"/>
    <m/>
    <m/>
    <m/>
    <m/>
    <m/>
    <m/>
    <n v="5288679"/>
    <m/>
    <m/>
    <m/>
    <m/>
    <m/>
  </r>
  <r>
    <x v="172"/>
    <s v="목"/>
    <s v="페이스북/인스타그램"/>
    <m/>
    <m/>
    <m/>
    <m/>
    <m/>
    <m/>
    <n v="5214059"/>
    <m/>
    <m/>
    <m/>
    <m/>
    <m/>
  </r>
  <r>
    <x v="173"/>
    <s v="금"/>
    <s v="페이스북/인스타그램"/>
    <m/>
    <m/>
    <m/>
    <m/>
    <m/>
    <m/>
    <n v="4780271"/>
    <m/>
    <m/>
    <m/>
    <m/>
    <m/>
  </r>
  <r>
    <x v="174"/>
    <s v="토"/>
    <s v="페이스북/인스타그램"/>
    <m/>
    <m/>
    <m/>
    <m/>
    <m/>
    <m/>
    <n v="5040650"/>
    <m/>
    <m/>
    <m/>
    <m/>
    <m/>
  </r>
  <r>
    <x v="175"/>
    <s v="일"/>
    <s v="페이스북/인스타그램"/>
    <m/>
    <m/>
    <m/>
    <m/>
    <m/>
    <m/>
    <n v="4563528"/>
    <m/>
    <m/>
    <m/>
    <m/>
    <m/>
  </r>
  <r>
    <x v="176"/>
    <s v="월"/>
    <s v="페이스북/인스타그램"/>
    <m/>
    <m/>
    <m/>
    <m/>
    <m/>
    <m/>
    <n v="1909635"/>
    <m/>
    <m/>
    <m/>
    <m/>
    <m/>
  </r>
  <r>
    <x v="177"/>
    <s v="화"/>
    <s v="페이스북/인스타그램"/>
    <m/>
    <m/>
    <m/>
    <m/>
    <m/>
    <m/>
    <n v="1476447"/>
    <m/>
    <m/>
    <m/>
    <m/>
    <m/>
  </r>
  <r>
    <x v="178"/>
    <s v="수"/>
    <s v="페이스북/인스타그램"/>
    <m/>
    <m/>
    <m/>
    <m/>
    <m/>
    <m/>
    <n v="897400"/>
    <m/>
    <m/>
    <m/>
    <m/>
    <m/>
  </r>
  <r>
    <x v="179"/>
    <s v="목"/>
    <s v="페이스북/인스타그램"/>
    <m/>
    <m/>
    <m/>
    <m/>
    <m/>
    <m/>
    <n v="827199"/>
    <m/>
    <m/>
    <m/>
    <m/>
    <m/>
  </r>
  <r>
    <x v="180"/>
    <s v="금"/>
    <s v="페이스북/인스타그램"/>
    <m/>
    <m/>
    <m/>
    <m/>
    <m/>
    <m/>
    <n v="1086363"/>
    <m/>
    <m/>
    <m/>
    <m/>
    <m/>
  </r>
  <r>
    <x v="181"/>
    <s v="토"/>
    <s v="페이스북/인스타그램"/>
    <m/>
    <m/>
    <m/>
    <m/>
    <m/>
    <m/>
    <n v="1084369"/>
    <m/>
    <m/>
    <m/>
    <m/>
    <m/>
  </r>
  <r>
    <x v="182"/>
    <s v="일"/>
    <s v="페이스북/인스타그램"/>
    <m/>
    <m/>
    <m/>
    <m/>
    <m/>
    <m/>
    <n v="1052758"/>
    <m/>
    <m/>
    <m/>
    <m/>
    <m/>
  </r>
  <r>
    <x v="183"/>
    <s v="월"/>
    <s v="페이스북/인스타그램"/>
    <m/>
    <m/>
    <m/>
    <m/>
    <m/>
    <m/>
    <n v="1027292"/>
    <m/>
    <m/>
    <m/>
    <m/>
    <m/>
  </r>
  <r>
    <x v="184"/>
    <s v="화"/>
    <s v="페이스북/인스타그램"/>
    <m/>
    <m/>
    <m/>
    <m/>
    <m/>
    <m/>
    <n v="1242255"/>
    <m/>
    <m/>
    <m/>
    <m/>
    <m/>
  </r>
  <r>
    <x v="185"/>
    <s v="수"/>
    <s v="페이스북/인스타그램"/>
    <m/>
    <m/>
    <m/>
    <m/>
    <m/>
    <m/>
    <n v="1064481"/>
    <m/>
    <m/>
    <m/>
    <m/>
    <m/>
  </r>
  <r>
    <x v="186"/>
    <s v="목"/>
    <s v="페이스북/인스타그램"/>
    <m/>
    <m/>
    <m/>
    <m/>
    <m/>
    <m/>
    <n v="1064034"/>
    <m/>
    <m/>
    <m/>
    <m/>
    <m/>
  </r>
  <r>
    <x v="187"/>
    <s v="금"/>
    <s v="페이스북/인스타그램"/>
    <m/>
    <m/>
    <m/>
    <m/>
    <m/>
    <m/>
    <n v="1067233"/>
    <m/>
    <m/>
    <m/>
    <m/>
    <m/>
  </r>
  <r>
    <x v="188"/>
    <s v="토"/>
    <s v="페이스북/인스타그램"/>
    <m/>
    <m/>
    <m/>
    <m/>
    <m/>
    <m/>
    <n v="1063546"/>
    <m/>
    <m/>
    <m/>
    <m/>
    <m/>
  </r>
  <r>
    <x v="189"/>
    <s v="일"/>
    <s v="페이스북/인스타그램"/>
    <m/>
    <m/>
    <m/>
    <m/>
    <m/>
    <m/>
    <n v="1073545"/>
    <m/>
    <m/>
    <m/>
    <m/>
    <m/>
  </r>
  <r>
    <x v="190"/>
    <s v="월"/>
    <s v="페이스북/인스타그램"/>
    <m/>
    <m/>
    <m/>
    <m/>
    <m/>
    <m/>
    <n v="1162621"/>
    <m/>
    <m/>
    <m/>
    <m/>
    <m/>
  </r>
  <r>
    <x v="191"/>
    <s v="화"/>
    <s v="페이스북/인스타그램"/>
    <m/>
    <m/>
    <m/>
    <m/>
    <m/>
    <m/>
    <n v="1567666"/>
    <m/>
    <m/>
    <m/>
    <m/>
    <m/>
  </r>
  <r>
    <x v="192"/>
    <s v="수"/>
    <s v="페이스북/인스타그램"/>
    <m/>
    <m/>
    <m/>
    <m/>
    <m/>
    <m/>
    <n v="1658029"/>
    <m/>
    <m/>
    <m/>
    <m/>
    <m/>
  </r>
  <r>
    <x v="193"/>
    <s v="목"/>
    <s v="페이스북/인스타그램"/>
    <m/>
    <m/>
    <m/>
    <m/>
    <m/>
    <m/>
    <n v="1477903"/>
    <m/>
    <m/>
    <m/>
    <m/>
    <m/>
  </r>
  <r>
    <x v="194"/>
    <s v="금"/>
    <s v="페이스북/인스타그램"/>
    <m/>
    <m/>
    <m/>
    <m/>
    <m/>
    <m/>
    <n v="1583658"/>
    <m/>
    <m/>
    <m/>
    <m/>
    <m/>
  </r>
  <r>
    <x v="195"/>
    <s v="토"/>
    <s v="페이스북/인스타그램"/>
    <m/>
    <m/>
    <m/>
    <m/>
    <m/>
    <m/>
    <n v="1751306"/>
    <m/>
    <m/>
    <m/>
    <m/>
    <m/>
  </r>
  <r>
    <x v="196"/>
    <s v="일"/>
    <s v="페이스북/인스타그램"/>
    <m/>
    <m/>
    <m/>
    <m/>
    <m/>
    <m/>
    <n v="1802275"/>
    <m/>
    <m/>
    <m/>
    <m/>
    <m/>
  </r>
  <r>
    <x v="197"/>
    <s v="월"/>
    <s v="페이스북/인스타그램"/>
    <m/>
    <m/>
    <m/>
    <m/>
    <m/>
    <m/>
    <n v="1849046"/>
    <m/>
    <m/>
    <m/>
    <m/>
    <m/>
  </r>
  <r>
    <x v="198"/>
    <s v="화"/>
    <s v="페이스북/인스타그램"/>
    <m/>
    <m/>
    <m/>
    <m/>
    <m/>
    <m/>
    <n v="1772156"/>
    <m/>
    <m/>
    <m/>
    <m/>
    <m/>
  </r>
  <r>
    <x v="199"/>
    <s v="수"/>
    <s v="페이스북/인스타그램"/>
    <m/>
    <m/>
    <m/>
    <m/>
    <m/>
    <m/>
    <n v="1695520"/>
    <m/>
    <m/>
    <m/>
    <m/>
    <m/>
  </r>
  <r>
    <x v="200"/>
    <s v="목"/>
    <s v="페이스북/인스타그램"/>
    <m/>
    <m/>
    <m/>
    <m/>
    <m/>
    <m/>
    <n v="1832295"/>
    <m/>
    <m/>
    <m/>
    <m/>
    <m/>
  </r>
  <r>
    <x v="201"/>
    <s v="금"/>
    <s v="페이스북/인스타그램"/>
    <m/>
    <m/>
    <m/>
    <m/>
    <m/>
    <m/>
    <n v="2484717"/>
    <m/>
    <m/>
    <m/>
    <m/>
    <m/>
  </r>
  <r>
    <x v="202"/>
    <s v="토"/>
    <s v="페이스북/인스타그램"/>
    <m/>
    <m/>
    <m/>
    <m/>
    <m/>
    <m/>
    <n v="2688860"/>
    <m/>
    <m/>
    <m/>
    <m/>
    <m/>
  </r>
  <r>
    <x v="203"/>
    <s v="일"/>
    <s v="페이스북/인스타그램"/>
    <m/>
    <m/>
    <m/>
    <m/>
    <m/>
    <m/>
    <n v="3369121"/>
    <m/>
    <m/>
    <m/>
    <m/>
    <m/>
  </r>
  <r>
    <x v="204"/>
    <s v="월"/>
    <s v="페이스북/인스타그램"/>
    <m/>
    <m/>
    <m/>
    <m/>
    <m/>
    <m/>
    <n v="4213068"/>
    <m/>
    <m/>
    <m/>
    <m/>
    <m/>
  </r>
  <r>
    <x v="205"/>
    <s v="화"/>
    <s v="페이스북/인스타그램"/>
    <m/>
    <m/>
    <m/>
    <m/>
    <m/>
    <m/>
    <n v="4968615"/>
    <m/>
    <m/>
    <m/>
    <m/>
    <m/>
  </r>
  <r>
    <x v="206"/>
    <s v="수"/>
    <s v="페이스북/인스타그램"/>
    <m/>
    <m/>
    <m/>
    <m/>
    <m/>
    <m/>
    <n v="5506343"/>
    <m/>
    <m/>
    <m/>
    <m/>
    <m/>
  </r>
  <r>
    <x v="207"/>
    <s v="목"/>
    <s v="페이스북/인스타그램"/>
    <m/>
    <m/>
    <m/>
    <m/>
    <m/>
    <m/>
    <n v="5913042"/>
    <m/>
    <m/>
    <m/>
    <m/>
    <m/>
  </r>
  <r>
    <x v="208"/>
    <s v="금"/>
    <s v="페이스북/인스타그램"/>
    <m/>
    <m/>
    <m/>
    <m/>
    <m/>
    <m/>
    <n v="5703341"/>
    <m/>
    <m/>
    <m/>
    <m/>
    <m/>
  </r>
  <r>
    <x v="209"/>
    <s v="토"/>
    <s v="페이스북/인스타그램"/>
    <m/>
    <m/>
    <m/>
    <m/>
    <m/>
    <m/>
    <n v="6272608"/>
    <m/>
    <m/>
    <m/>
    <m/>
    <m/>
  </r>
  <r>
    <x v="210"/>
    <s v="일"/>
    <s v="페이스북/인스타그램"/>
    <m/>
    <m/>
    <m/>
    <m/>
    <m/>
    <m/>
    <n v="6891789"/>
    <m/>
    <m/>
    <m/>
    <m/>
    <m/>
  </r>
  <r>
    <x v="211"/>
    <s v="월"/>
    <s v="페이스북/인스타그램"/>
    <m/>
    <m/>
    <m/>
    <m/>
    <m/>
    <m/>
    <n v="5926152"/>
    <m/>
    <m/>
    <m/>
    <m/>
    <m/>
  </r>
  <r>
    <x v="212"/>
    <s v="화"/>
    <s v="페이스북/인스타그램"/>
    <m/>
    <m/>
    <m/>
    <m/>
    <m/>
    <m/>
    <n v="4865962"/>
    <m/>
    <m/>
    <m/>
    <m/>
    <m/>
  </r>
  <r>
    <x v="213"/>
    <s v="수"/>
    <s v="페이스북/인스타그램"/>
    <m/>
    <m/>
    <m/>
    <m/>
    <m/>
    <m/>
    <n v="3231197"/>
    <m/>
    <m/>
    <m/>
    <m/>
    <m/>
  </r>
  <r>
    <x v="214"/>
    <s v="목"/>
    <s v="페이스북/인스타그램"/>
    <m/>
    <m/>
    <m/>
    <m/>
    <m/>
    <m/>
    <n v="2991135"/>
    <m/>
    <m/>
    <m/>
    <m/>
    <m/>
  </r>
  <r>
    <x v="215"/>
    <s v="금"/>
    <s v="페이스북/인스타그램"/>
    <m/>
    <m/>
    <m/>
    <m/>
    <m/>
    <m/>
    <n v="3377561"/>
    <m/>
    <m/>
    <m/>
    <m/>
    <m/>
  </r>
  <r>
    <x v="216"/>
    <s v="토"/>
    <s v="페이스북/인스타그램"/>
    <m/>
    <m/>
    <m/>
    <m/>
    <m/>
    <m/>
    <n v="3747438"/>
    <m/>
    <m/>
    <m/>
    <m/>
    <m/>
  </r>
  <r>
    <x v="217"/>
    <s v="일"/>
    <s v="페이스북/인스타그램"/>
    <m/>
    <m/>
    <m/>
    <m/>
    <m/>
    <m/>
    <n v="3916705"/>
    <m/>
    <m/>
    <m/>
    <m/>
    <m/>
  </r>
  <r>
    <x v="218"/>
    <s v="월"/>
    <s v="페이스북/인스타그램"/>
    <m/>
    <m/>
    <m/>
    <m/>
    <m/>
    <m/>
    <n v="3802760"/>
    <m/>
    <m/>
    <m/>
    <m/>
    <m/>
  </r>
  <r>
    <x v="219"/>
    <s v="화"/>
    <s v="페이스북/인스타그램"/>
    <m/>
    <m/>
    <m/>
    <m/>
    <m/>
    <m/>
    <n v="3959175"/>
    <m/>
    <m/>
    <m/>
    <m/>
    <m/>
  </r>
  <r>
    <x v="220"/>
    <s v="수"/>
    <s v="페이스북/인스타그램"/>
    <m/>
    <m/>
    <m/>
    <m/>
    <m/>
    <m/>
    <n v="5137445"/>
    <m/>
    <m/>
    <m/>
    <m/>
    <m/>
  </r>
  <r>
    <x v="221"/>
    <s v="목"/>
    <s v="페이스북/인스타그램"/>
    <m/>
    <m/>
    <m/>
    <m/>
    <m/>
    <m/>
    <n v="5110183"/>
    <m/>
    <m/>
    <m/>
    <m/>
    <m/>
  </r>
  <r>
    <x v="222"/>
    <s v="금"/>
    <s v="페이스북/인스타그램"/>
    <m/>
    <m/>
    <m/>
    <m/>
    <m/>
    <m/>
    <n v="5107750"/>
    <m/>
    <m/>
    <m/>
    <m/>
    <m/>
  </r>
  <r>
    <x v="223"/>
    <s v="토"/>
    <s v="페이스북/인스타그램"/>
    <m/>
    <m/>
    <m/>
    <m/>
    <m/>
    <m/>
    <n v="5498801"/>
    <m/>
    <m/>
    <m/>
    <m/>
    <m/>
  </r>
  <r>
    <x v="224"/>
    <s v="일"/>
    <s v="페이스북/인스타그램"/>
    <m/>
    <m/>
    <m/>
    <m/>
    <m/>
    <m/>
    <n v="5132147"/>
    <m/>
    <m/>
    <m/>
    <m/>
    <m/>
  </r>
  <r>
    <x v="225"/>
    <s v="월"/>
    <s v="페이스북/인스타그램"/>
    <m/>
    <m/>
    <m/>
    <m/>
    <m/>
    <m/>
    <n v="4924534"/>
    <m/>
    <m/>
    <m/>
    <m/>
    <m/>
  </r>
  <r>
    <x v="226"/>
    <s v="화"/>
    <s v="페이스북/인스타그램"/>
    <m/>
    <m/>
    <m/>
    <m/>
    <m/>
    <m/>
    <n v="4889804"/>
    <m/>
    <m/>
    <m/>
    <m/>
    <m/>
  </r>
  <r>
    <x v="227"/>
    <s v="수"/>
    <s v="페이스북/인스타그램"/>
    <m/>
    <m/>
    <m/>
    <m/>
    <m/>
    <m/>
    <n v="5107354"/>
    <m/>
    <m/>
    <m/>
    <m/>
    <m/>
  </r>
  <r>
    <x v="228"/>
    <s v="목"/>
    <s v="페이스북/인스타그램"/>
    <m/>
    <m/>
    <m/>
    <m/>
    <m/>
    <m/>
    <n v="5068785"/>
    <m/>
    <m/>
    <m/>
    <m/>
    <m/>
  </r>
  <r>
    <x v="229"/>
    <s v="금"/>
    <s v="페이스북/인스타그램"/>
    <m/>
    <m/>
    <m/>
    <m/>
    <m/>
    <m/>
    <n v="5121174"/>
    <m/>
    <m/>
    <m/>
    <m/>
    <m/>
  </r>
  <r>
    <x v="230"/>
    <s v="토"/>
    <s v="페이스북/인스타그램"/>
    <m/>
    <m/>
    <m/>
    <m/>
    <m/>
    <m/>
    <n v="4943526"/>
    <m/>
    <m/>
    <m/>
    <m/>
    <m/>
  </r>
  <r>
    <x v="231"/>
    <s v="일"/>
    <s v="페이스북/인스타그램"/>
    <m/>
    <m/>
    <m/>
    <m/>
    <m/>
    <m/>
    <n v="5048775"/>
    <m/>
    <m/>
    <m/>
    <m/>
    <m/>
  </r>
  <r>
    <x v="232"/>
    <s v="월"/>
    <s v="페이스북/인스타그램"/>
    <m/>
    <m/>
    <m/>
    <m/>
    <m/>
    <m/>
    <n v="4429424"/>
    <m/>
    <m/>
    <m/>
    <m/>
    <m/>
  </r>
  <r>
    <x v="233"/>
    <s v="화"/>
    <s v="페이스북/인스타그램"/>
    <m/>
    <m/>
    <m/>
    <m/>
    <m/>
    <m/>
    <n v="4339586"/>
    <m/>
    <m/>
    <m/>
    <m/>
    <m/>
  </r>
  <r>
    <x v="234"/>
    <s v="수"/>
    <s v="페이스북/인스타그램"/>
    <m/>
    <m/>
    <m/>
    <m/>
    <m/>
    <m/>
    <n v="4232664"/>
    <m/>
    <m/>
    <m/>
    <m/>
    <m/>
  </r>
  <r>
    <x v="235"/>
    <s v="목"/>
    <s v="페이스북/인스타그램"/>
    <m/>
    <m/>
    <m/>
    <m/>
    <m/>
    <m/>
    <n v="4126826"/>
    <m/>
    <m/>
    <m/>
    <m/>
    <m/>
  </r>
  <r>
    <x v="236"/>
    <s v="금"/>
    <s v="페이스북/인스타그램"/>
    <m/>
    <m/>
    <m/>
    <m/>
    <m/>
    <m/>
    <n v="4327408"/>
    <m/>
    <m/>
    <m/>
    <m/>
    <m/>
  </r>
  <r>
    <x v="237"/>
    <s v="토"/>
    <s v="페이스북/인스타그램"/>
    <m/>
    <m/>
    <m/>
    <m/>
    <m/>
    <m/>
    <n v="4537018"/>
    <m/>
    <m/>
    <m/>
    <m/>
    <m/>
  </r>
  <r>
    <x v="238"/>
    <s v="일"/>
    <s v="페이스북/인스타그램"/>
    <m/>
    <m/>
    <m/>
    <m/>
    <m/>
    <m/>
    <n v="4542592"/>
    <m/>
    <m/>
    <m/>
    <m/>
    <m/>
  </r>
  <r>
    <x v="239"/>
    <s v="월"/>
    <s v="페이스북/인스타그램"/>
    <m/>
    <m/>
    <m/>
    <m/>
    <m/>
    <m/>
    <n v="4368026"/>
    <m/>
    <m/>
    <m/>
    <m/>
    <m/>
  </r>
  <r>
    <x v="240"/>
    <s v="화"/>
    <s v="페이스북/인스타그램"/>
    <m/>
    <m/>
    <m/>
    <m/>
    <m/>
    <m/>
    <n v="4533547"/>
    <m/>
    <m/>
    <m/>
    <m/>
    <m/>
  </r>
  <r>
    <x v="241"/>
    <s v="수"/>
    <s v="페이스북/인스타그램"/>
    <m/>
    <m/>
    <m/>
    <m/>
    <m/>
    <m/>
    <n v="4500123"/>
    <m/>
    <m/>
    <m/>
    <m/>
    <m/>
  </r>
  <r>
    <x v="242"/>
    <s v="목"/>
    <s v="페이스북/인스타그램"/>
    <m/>
    <m/>
    <m/>
    <m/>
    <m/>
    <m/>
    <n v="4648581"/>
    <m/>
    <m/>
    <m/>
    <m/>
    <m/>
  </r>
  <r>
    <x v="243"/>
    <s v="금"/>
    <s v="페이스북/인스타그램"/>
    <m/>
    <m/>
    <m/>
    <m/>
    <m/>
    <m/>
    <n v="4509017"/>
    <m/>
    <m/>
    <m/>
    <m/>
    <m/>
  </r>
  <r>
    <x v="244"/>
    <s v="토"/>
    <s v="페이스북/인스타그램"/>
    <m/>
    <m/>
    <m/>
    <m/>
    <m/>
    <m/>
    <n v="4509017"/>
    <m/>
    <m/>
    <m/>
    <m/>
    <m/>
  </r>
  <r>
    <x v="245"/>
    <s v="일"/>
    <s v="페이스북/인스타그램"/>
    <m/>
    <m/>
    <m/>
    <m/>
    <m/>
    <m/>
    <n v="4491645"/>
    <m/>
    <m/>
    <m/>
    <m/>
    <m/>
  </r>
  <r>
    <x v="246"/>
    <s v="월"/>
    <s v="페이스북/인스타그램"/>
    <m/>
    <m/>
    <m/>
    <m/>
    <m/>
    <m/>
    <n v="4152557"/>
    <m/>
    <m/>
    <m/>
    <m/>
    <m/>
  </r>
  <r>
    <x v="247"/>
    <s v="화"/>
    <s v="페이스북/인스타그램"/>
    <m/>
    <m/>
    <m/>
    <m/>
    <m/>
    <m/>
    <n v="4309647"/>
    <m/>
    <m/>
    <m/>
    <m/>
    <m/>
  </r>
  <r>
    <x v="248"/>
    <s v="수"/>
    <s v="페이스북/인스타그램"/>
    <m/>
    <m/>
    <m/>
    <m/>
    <m/>
    <m/>
    <n v="4161919"/>
    <m/>
    <m/>
    <m/>
    <m/>
    <m/>
  </r>
  <r>
    <x v="249"/>
    <s v="목"/>
    <s v="페이스북/인스타그램"/>
    <m/>
    <m/>
    <m/>
    <m/>
    <m/>
    <m/>
    <n v="4128112"/>
    <m/>
    <m/>
    <m/>
    <m/>
    <m/>
  </r>
  <r>
    <x v="250"/>
    <s v="금"/>
    <s v="페이스북/인스타그램"/>
    <m/>
    <m/>
    <m/>
    <m/>
    <m/>
    <m/>
    <n v="4190922"/>
    <m/>
    <m/>
    <m/>
    <m/>
    <m/>
  </r>
  <r>
    <x v="251"/>
    <s v="토"/>
    <s v="페이스북/인스타그램"/>
    <m/>
    <m/>
    <m/>
    <m/>
    <m/>
    <m/>
    <n v="4369544"/>
    <m/>
    <m/>
    <m/>
    <m/>
    <m/>
  </r>
  <r>
    <x v="252"/>
    <s v="일"/>
    <s v="페이스북/인스타그램"/>
    <m/>
    <m/>
    <m/>
    <m/>
    <m/>
    <m/>
    <n v="4188960"/>
    <m/>
    <m/>
    <m/>
    <m/>
    <m/>
  </r>
  <r>
    <x v="253"/>
    <s v="월"/>
    <s v="페이스북/인스타그램"/>
    <m/>
    <m/>
    <m/>
    <m/>
    <m/>
    <m/>
    <n v="4064471"/>
    <m/>
    <m/>
    <m/>
    <m/>
    <m/>
  </r>
  <r>
    <x v="254"/>
    <s v="화"/>
    <s v="페이스북/인스타그램"/>
    <m/>
    <m/>
    <m/>
    <m/>
    <m/>
    <m/>
    <n v="3918886"/>
    <m/>
    <m/>
    <m/>
    <m/>
    <m/>
  </r>
  <r>
    <x v="255"/>
    <s v="수"/>
    <s v="페이스북/인스타그램"/>
    <m/>
    <m/>
    <m/>
    <m/>
    <m/>
    <m/>
    <n v="3808298"/>
    <m/>
    <m/>
    <m/>
    <m/>
    <m/>
  </r>
  <r>
    <x v="256"/>
    <s v="목"/>
    <s v="페이스북/인스타그램"/>
    <m/>
    <m/>
    <m/>
    <m/>
    <m/>
    <m/>
    <n v="3553718"/>
    <m/>
    <m/>
    <m/>
    <m/>
    <m/>
  </r>
  <r>
    <x v="257"/>
    <s v="금"/>
    <s v="페이스북/인스타그램"/>
    <m/>
    <m/>
    <m/>
    <m/>
    <m/>
    <m/>
    <n v="3107785"/>
    <m/>
    <m/>
    <m/>
    <m/>
    <m/>
  </r>
  <r>
    <x v="258"/>
    <s v="토"/>
    <s v="페이스북/인스타그램"/>
    <m/>
    <m/>
    <m/>
    <m/>
    <m/>
    <m/>
    <n v="2826800"/>
    <m/>
    <m/>
    <m/>
    <m/>
    <m/>
  </r>
  <r>
    <x v="259"/>
    <s v="일"/>
    <s v="페이스북/인스타그램"/>
    <m/>
    <m/>
    <m/>
    <m/>
    <m/>
    <m/>
    <n v="2823592"/>
    <m/>
    <m/>
    <m/>
    <m/>
    <m/>
  </r>
  <r>
    <x v="260"/>
    <s v="월"/>
    <s v="페이스북/인스타그램"/>
    <m/>
    <m/>
    <m/>
    <m/>
    <m/>
    <m/>
    <n v="2876646"/>
    <m/>
    <m/>
    <m/>
    <m/>
    <m/>
  </r>
  <r>
    <x v="261"/>
    <s v="화"/>
    <s v="페이스북/인스타그램"/>
    <m/>
    <m/>
    <m/>
    <m/>
    <m/>
    <m/>
    <n v="2762968"/>
    <m/>
    <m/>
    <m/>
    <m/>
    <m/>
  </r>
  <r>
    <x v="58"/>
    <s v="화"/>
    <s v="네이버 쇼핑검색"/>
    <m/>
    <m/>
    <m/>
    <m/>
    <m/>
    <m/>
    <n v="1590"/>
    <m/>
    <m/>
    <m/>
    <m/>
    <m/>
  </r>
  <r>
    <x v="59"/>
    <s v="수"/>
    <s v="네이버 쇼핑검색"/>
    <m/>
    <m/>
    <m/>
    <m/>
    <m/>
    <m/>
    <n v="5460"/>
    <m/>
    <m/>
    <m/>
    <m/>
    <m/>
  </r>
  <r>
    <x v="60"/>
    <s v="목"/>
    <s v="네이버 쇼핑검색"/>
    <m/>
    <m/>
    <m/>
    <m/>
    <m/>
    <m/>
    <n v="3480"/>
    <m/>
    <m/>
    <m/>
    <m/>
    <m/>
  </r>
  <r>
    <x v="61"/>
    <s v="금"/>
    <s v="네이버 쇼핑검색"/>
    <m/>
    <m/>
    <m/>
    <m/>
    <m/>
    <m/>
    <n v="2380"/>
    <m/>
    <m/>
    <m/>
    <m/>
    <m/>
  </r>
  <r>
    <x v="62"/>
    <s v="토"/>
    <s v="네이버 쇼핑검색"/>
    <m/>
    <m/>
    <m/>
    <m/>
    <m/>
    <m/>
    <n v="1780"/>
    <m/>
    <m/>
    <m/>
    <m/>
    <m/>
  </r>
  <r>
    <x v="63"/>
    <s v="일"/>
    <s v="네이버 쇼핑검색"/>
    <m/>
    <m/>
    <m/>
    <m/>
    <m/>
    <m/>
    <n v="170"/>
    <m/>
    <m/>
    <m/>
    <m/>
    <m/>
  </r>
  <r>
    <x v="64"/>
    <s v="월"/>
    <s v="네이버 쇼핑검색"/>
    <m/>
    <m/>
    <m/>
    <m/>
    <m/>
    <m/>
    <n v="170"/>
    <m/>
    <m/>
    <m/>
    <m/>
    <m/>
  </r>
  <r>
    <x v="65"/>
    <s v="화"/>
    <s v="네이버 쇼핑검색"/>
    <m/>
    <m/>
    <m/>
    <m/>
    <m/>
    <m/>
    <n v="4270"/>
    <m/>
    <m/>
    <m/>
    <m/>
    <m/>
  </r>
  <r>
    <x v="66"/>
    <s v="수"/>
    <s v="네이버 쇼핑검색"/>
    <m/>
    <m/>
    <m/>
    <m/>
    <m/>
    <m/>
    <n v="2340"/>
    <m/>
    <m/>
    <m/>
    <m/>
    <m/>
  </r>
  <r>
    <x v="67"/>
    <s v="목"/>
    <s v="네이버 쇼핑검색"/>
    <m/>
    <m/>
    <m/>
    <m/>
    <m/>
    <m/>
    <n v="350"/>
    <m/>
    <m/>
    <m/>
    <m/>
    <m/>
  </r>
  <r>
    <x v="68"/>
    <s v="금"/>
    <s v="네이버 쇼핑검색"/>
    <m/>
    <m/>
    <m/>
    <m/>
    <m/>
    <m/>
    <n v="959.9999999999999"/>
    <m/>
    <m/>
    <m/>
    <m/>
    <m/>
  </r>
  <r>
    <x v="69"/>
    <s v="토"/>
    <s v="네이버 쇼핑검색"/>
    <m/>
    <m/>
    <m/>
    <m/>
    <m/>
    <m/>
    <n v="1600"/>
    <m/>
    <m/>
    <m/>
    <m/>
    <m/>
  </r>
  <r>
    <x v="70"/>
    <s v="일"/>
    <s v="네이버 쇼핑검색"/>
    <m/>
    <m/>
    <m/>
    <m/>
    <m/>
    <m/>
    <n v="1140"/>
    <m/>
    <m/>
    <m/>
    <m/>
    <m/>
  </r>
  <r>
    <x v="71"/>
    <s v="월"/>
    <s v="네이버 쇼핑검색"/>
    <m/>
    <m/>
    <m/>
    <m/>
    <m/>
    <m/>
    <n v="1560"/>
    <m/>
    <m/>
    <m/>
    <m/>
    <m/>
  </r>
  <r>
    <x v="72"/>
    <s v="화"/>
    <s v="네이버 쇼핑검색"/>
    <m/>
    <m/>
    <m/>
    <m/>
    <m/>
    <m/>
    <n v="1560"/>
    <m/>
    <m/>
    <m/>
    <m/>
    <m/>
  </r>
  <r>
    <x v="73"/>
    <s v="수"/>
    <s v="네이버 쇼핑검색"/>
    <m/>
    <m/>
    <m/>
    <m/>
    <m/>
    <m/>
    <n v="4010"/>
    <m/>
    <m/>
    <m/>
    <m/>
    <m/>
  </r>
  <r>
    <x v="74"/>
    <s v="목"/>
    <s v="네이버 쇼핑검색"/>
    <m/>
    <m/>
    <m/>
    <m/>
    <m/>
    <m/>
    <n v="1940"/>
    <m/>
    <m/>
    <m/>
    <m/>
    <m/>
  </r>
  <r>
    <x v="75"/>
    <s v="금"/>
    <s v="네이버 쇼핑검색"/>
    <m/>
    <m/>
    <m/>
    <m/>
    <m/>
    <m/>
    <n v="0"/>
    <m/>
    <m/>
    <m/>
    <m/>
    <m/>
  </r>
  <r>
    <x v="76"/>
    <s v="토"/>
    <s v="네이버 쇼핑검색"/>
    <m/>
    <m/>
    <m/>
    <m/>
    <m/>
    <m/>
    <n v="200"/>
    <m/>
    <m/>
    <m/>
    <m/>
    <m/>
  </r>
  <r>
    <x v="77"/>
    <s v="일"/>
    <s v="네이버 쇼핑검색"/>
    <m/>
    <m/>
    <m/>
    <m/>
    <m/>
    <m/>
    <n v="0"/>
    <m/>
    <m/>
    <m/>
    <m/>
    <m/>
  </r>
  <r>
    <x v="78"/>
    <s v="월"/>
    <s v="네이버 쇼핑검색"/>
    <m/>
    <m/>
    <m/>
    <m/>
    <m/>
    <m/>
    <n v="0"/>
    <m/>
    <m/>
    <m/>
    <m/>
    <m/>
  </r>
  <r>
    <x v="79"/>
    <s v="화"/>
    <s v="네이버 쇼핑검색"/>
    <m/>
    <m/>
    <m/>
    <m/>
    <m/>
    <m/>
    <n v="3170"/>
    <m/>
    <m/>
    <m/>
    <m/>
    <m/>
  </r>
  <r>
    <x v="80"/>
    <s v="수"/>
    <s v="네이버 쇼핑검색"/>
    <m/>
    <m/>
    <m/>
    <m/>
    <m/>
    <m/>
    <n v="5080"/>
    <m/>
    <m/>
    <m/>
    <m/>
    <m/>
  </r>
  <r>
    <x v="81"/>
    <s v="목"/>
    <s v="네이버 쇼핑검색"/>
    <m/>
    <m/>
    <m/>
    <m/>
    <m/>
    <m/>
    <n v="2350"/>
    <m/>
    <m/>
    <m/>
    <m/>
    <m/>
  </r>
  <r>
    <x v="82"/>
    <s v="금"/>
    <s v="네이버 쇼핑검색"/>
    <m/>
    <m/>
    <m/>
    <m/>
    <m/>
    <m/>
    <n v="330"/>
    <m/>
    <m/>
    <m/>
    <m/>
    <m/>
  </r>
  <r>
    <x v="83"/>
    <s v="토"/>
    <s v="네이버 쇼핑검색"/>
    <m/>
    <m/>
    <m/>
    <m/>
    <m/>
    <m/>
    <n v="2870"/>
    <m/>
    <m/>
    <m/>
    <m/>
    <m/>
  </r>
  <r>
    <x v="84"/>
    <s v="일"/>
    <s v="네이버 쇼핑검색"/>
    <m/>
    <m/>
    <m/>
    <m/>
    <m/>
    <m/>
    <n v="620"/>
    <m/>
    <m/>
    <m/>
    <m/>
    <m/>
  </r>
  <r>
    <x v="85"/>
    <s v="월"/>
    <s v="네이버 쇼핑검색"/>
    <m/>
    <m/>
    <m/>
    <m/>
    <m/>
    <m/>
    <n v="1770"/>
    <m/>
    <m/>
    <m/>
    <m/>
    <m/>
  </r>
  <r>
    <x v="86"/>
    <s v="화"/>
    <s v="네이버 쇼핑검색"/>
    <m/>
    <m/>
    <m/>
    <m/>
    <m/>
    <m/>
    <n v="1590"/>
    <m/>
    <m/>
    <m/>
    <m/>
    <m/>
  </r>
  <r>
    <x v="87"/>
    <s v="수"/>
    <s v="네이버 쇼핑검색"/>
    <m/>
    <m/>
    <m/>
    <m/>
    <m/>
    <m/>
    <n v="2610"/>
    <m/>
    <m/>
    <m/>
    <m/>
    <m/>
  </r>
  <r>
    <x v="88"/>
    <s v="목"/>
    <s v="네이버 쇼핑검색"/>
    <m/>
    <m/>
    <m/>
    <m/>
    <m/>
    <m/>
    <n v="3010"/>
    <m/>
    <m/>
    <m/>
    <m/>
    <m/>
  </r>
  <r>
    <x v="89"/>
    <s v="금"/>
    <s v="네이버 쇼핑검색"/>
    <m/>
    <m/>
    <m/>
    <m/>
    <m/>
    <m/>
    <n v="3480"/>
    <m/>
    <m/>
    <m/>
    <m/>
    <m/>
  </r>
  <r>
    <x v="90"/>
    <s v="토"/>
    <s v="네이버 쇼핑검색"/>
    <m/>
    <m/>
    <m/>
    <m/>
    <m/>
    <m/>
    <n v="1630"/>
    <m/>
    <m/>
    <m/>
    <m/>
    <m/>
  </r>
  <r>
    <x v="91"/>
    <s v="일"/>
    <s v="네이버 쇼핑검색"/>
    <m/>
    <m/>
    <m/>
    <m/>
    <m/>
    <m/>
    <n v="2030"/>
    <m/>
    <m/>
    <m/>
    <m/>
    <m/>
  </r>
  <r>
    <x v="92"/>
    <s v="월"/>
    <s v="네이버 쇼핑검색"/>
    <m/>
    <m/>
    <m/>
    <m/>
    <m/>
    <m/>
    <n v="1540"/>
    <m/>
    <m/>
    <m/>
    <m/>
    <m/>
  </r>
  <r>
    <x v="93"/>
    <s v="화"/>
    <s v="네이버 쇼핑검색"/>
    <m/>
    <m/>
    <m/>
    <m/>
    <m/>
    <m/>
    <n v="1560"/>
    <m/>
    <m/>
    <m/>
    <m/>
    <m/>
  </r>
  <r>
    <x v="94"/>
    <s v="수"/>
    <s v="네이버 쇼핑검색"/>
    <m/>
    <m/>
    <m/>
    <m/>
    <m/>
    <m/>
    <n v="3470"/>
    <m/>
    <m/>
    <m/>
    <m/>
    <m/>
  </r>
  <r>
    <x v="95"/>
    <s v="목"/>
    <s v="네이버 쇼핑검색"/>
    <m/>
    <m/>
    <m/>
    <m/>
    <m/>
    <m/>
    <n v="5270"/>
    <m/>
    <m/>
    <m/>
    <m/>
    <m/>
  </r>
  <r>
    <x v="96"/>
    <s v="금"/>
    <s v="네이버 쇼핑검색"/>
    <m/>
    <m/>
    <m/>
    <m/>
    <m/>
    <m/>
    <n v="2640"/>
    <m/>
    <m/>
    <m/>
    <m/>
    <m/>
  </r>
  <r>
    <x v="97"/>
    <s v="토"/>
    <s v="네이버 쇼핑검색"/>
    <m/>
    <m/>
    <m/>
    <m/>
    <m/>
    <m/>
    <n v="1920"/>
    <m/>
    <m/>
    <m/>
    <m/>
    <m/>
  </r>
  <r>
    <x v="98"/>
    <s v="일"/>
    <s v="네이버 쇼핑검색"/>
    <m/>
    <m/>
    <m/>
    <m/>
    <m/>
    <m/>
    <n v="3180"/>
    <m/>
    <m/>
    <m/>
    <m/>
    <m/>
  </r>
  <r>
    <x v="99"/>
    <s v="월"/>
    <s v="네이버 쇼핑검색"/>
    <m/>
    <m/>
    <m/>
    <m/>
    <m/>
    <m/>
    <n v="1290"/>
    <m/>
    <m/>
    <m/>
    <m/>
    <m/>
  </r>
  <r>
    <x v="100"/>
    <s v="화"/>
    <s v="네이버 쇼핑검색"/>
    <m/>
    <m/>
    <m/>
    <m/>
    <m/>
    <m/>
    <n v="6010"/>
    <m/>
    <m/>
    <m/>
    <m/>
    <m/>
  </r>
  <r>
    <x v="101"/>
    <s v="수"/>
    <s v="네이버 쇼핑검색"/>
    <m/>
    <m/>
    <m/>
    <m/>
    <m/>
    <m/>
    <n v="5600"/>
    <m/>
    <m/>
    <m/>
    <m/>
    <m/>
  </r>
  <r>
    <x v="102"/>
    <s v="목"/>
    <s v="네이버 쇼핑검색"/>
    <m/>
    <m/>
    <m/>
    <m/>
    <m/>
    <m/>
    <n v="5600"/>
    <m/>
    <m/>
    <m/>
    <m/>
    <m/>
  </r>
  <r>
    <x v="103"/>
    <s v="금"/>
    <s v="네이버 쇼핑검색"/>
    <m/>
    <m/>
    <m/>
    <m/>
    <m/>
    <m/>
    <n v="3690"/>
    <m/>
    <m/>
    <m/>
    <m/>
    <m/>
  </r>
  <r>
    <x v="104"/>
    <s v="토"/>
    <s v="네이버 쇼핑검색"/>
    <m/>
    <m/>
    <m/>
    <m/>
    <m/>
    <m/>
    <n v="1870"/>
    <m/>
    <m/>
    <m/>
    <m/>
    <m/>
  </r>
  <r>
    <x v="105"/>
    <s v="일"/>
    <s v="네이버 쇼핑검색"/>
    <m/>
    <m/>
    <m/>
    <m/>
    <m/>
    <m/>
    <n v="3320"/>
    <m/>
    <m/>
    <m/>
    <m/>
    <m/>
  </r>
  <r>
    <x v="106"/>
    <s v="월"/>
    <s v="네이버 쇼핑검색"/>
    <m/>
    <m/>
    <m/>
    <m/>
    <m/>
    <m/>
    <n v="3110"/>
    <m/>
    <m/>
    <m/>
    <m/>
    <m/>
  </r>
  <r>
    <x v="107"/>
    <s v="화"/>
    <s v="네이버 쇼핑검색"/>
    <m/>
    <m/>
    <m/>
    <m/>
    <m/>
    <m/>
    <n v="4390"/>
    <m/>
    <m/>
    <m/>
    <m/>
    <m/>
  </r>
  <r>
    <x v="108"/>
    <s v="수"/>
    <s v="네이버 쇼핑검색"/>
    <m/>
    <m/>
    <m/>
    <m/>
    <m/>
    <m/>
    <n v="1770"/>
    <m/>
    <m/>
    <m/>
    <m/>
    <m/>
  </r>
  <r>
    <x v="109"/>
    <s v="목"/>
    <s v="네이버 쇼핑검색"/>
    <m/>
    <m/>
    <m/>
    <m/>
    <m/>
    <m/>
    <n v="1450"/>
    <m/>
    <m/>
    <m/>
    <m/>
    <m/>
  </r>
  <r>
    <x v="110"/>
    <s v="금"/>
    <s v="네이버 쇼핑검색"/>
    <m/>
    <m/>
    <m/>
    <m/>
    <m/>
    <m/>
    <n v="1510"/>
    <m/>
    <m/>
    <m/>
    <m/>
    <m/>
  </r>
  <r>
    <x v="111"/>
    <s v="토"/>
    <s v="네이버 쇼핑검색"/>
    <m/>
    <m/>
    <m/>
    <m/>
    <m/>
    <m/>
    <n v="1450"/>
    <m/>
    <m/>
    <m/>
    <m/>
    <m/>
  </r>
  <r>
    <x v="112"/>
    <s v="일"/>
    <s v="네이버 쇼핑검색"/>
    <m/>
    <m/>
    <m/>
    <m/>
    <m/>
    <m/>
    <n v="5090"/>
    <m/>
    <m/>
    <m/>
    <m/>
    <m/>
  </r>
  <r>
    <x v="113"/>
    <s v="월"/>
    <s v="네이버 쇼핑검색"/>
    <m/>
    <m/>
    <m/>
    <m/>
    <m/>
    <m/>
    <n v="2680"/>
    <m/>
    <m/>
    <m/>
    <m/>
    <m/>
  </r>
  <r>
    <x v="114"/>
    <s v="화"/>
    <s v="네이버 쇼핑검색"/>
    <m/>
    <m/>
    <m/>
    <m/>
    <m/>
    <m/>
    <n v="1890"/>
    <m/>
    <m/>
    <m/>
    <m/>
    <m/>
  </r>
  <r>
    <x v="115"/>
    <s v="수"/>
    <s v="네이버 쇼핑검색"/>
    <m/>
    <m/>
    <m/>
    <m/>
    <m/>
    <m/>
    <n v="1100"/>
    <m/>
    <m/>
    <m/>
    <m/>
    <m/>
  </r>
  <r>
    <x v="116"/>
    <s v="목"/>
    <s v="네이버 쇼핑검색"/>
    <m/>
    <m/>
    <m/>
    <m/>
    <m/>
    <m/>
    <n v="2120"/>
    <m/>
    <m/>
    <m/>
    <m/>
    <m/>
  </r>
  <r>
    <x v="117"/>
    <s v="금"/>
    <s v="네이버 쇼핑검색"/>
    <m/>
    <m/>
    <m/>
    <m/>
    <m/>
    <m/>
    <n v="420"/>
    <m/>
    <m/>
    <m/>
    <m/>
    <m/>
  </r>
  <r>
    <x v="118"/>
    <s v="토"/>
    <s v="네이버 쇼핑검색"/>
    <m/>
    <m/>
    <m/>
    <m/>
    <m/>
    <m/>
    <n v="2610"/>
    <m/>
    <m/>
    <m/>
    <m/>
    <m/>
  </r>
  <r>
    <x v="119"/>
    <s v="일"/>
    <s v="네이버 쇼핑검색"/>
    <m/>
    <m/>
    <m/>
    <m/>
    <m/>
    <m/>
    <n v="2770"/>
    <m/>
    <m/>
    <m/>
    <m/>
    <m/>
  </r>
  <r>
    <x v="120"/>
    <s v="월"/>
    <s v="네이버 쇼핑검색"/>
    <m/>
    <m/>
    <m/>
    <m/>
    <m/>
    <m/>
    <n v="4610"/>
    <m/>
    <m/>
    <m/>
    <m/>
    <m/>
  </r>
  <r>
    <x v="121"/>
    <s v="화"/>
    <s v="네이버 쇼핑검색"/>
    <m/>
    <m/>
    <m/>
    <m/>
    <m/>
    <m/>
    <n v="4320"/>
    <m/>
    <m/>
    <m/>
    <m/>
    <m/>
  </r>
  <r>
    <x v="122"/>
    <s v="수"/>
    <s v="네이버 쇼핑검색"/>
    <m/>
    <m/>
    <m/>
    <m/>
    <m/>
    <m/>
    <n v="2670"/>
    <m/>
    <m/>
    <m/>
    <m/>
    <m/>
  </r>
  <r>
    <x v="123"/>
    <s v="목"/>
    <s v="네이버 쇼핑검색"/>
    <m/>
    <m/>
    <m/>
    <m/>
    <m/>
    <m/>
    <n v="3010"/>
    <m/>
    <m/>
    <m/>
    <m/>
    <m/>
  </r>
  <r>
    <x v="124"/>
    <s v="금"/>
    <s v="네이버 쇼핑검색"/>
    <m/>
    <m/>
    <m/>
    <m/>
    <m/>
    <m/>
    <n v="3090"/>
    <m/>
    <m/>
    <m/>
    <m/>
    <m/>
  </r>
  <r>
    <x v="125"/>
    <s v="토"/>
    <s v="네이버 쇼핑검색"/>
    <m/>
    <m/>
    <m/>
    <m/>
    <m/>
    <m/>
    <n v="2180"/>
    <m/>
    <m/>
    <m/>
    <m/>
    <m/>
  </r>
  <r>
    <x v="126"/>
    <s v="일"/>
    <s v="네이버 쇼핑검색"/>
    <m/>
    <m/>
    <m/>
    <m/>
    <m/>
    <m/>
    <n v="4320"/>
    <m/>
    <m/>
    <m/>
    <m/>
    <m/>
  </r>
  <r>
    <x v="127"/>
    <s v="월"/>
    <s v="네이버 쇼핑검색"/>
    <m/>
    <m/>
    <m/>
    <m/>
    <m/>
    <m/>
    <n v="2860"/>
    <m/>
    <m/>
    <m/>
    <m/>
    <m/>
  </r>
  <r>
    <x v="128"/>
    <s v="화"/>
    <s v="네이버 쇼핑검색"/>
    <m/>
    <m/>
    <m/>
    <m/>
    <m/>
    <m/>
    <n v="6550"/>
    <m/>
    <m/>
    <m/>
    <m/>
    <m/>
  </r>
  <r>
    <x v="129"/>
    <s v="수"/>
    <s v="네이버 쇼핑검색"/>
    <m/>
    <m/>
    <m/>
    <m/>
    <m/>
    <m/>
    <n v="2880"/>
    <m/>
    <m/>
    <m/>
    <m/>
    <m/>
  </r>
  <r>
    <x v="130"/>
    <s v="목"/>
    <s v="네이버 쇼핑검색"/>
    <m/>
    <m/>
    <m/>
    <m/>
    <m/>
    <m/>
    <n v="7030"/>
    <m/>
    <m/>
    <m/>
    <m/>
    <m/>
  </r>
  <r>
    <x v="131"/>
    <s v="금"/>
    <s v="네이버 쇼핑검색"/>
    <m/>
    <m/>
    <m/>
    <m/>
    <m/>
    <m/>
    <n v="4360"/>
    <m/>
    <m/>
    <m/>
    <m/>
    <m/>
  </r>
  <r>
    <x v="132"/>
    <s v="토"/>
    <s v="네이버 쇼핑검색"/>
    <m/>
    <m/>
    <m/>
    <m/>
    <m/>
    <m/>
    <n v="13770"/>
    <m/>
    <m/>
    <m/>
    <m/>
    <m/>
  </r>
  <r>
    <x v="133"/>
    <s v="일"/>
    <s v="네이버 쇼핑검색"/>
    <m/>
    <m/>
    <m/>
    <m/>
    <m/>
    <m/>
    <n v="8750"/>
    <m/>
    <m/>
    <m/>
    <m/>
    <m/>
  </r>
  <r>
    <x v="134"/>
    <s v="월"/>
    <s v="네이버 쇼핑검색"/>
    <m/>
    <m/>
    <m/>
    <m/>
    <m/>
    <m/>
    <n v="9780"/>
    <m/>
    <m/>
    <m/>
    <m/>
    <m/>
  </r>
  <r>
    <x v="135"/>
    <s v="화"/>
    <s v="네이버 쇼핑검색"/>
    <m/>
    <m/>
    <m/>
    <m/>
    <m/>
    <m/>
    <n v="5870"/>
    <m/>
    <m/>
    <m/>
    <m/>
    <m/>
  </r>
  <r>
    <x v="136"/>
    <s v="수"/>
    <s v="네이버 쇼핑검색"/>
    <m/>
    <m/>
    <m/>
    <m/>
    <m/>
    <m/>
    <n v="5560"/>
    <m/>
    <m/>
    <m/>
    <m/>
    <m/>
  </r>
  <r>
    <x v="137"/>
    <s v="목"/>
    <s v="네이버 쇼핑검색"/>
    <m/>
    <m/>
    <m/>
    <m/>
    <m/>
    <m/>
    <n v="8670"/>
    <m/>
    <m/>
    <m/>
    <m/>
    <m/>
  </r>
  <r>
    <x v="138"/>
    <s v="금"/>
    <s v="네이버 쇼핑검색"/>
    <m/>
    <m/>
    <m/>
    <m/>
    <m/>
    <m/>
    <n v="7260"/>
    <m/>
    <m/>
    <m/>
    <m/>
    <m/>
  </r>
  <r>
    <x v="139"/>
    <s v="토"/>
    <s v="네이버 쇼핑검색"/>
    <m/>
    <m/>
    <m/>
    <m/>
    <m/>
    <m/>
    <n v="12680"/>
    <m/>
    <m/>
    <m/>
    <m/>
    <m/>
  </r>
  <r>
    <x v="140"/>
    <s v="일"/>
    <s v="네이버 쇼핑검색"/>
    <m/>
    <m/>
    <m/>
    <m/>
    <m/>
    <m/>
    <n v="14480"/>
    <m/>
    <m/>
    <m/>
    <m/>
    <m/>
  </r>
  <r>
    <x v="141"/>
    <s v="월"/>
    <s v="네이버 쇼핑검색"/>
    <m/>
    <m/>
    <m/>
    <m/>
    <m/>
    <m/>
    <n v="7040"/>
    <m/>
    <m/>
    <m/>
    <m/>
    <m/>
  </r>
  <r>
    <x v="142"/>
    <s v="화"/>
    <s v="네이버 쇼핑검색"/>
    <m/>
    <m/>
    <m/>
    <m/>
    <m/>
    <m/>
    <n v="12770"/>
    <m/>
    <m/>
    <m/>
    <m/>
    <m/>
  </r>
  <r>
    <x v="143"/>
    <s v="수"/>
    <s v="네이버 쇼핑검색"/>
    <m/>
    <m/>
    <m/>
    <m/>
    <m/>
    <m/>
    <n v="11740"/>
    <m/>
    <m/>
    <m/>
    <m/>
    <m/>
  </r>
  <r>
    <x v="144"/>
    <s v="목"/>
    <s v="네이버 쇼핑검색"/>
    <m/>
    <m/>
    <m/>
    <m/>
    <m/>
    <m/>
    <n v="12460"/>
    <m/>
    <m/>
    <m/>
    <m/>
    <m/>
  </r>
  <r>
    <x v="145"/>
    <s v="금"/>
    <s v="네이버 쇼핑검색"/>
    <m/>
    <m/>
    <m/>
    <m/>
    <m/>
    <m/>
    <n v="7990"/>
    <m/>
    <m/>
    <m/>
    <m/>
    <m/>
  </r>
  <r>
    <x v="146"/>
    <s v="토"/>
    <s v="네이버 쇼핑검색"/>
    <m/>
    <m/>
    <m/>
    <m/>
    <m/>
    <m/>
    <n v="11070"/>
    <m/>
    <m/>
    <m/>
    <m/>
    <m/>
  </r>
  <r>
    <x v="147"/>
    <s v="일"/>
    <s v="네이버 쇼핑검색"/>
    <m/>
    <m/>
    <m/>
    <m/>
    <m/>
    <m/>
    <n v="12730"/>
    <m/>
    <m/>
    <m/>
    <m/>
    <m/>
  </r>
  <r>
    <x v="148"/>
    <s v="월"/>
    <s v="네이버 쇼핑검색"/>
    <m/>
    <m/>
    <m/>
    <m/>
    <m/>
    <m/>
    <n v="7840"/>
    <m/>
    <m/>
    <m/>
    <m/>
    <m/>
  </r>
  <r>
    <x v="149"/>
    <s v="화"/>
    <s v="네이버 쇼핑검색"/>
    <m/>
    <m/>
    <m/>
    <m/>
    <m/>
    <m/>
    <n v="7650"/>
    <m/>
    <m/>
    <m/>
    <m/>
    <m/>
  </r>
  <r>
    <x v="150"/>
    <s v="수"/>
    <s v="네이버 쇼핑검색"/>
    <m/>
    <m/>
    <m/>
    <m/>
    <m/>
    <m/>
    <n v="13600"/>
    <m/>
    <m/>
    <m/>
    <m/>
    <m/>
  </r>
  <r>
    <x v="151"/>
    <s v="목"/>
    <s v="네이버 쇼핑검색"/>
    <m/>
    <m/>
    <m/>
    <m/>
    <m/>
    <m/>
    <n v="11370"/>
    <m/>
    <m/>
    <m/>
    <m/>
    <m/>
  </r>
  <r>
    <x v="152"/>
    <s v="금"/>
    <s v="네이버 쇼핑검색"/>
    <m/>
    <m/>
    <m/>
    <m/>
    <m/>
    <m/>
    <n v="7930"/>
    <m/>
    <m/>
    <m/>
    <m/>
    <m/>
  </r>
  <r>
    <x v="153"/>
    <s v="토"/>
    <s v="네이버 쇼핑검색"/>
    <m/>
    <m/>
    <m/>
    <m/>
    <m/>
    <m/>
    <n v="2940"/>
    <m/>
    <m/>
    <m/>
    <m/>
    <m/>
  </r>
  <r>
    <x v="154"/>
    <s v="일"/>
    <s v="네이버 쇼핑검색"/>
    <m/>
    <m/>
    <m/>
    <m/>
    <m/>
    <m/>
    <n v="15270"/>
    <m/>
    <m/>
    <m/>
    <m/>
    <m/>
  </r>
  <r>
    <x v="155"/>
    <s v="월"/>
    <s v="네이버 쇼핑검색"/>
    <m/>
    <m/>
    <m/>
    <m/>
    <m/>
    <m/>
    <n v="9190"/>
    <m/>
    <m/>
    <m/>
    <m/>
    <m/>
  </r>
  <r>
    <x v="156"/>
    <s v="화"/>
    <s v="네이버 쇼핑검색"/>
    <m/>
    <m/>
    <m/>
    <m/>
    <m/>
    <m/>
    <n v="18700"/>
    <m/>
    <m/>
    <m/>
    <m/>
    <m/>
  </r>
  <r>
    <x v="157"/>
    <s v="수"/>
    <s v="네이버 쇼핑검색"/>
    <m/>
    <m/>
    <m/>
    <m/>
    <m/>
    <m/>
    <n v="10690"/>
    <m/>
    <m/>
    <m/>
    <m/>
    <m/>
  </r>
  <r>
    <x v="158"/>
    <s v="목"/>
    <s v="네이버 쇼핑검색"/>
    <m/>
    <m/>
    <m/>
    <m/>
    <m/>
    <m/>
    <n v="9710"/>
    <m/>
    <m/>
    <m/>
    <m/>
    <m/>
  </r>
  <r>
    <x v="159"/>
    <s v="금"/>
    <s v="네이버 쇼핑검색"/>
    <m/>
    <m/>
    <m/>
    <m/>
    <m/>
    <m/>
    <n v="4160"/>
    <m/>
    <m/>
    <m/>
    <m/>
    <m/>
  </r>
  <r>
    <x v="160"/>
    <s v="토"/>
    <s v="네이버 쇼핑검색"/>
    <m/>
    <m/>
    <m/>
    <m/>
    <m/>
    <m/>
    <n v="5959.999999999999"/>
    <m/>
    <m/>
    <m/>
    <m/>
    <m/>
  </r>
  <r>
    <x v="161"/>
    <s v="일"/>
    <s v="네이버 쇼핑검색"/>
    <m/>
    <m/>
    <m/>
    <m/>
    <m/>
    <m/>
    <n v="8560"/>
    <m/>
    <m/>
    <m/>
    <m/>
    <m/>
  </r>
  <r>
    <x v="162"/>
    <s v="월"/>
    <s v="네이버 쇼핑검색"/>
    <m/>
    <m/>
    <m/>
    <m/>
    <m/>
    <m/>
    <n v="10150"/>
    <m/>
    <m/>
    <m/>
    <m/>
    <m/>
  </r>
  <r>
    <x v="163"/>
    <s v="화"/>
    <s v="네이버 쇼핑검색"/>
    <m/>
    <m/>
    <m/>
    <m/>
    <m/>
    <m/>
    <n v="10040"/>
    <m/>
    <m/>
    <m/>
    <m/>
    <m/>
  </r>
  <r>
    <x v="164"/>
    <s v="수"/>
    <s v="네이버 쇼핑검색"/>
    <m/>
    <m/>
    <m/>
    <m/>
    <m/>
    <m/>
    <n v="3230"/>
    <m/>
    <m/>
    <m/>
    <m/>
    <m/>
  </r>
  <r>
    <x v="165"/>
    <s v="목"/>
    <s v="네이버 쇼핑검색"/>
    <m/>
    <m/>
    <m/>
    <m/>
    <m/>
    <m/>
    <n v="5130"/>
    <m/>
    <m/>
    <m/>
    <m/>
    <m/>
  </r>
  <r>
    <x v="166"/>
    <s v="금"/>
    <s v="네이버 쇼핑검색"/>
    <m/>
    <m/>
    <m/>
    <m/>
    <m/>
    <m/>
    <n v="4460"/>
    <m/>
    <m/>
    <m/>
    <m/>
    <m/>
  </r>
  <r>
    <x v="167"/>
    <s v="토"/>
    <s v="네이버 쇼핑검색"/>
    <m/>
    <m/>
    <m/>
    <m/>
    <m/>
    <m/>
    <n v="8960"/>
    <m/>
    <m/>
    <m/>
    <m/>
    <m/>
  </r>
  <r>
    <x v="168"/>
    <s v="일"/>
    <s v="네이버 쇼핑검색"/>
    <m/>
    <m/>
    <m/>
    <m/>
    <m/>
    <m/>
    <n v="11210"/>
    <m/>
    <m/>
    <m/>
    <m/>
    <m/>
  </r>
  <r>
    <x v="169"/>
    <s v="월"/>
    <s v="네이버 쇼핑검색"/>
    <m/>
    <m/>
    <m/>
    <m/>
    <m/>
    <m/>
    <n v="7059.999999999999"/>
    <m/>
    <m/>
    <m/>
    <m/>
    <m/>
  </r>
  <r>
    <x v="170"/>
    <s v="화"/>
    <s v="네이버 쇼핑검색"/>
    <m/>
    <m/>
    <m/>
    <m/>
    <m/>
    <m/>
    <n v="6679.999999999999"/>
    <m/>
    <m/>
    <m/>
    <m/>
    <m/>
  </r>
  <r>
    <x v="171"/>
    <s v="수"/>
    <s v="네이버 쇼핑검색"/>
    <m/>
    <m/>
    <m/>
    <m/>
    <m/>
    <m/>
    <n v="2380"/>
    <m/>
    <m/>
    <m/>
    <m/>
    <m/>
  </r>
  <r>
    <x v="172"/>
    <s v="목"/>
    <s v="네이버 쇼핑검색"/>
    <m/>
    <m/>
    <m/>
    <m/>
    <m/>
    <m/>
    <n v="6529.999999999999"/>
    <m/>
    <m/>
    <m/>
    <m/>
    <m/>
  </r>
  <r>
    <x v="173"/>
    <s v="금"/>
    <s v="네이버 쇼핑검색"/>
    <m/>
    <m/>
    <m/>
    <m/>
    <m/>
    <m/>
    <n v="13600"/>
    <m/>
    <m/>
    <m/>
    <m/>
    <m/>
  </r>
  <r>
    <x v="174"/>
    <s v="토"/>
    <s v="네이버 쇼핑검색"/>
    <m/>
    <m/>
    <m/>
    <m/>
    <m/>
    <m/>
    <n v="15870"/>
    <m/>
    <m/>
    <m/>
    <m/>
    <m/>
  </r>
  <r>
    <x v="175"/>
    <s v="일"/>
    <s v="네이버 쇼핑검색"/>
    <m/>
    <m/>
    <m/>
    <m/>
    <m/>
    <m/>
    <n v="19100"/>
    <m/>
    <m/>
    <m/>
    <m/>
    <m/>
  </r>
  <r>
    <x v="176"/>
    <s v="월"/>
    <s v="네이버 쇼핑검색"/>
    <m/>
    <m/>
    <m/>
    <m/>
    <m/>
    <m/>
    <n v="10890"/>
    <m/>
    <m/>
    <m/>
    <m/>
    <m/>
  </r>
  <r>
    <x v="177"/>
    <s v="화"/>
    <s v="네이버 쇼핑검색"/>
    <m/>
    <m/>
    <m/>
    <m/>
    <m/>
    <m/>
    <n v="16430"/>
    <m/>
    <m/>
    <m/>
    <m/>
    <m/>
  </r>
  <r>
    <x v="178"/>
    <s v="수"/>
    <s v="네이버 쇼핑검색"/>
    <m/>
    <m/>
    <m/>
    <m/>
    <m/>
    <m/>
    <n v="20510"/>
    <m/>
    <m/>
    <m/>
    <m/>
    <m/>
  </r>
  <r>
    <x v="179"/>
    <s v="목"/>
    <s v="네이버 쇼핑검색"/>
    <m/>
    <m/>
    <m/>
    <m/>
    <m/>
    <m/>
    <n v="27750"/>
    <m/>
    <m/>
    <m/>
    <m/>
    <m/>
  </r>
  <r>
    <x v="180"/>
    <s v="금"/>
    <s v="네이버 쇼핑검색"/>
    <m/>
    <m/>
    <m/>
    <m/>
    <m/>
    <m/>
    <n v="19510"/>
    <m/>
    <m/>
    <m/>
    <m/>
    <m/>
  </r>
  <r>
    <x v="181"/>
    <s v="토"/>
    <s v="네이버 쇼핑검색"/>
    <m/>
    <m/>
    <m/>
    <m/>
    <m/>
    <m/>
    <n v="17860"/>
    <m/>
    <m/>
    <m/>
    <m/>
    <m/>
  </r>
  <r>
    <x v="182"/>
    <s v="일"/>
    <s v="네이버 쇼핑검색"/>
    <m/>
    <m/>
    <m/>
    <m/>
    <m/>
    <m/>
    <n v="24280"/>
    <m/>
    <m/>
    <m/>
    <m/>
    <m/>
  </r>
  <r>
    <x v="183"/>
    <s v="월"/>
    <s v="네이버 쇼핑검색"/>
    <m/>
    <m/>
    <m/>
    <m/>
    <m/>
    <m/>
    <n v="17150"/>
    <m/>
    <m/>
    <m/>
    <m/>
    <m/>
  </r>
  <r>
    <x v="184"/>
    <s v="화"/>
    <s v="네이버 쇼핑검색"/>
    <m/>
    <m/>
    <m/>
    <m/>
    <m/>
    <m/>
    <n v="19640"/>
    <m/>
    <m/>
    <m/>
    <m/>
    <m/>
  </r>
  <r>
    <x v="185"/>
    <s v="수"/>
    <s v="네이버 쇼핑검색"/>
    <m/>
    <m/>
    <m/>
    <m/>
    <m/>
    <m/>
    <n v="22660"/>
    <m/>
    <m/>
    <m/>
    <m/>
    <m/>
  </r>
  <r>
    <x v="186"/>
    <s v="목"/>
    <s v="네이버 쇼핑검색"/>
    <m/>
    <m/>
    <m/>
    <m/>
    <m/>
    <m/>
    <n v="14240"/>
    <m/>
    <m/>
    <m/>
    <m/>
    <m/>
  </r>
  <r>
    <x v="187"/>
    <s v="금"/>
    <s v="네이버 쇼핑검색"/>
    <m/>
    <m/>
    <m/>
    <m/>
    <m/>
    <m/>
    <n v="22870"/>
    <m/>
    <m/>
    <m/>
    <m/>
    <m/>
  </r>
  <r>
    <x v="188"/>
    <s v="토"/>
    <s v="네이버 쇼핑검색"/>
    <m/>
    <m/>
    <m/>
    <m/>
    <m/>
    <m/>
    <n v="27210"/>
    <m/>
    <m/>
    <m/>
    <m/>
    <m/>
  </r>
  <r>
    <x v="189"/>
    <s v="일"/>
    <s v="네이버 쇼핑검색"/>
    <m/>
    <m/>
    <m/>
    <m/>
    <m/>
    <m/>
    <n v="40860"/>
    <m/>
    <m/>
    <m/>
    <m/>
    <m/>
  </r>
  <r>
    <x v="190"/>
    <s v="월"/>
    <s v="네이버 쇼핑검색"/>
    <m/>
    <m/>
    <m/>
    <m/>
    <m/>
    <m/>
    <n v="26380"/>
    <m/>
    <m/>
    <m/>
    <m/>
    <m/>
  </r>
  <r>
    <x v="191"/>
    <s v="화"/>
    <s v="네이버 쇼핑검색"/>
    <m/>
    <m/>
    <m/>
    <m/>
    <m/>
    <m/>
    <n v="31990"/>
    <m/>
    <m/>
    <m/>
    <m/>
    <m/>
  </r>
  <r>
    <x v="192"/>
    <s v="수"/>
    <s v="네이버 쇼핑검색"/>
    <m/>
    <m/>
    <m/>
    <m/>
    <m/>
    <m/>
    <n v="42700"/>
    <m/>
    <m/>
    <m/>
    <m/>
    <m/>
  </r>
  <r>
    <x v="193"/>
    <s v="목"/>
    <s v="네이버 쇼핑검색"/>
    <m/>
    <m/>
    <m/>
    <m/>
    <m/>
    <m/>
    <n v="33000"/>
    <m/>
    <m/>
    <m/>
    <m/>
    <m/>
  </r>
  <r>
    <x v="194"/>
    <s v="금"/>
    <s v="네이버 쇼핑검색"/>
    <m/>
    <m/>
    <m/>
    <m/>
    <m/>
    <m/>
    <n v="38450"/>
    <m/>
    <m/>
    <m/>
    <m/>
    <m/>
  </r>
  <r>
    <x v="195"/>
    <s v="토"/>
    <s v="네이버 쇼핑검색"/>
    <m/>
    <m/>
    <m/>
    <m/>
    <m/>
    <m/>
    <n v="35250"/>
    <m/>
    <m/>
    <m/>
    <m/>
    <m/>
  </r>
  <r>
    <x v="196"/>
    <s v="일"/>
    <s v="네이버 쇼핑검색"/>
    <m/>
    <m/>
    <m/>
    <m/>
    <m/>
    <m/>
    <n v="52359.99999999999"/>
    <m/>
    <m/>
    <m/>
    <m/>
    <m/>
  </r>
  <r>
    <x v="197"/>
    <s v="월"/>
    <s v="네이버 쇼핑검색"/>
    <m/>
    <m/>
    <m/>
    <m/>
    <m/>
    <m/>
    <n v="48269.99999999999"/>
    <m/>
    <m/>
    <m/>
    <m/>
    <m/>
  </r>
  <r>
    <x v="198"/>
    <s v="화"/>
    <s v="네이버 쇼핑검색"/>
    <m/>
    <m/>
    <m/>
    <m/>
    <m/>
    <m/>
    <n v="50669.99999999999"/>
    <m/>
    <m/>
    <m/>
    <m/>
    <m/>
  </r>
  <r>
    <x v="199"/>
    <s v="수"/>
    <s v="네이버 쇼핑검색"/>
    <m/>
    <m/>
    <m/>
    <m/>
    <m/>
    <m/>
    <n v="66140"/>
    <m/>
    <m/>
    <m/>
    <m/>
    <m/>
  </r>
  <r>
    <x v="200"/>
    <s v="목"/>
    <s v="네이버 쇼핑검색"/>
    <m/>
    <m/>
    <m/>
    <m/>
    <m/>
    <m/>
    <n v="63049.99999999999"/>
    <m/>
    <m/>
    <m/>
    <m/>
    <m/>
  </r>
  <r>
    <x v="201"/>
    <s v="금"/>
    <s v="네이버 쇼핑검색"/>
    <m/>
    <m/>
    <m/>
    <m/>
    <m/>
    <m/>
    <n v="60979.99999999999"/>
    <m/>
    <m/>
    <m/>
    <m/>
    <m/>
  </r>
  <r>
    <x v="202"/>
    <s v="토"/>
    <s v="네이버 쇼핑검색"/>
    <m/>
    <m/>
    <m/>
    <m/>
    <m/>
    <m/>
    <n v="68000"/>
    <m/>
    <m/>
    <m/>
    <m/>
    <m/>
  </r>
  <r>
    <x v="203"/>
    <s v="일"/>
    <s v="네이버 쇼핑검색"/>
    <m/>
    <m/>
    <m/>
    <m/>
    <m/>
    <m/>
    <n v="70450"/>
    <m/>
    <m/>
    <m/>
    <m/>
    <m/>
  </r>
  <r>
    <x v="204"/>
    <s v="월"/>
    <s v="네이버 쇼핑검색"/>
    <m/>
    <m/>
    <m/>
    <m/>
    <m/>
    <m/>
    <n v="59889.99999999999"/>
    <m/>
    <m/>
    <m/>
    <m/>
    <m/>
  </r>
  <r>
    <x v="205"/>
    <s v="화"/>
    <s v="네이버 쇼핑검색"/>
    <m/>
    <m/>
    <m/>
    <m/>
    <m/>
    <m/>
    <n v="27470"/>
    <m/>
    <m/>
    <m/>
    <m/>
    <m/>
  </r>
  <r>
    <x v="206"/>
    <s v="수"/>
    <s v="네이버 쇼핑검색"/>
    <m/>
    <m/>
    <m/>
    <m/>
    <m/>
    <m/>
    <n v="14630"/>
    <m/>
    <m/>
    <m/>
    <m/>
    <m/>
  </r>
  <r>
    <x v="207"/>
    <s v="목"/>
    <s v="네이버 쇼핑검색"/>
    <m/>
    <m/>
    <m/>
    <m/>
    <m/>
    <m/>
    <n v="14700"/>
    <m/>
    <m/>
    <m/>
    <m/>
    <m/>
  </r>
  <r>
    <x v="208"/>
    <s v="금"/>
    <s v="네이버 쇼핑검색"/>
    <m/>
    <m/>
    <m/>
    <m/>
    <m/>
    <m/>
    <n v="16750"/>
    <m/>
    <m/>
    <m/>
    <m/>
    <m/>
  </r>
  <r>
    <x v="209"/>
    <s v="토"/>
    <s v="네이버 쇼핑검색"/>
    <m/>
    <m/>
    <m/>
    <m/>
    <m/>
    <m/>
    <n v="16250"/>
    <m/>
    <m/>
    <m/>
    <m/>
    <m/>
  </r>
  <r>
    <x v="210"/>
    <s v="일"/>
    <s v="네이버 쇼핑검색"/>
    <m/>
    <m/>
    <m/>
    <m/>
    <m/>
    <m/>
    <n v="26560"/>
    <m/>
    <m/>
    <m/>
    <m/>
    <m/>
  </r>
  <r>
    <x v="211"/>
    <s v="월"/>
    <s v="네이버 쇼핑검색"/>
    <m/>
    <m/>
    <m/>
    <m/>
    <m/>
    <m/>
    <n v="13670"/>
    <m/>
    <m/>
    <m/>
    <m/>
    <m/>
  </r>
  <r>
    <x v="212"/>
    <s v="화"/>
    <s v="네이버 쇼핑검색"/>
    <m/>
    <m/>
    <m/>
    <m/>
    <m/>
    <m/>
    <n v="9240"/>
    <m/>
    <m/>
    <m/>
    <m/>
    <m/>
  </r>
  <r>
    <x v="213"/>
    <s v="수"/>
    <s v="네이버 쇼핑검색"/>
    <m/>
    <m/>
    <m/>
    <m/>
    <m/>
    <m/>
    <n v="13410"/>
    <m/>
    <m/>
    <m/>
    <m/>
    <m/>
  </r>
  <r>
    <x v="214"/>
    <s v="목"/>
    <s v="네이버 쇼핑검색"/>
    <m/>
    <m/>
    <m/>
    <m/>
    <m/>
    <m/>
    <n v="10620"/>
    <m/>
    <m/>
    <m/>
    <m/>
    <m/>
  </r>
  <r>
    <x v="215"/>
    <s v="금"/>
    <s v="네이버 쇼핑검색"/>
    <m/>
    <m/>
    <m/>
    <m/>
    <m/>
    <m/>
    <n v="25060"/>
    <m/>
    <m/>
    <m/>
    <m/>
    <m/>
  </r>
  <r>
    <x v="216"/>
    <s v="토"/>
    <s v="네이버 쇼핑검색"/>
    <m/>
    <m/>
    <m/>
    <m/>
    <m/>
    <m/>
    <n v="32280"/>
    <m/>
    <m/>
    <m/>
    <m/>
    <m/>
  </r>
  <r>
    <x v="217"/>
    <s v="일"/>
    <s v="네이버 쇼핑검색"/>
    <m/>
    <m/>
    <m/>
    <m/>
    <m/>
    <m/>
    <n v="32090"/>
    <m/>
    <m/>
    <m/>
    <m/>
    <m/>
  </r>
  <r>
    <x v="218"/>
    <s v="월"/>
    <s v="네이버 쇼핑검색"/>
    <m/>
    <m/>
    <m/>
    <m/>
    <m/>
    <m/>
    <n v="28870"/>
    <m/>
    <m/>
    <m/>
    <m/>
    <m/>
  </r>
  <r>
    <x v="219"/>
    <s v="화"/>
    <s v="네이버 쇼핑검색"/>
    <m/>
    <m/>
    <m/>
    <m/>
    <m/>
    <m/>
    <n v="24800"/>
    <m/>
    <m/>
    <m/>
    <m/>
    <m/>
  </r>
  <r>
    <x v="220"/>
    <s v="수"/>
    <s v="네이버 쇼핑검색"/>
    <m/>
    <m/>
    <m/>
    <m/>
    <m/>
    <m/>
    <n v="30510"/>
    <m/>
    <m/>
    <m/>
    <m/>
    <m/>
  </r>
  <r>
    <x v="221"/>
    <s v="목"/>
    <s v="네이버 쇼핑검색"/>
    <m/>
    <m/>
    <m/>
    <m/>
    <m/>
    <m/>
    <n v="25410"/>
    <m/>
    <m/>
    <m/>
    <m/>
    <m/>
  </r>
  <r>
    <x v="222"/>
    <s v="금"/>
    <s v="네이버 쇼핑검색"/>
    <m/>
    <m/>
    <m/>
    <m/>
    <m/>
    <m/>
    <n v="31670"/>
    <m/>
    <m/>
    <m/>
    <m/>
    <m/>
  </r>
  <r>
    <x v="223"/>
    <s v="토"/>
    <s v="네이버 쇼핑검색"/>
    <m/>
    <m/>
    <m/>
    <m/>
    <m/>
    <m/>
    <n v="31490"/>
    <m/>
    <m/>
    <m/>
    <m/>
    <m/>
  </r>
  <r>
    <x v="224"/>
    <s v="일"/>
    <s v="네이버 쇼핑검색"/>
    <m/>
    <m/>
    <m/>
    <m/>
    <m/>
    <m/>
    <n v="32720"/>
    <m/>
    <m/>
    <m/>
    <m/>
    <m/>
  </r>
  <r>
    <x v="225"/>
    <s v="월"/>
    <s v="네이버 쇼핑검색"/>
    <m/>
    <m/>
    <m/>
    <m/>
    <m/>
    <m/>
    <n v="80300"/>
    <m/>
    <m/>
    <m/>
    <m/>
    <m/>
  </r>
  <r>
    <x v="226"/>
    <s v="화"/>
    <s v="네이버 쇼핑검색"/>
    <m/>
    <m/>
    <m/>
    <m/>
    <m/>
    <m/>
    <n v="119700"/>
    <m/>
    <m/>
    <m/>
    <m/>
    <m/>
  </r>
  <r>
    <x v="227"/>
    <s v="수"/>
    <s v="네이버 쇼핑검색"/>
    <m/>
    <m/>
    <m/>
    <m/>
    <m/>
    <m/>
    <n v="56279.99999999999"/>
    <m/>
    <m/>
    <m/>
    <m/>
    <m/>
  </r>
  <r>
    <x v="228"/>
    <s v="목"/>
    <s v="네이버 쇼핑검색"/>
    <m/>
    <m/>
    <m/>
    <m/>
    <m/>
    <m/>
    <n v="31650"/>
    <m/>
    <m/>
    <m/>
    <m/>
    <m/>
  </r>
  <r>
    <x v="229"/>
    <s v="금"/>
    <s v="네이버 쇼핑검색"/>
    <m/>
    <m/>
    <m/>
    <m/>
    <m/>
    <m/>
    <n v="31740"/>
    <m/>
    <m/>
    <m/>
    <m/>
    <m/>
  </r>
  <r>
    <x v="230"/>
    <s v="토"/>
    <s v="네이버 쇼핑검색"/>
    <m/>
    <m/>
    <m/>
    <m/>
    <m/>
    <m/>
    <n v="31930"/>
    <m/>
    <m/>
    <m/>
    <m/>
    <m/>
  </r>
  <r>
    <x v="231"/>
    <s v="일"/>
    <s v="네이버 쇼핑검색"/>
    <m/>
    <m/>
    <m/>
    <m/>
    <m/>
    <m/>
    <n v="32040"/>
    <m/>
    <m/>
    <m/>
    <m/>
    <m/>
  </r>
  <r>
    <x v="232"/>
    <s v="월"/>
    <s v="네이버 쇼핑검색"/>
    <m/>
    <m/>
    <m/>
    <m/>
    <m/>
    <m/>
    <n v="32530"/>
    <m/>
    <m/>
    <m/>
    <m/>
    <m/>
  </r>
  <r>
    <x v="233"/>
    <s v="화"/>
    <s v="네이버 쇼핑검색"/>
    <m/>
    <m/>
    <m/>
    <m/>
    <m/>
    <m/>
    <n v="31550"/>
    <m/>
    <m/>
    <m/>
    <m/>
    <m/>
  </r>
  <r>
    <x v="234"/>
    <s v="수"/>
    <s v="네이버 쇼핑검색"/>
    <m/>
    <m/>
    <m/>
    <m/>
    <m/>
    <m/>
    <n v="31770"/>
    <m/>
    <m/>
    <m/>
    <m/>
    <m/>
  </r>
  <r>
    <x v="235"/>
    <s v="목"/>
    <s v="네이버 쇼핑검색"/>
    <m/>
    <m/>
    <m/>
    <m/>
    <m/>
    <m/>
    <n v="31760"/>
    <m/>
    <m/>
    <m/>
    <m/>
    <m/>
  </r>
  <r>
    <x v="236"/>
    <s v="금"/>
    <s v="네이버 쇼핑검색"/>
    <m/>
    <m/>
    <m/>
    <m/>
    <m/>
    <m/>
    <n v="31600"/>
    <m/>
    <m/>
    <m/>
    <m/>
    <m/>
  </r>
  <r>
    <x v="237"/>
    <s v="토"/>
    <s v="네이버 쇼핑검색"/>
    <m/>
    <m/>
    <m/>
    <m/>
    <m/>
    <m/>
    <n v="31980"/>
    <m/>
    <m/>
    <m/>
    <m/>
    <m/>
  </r>
  <r>
    <x v="238"/>
    <s v="일"/>
    <s v="네이버 쇼핑검색"/>
    <m/>
    <m/>
    <m/>
    <m/>
    <m/>
    <m/>
    <n v="32020"/>
    <m/>
    <m/>
    <m/>
    <m/>
    <m/>
  </r>
  <r>
    <x v="239"/>
    <s v="월"/>
    <s v="네이버 쇼핑검색"/>
    <m/>
    <m/>
    <m/>
    <m/>
    <m/>
    <m/>
    <n v="31450"/>
    <m/>
    <m/>
    <m/>
    <m/>
    <m/>
  </r>
  <r>
    <x v="240"/>
    <s v="화"/>
    <s v="네이버 쇼핑검색"/>
    <m/>
    <m/>
    <m/>
    <m/>
    <m/>
    <m/>
    <n v="31700"/>
    <m/>
    <m/>
    <m/>
    <m/>
    <m/>
  </r>
  <r>
    <x v="241"/>
    <s v="수"/>
    <s v="네이버 쇼핑검색"/>
    <m/>
    <m/>
    <m/>
    <m/>
    <m/>
    <m/>
    <n v="31760"/>
    <m/>
    <m/>
    <m/>
    <m/>
    <m/>
  </r>
  <r>
    <x v="242"/>
    <s v="목"/>
    <s v="네이버 쇼핑검색"/>
    <m/>
    <m/>
    <m/>
    <m/>
    <m/>
    <m/>
    <n v="31700"/>
    <m/>
    <m/>
    <m/>
    <m/>
    <m/>
  </r>
  <r>
    <x v="243"/>
    <s v="금"/>
    <s v="네이버 쇼핑검색"/>
    <m/>
    <m/>
    <m/>
    <m/>
    <m/>
    <m/>
    <n v="32120"/>
    <m/>
    <m/>
    <m/>
    <m/>
    <m/>
  </r>
  <r>
    <x v="244"/>
    <s v="토"/>
    <s v="네이버 쇼핑검색"/>
    <m/>
    <m/>
    <m/>
    <m/>
    <m/>
    <m/>
    <n v="32110"/>
    <m/>
    <m/>
    <m/>
    <m/>
    <m/>
  </r>
  <r>
    <x v="245"/>
    <s v="일"/>
    <s v="네이버 쇼핑검색"/>
    <m/>
    <m/>
    <m/>
    <m/>
    <m/>
    <m/>
    <n v="32400"/>
    <m/>
    <m/>
    <m/>
    <m/>
    <m/>
  </r>
  <r>
    <x v="246"/>
    <s v="월"/>
    <s v="네이버 쇼핑검색"/>
    <m/>
    <m/>
    <m/>
    <m/>
    <m/>
    <m/>
    <n v="31560"/>
    <m/>
    <m/>
    <m/>
    <m/>
    <m/>
  </r>
  <r>
    <x v="247"/>
    <s v="화"/>
    <s v="네이버 쇼핑검색"/>
    <m/>
    <m/>
    <m/>
    <m/>
    <m/>
    <m/>
    <n v="31510"/>
    <m/>
    <m/>
    <m/>
    <m/>
    <m/>
  </r>
  <r>
    <x v="248"/>
    <s v="수"/>
    <s v="네이버 쇼핑검색"/>
    <m/>
    <m/>
    <m/>
    <m/>
    <m/>
    <m/>
    <n v="31860"/>
    <m/>
    <m/>
    <m/>
    <m/>
    <m/>
  </r>
  <r>
    <x v="249"/>
    <s v="목"/>
    <s v="네이버 쇼핑검색"/>
    <m/>
    <m/>
    <m/>
    <m/>
    <m/>
    <m/>
    <n v="32190"/>
    <m/>
    <m/>
    <m/>
    <m/>
    <m/>
  </r>
  <r>
    <x v="250"/>
    <s v="금"/>
    <s v="네이버 쇼핑검색"/>
    <m/>
    <m/>
    <m/>
    <m/>
    <m/>
    <m/>
    <n v="31590"/>
    <m/>
    <m/>
    <m/>
    <m/>
    <m/>
  </r>
  <r>
    <x v="251"/>
    <s v="토"/>
    <s v="네이버 쇼핑검색"/>
    <m/>
    <m/>
    <m/>
    <m/>
    <m/>
    <m/>
    <n v="31530"/>
    <m/>
    <m/>
    <m/>
    <m/>
    <m/>
  </r>
  <r>
    <x v="252"/>
    <s v="일"/>
    <s v="네이버 쇼핑검색"/>
    <m/>
    <m/>
    <m/>
    <m/>
    <m/>
    <m/>
    <n v="31600"/>
    <m/>
    <m/>
    <m/>
    <m/>
    <m/>
  </r>
  <r>
    <x v="253"/>
    <s v="월"/>
    <s v="네이버 쇼핑검색"/>
    <m/>
    <m/>
    <m/>
    <m/>
    <m/>
    <m/>
    <n v="31660"/>
    <m/>
    <m/>
    <m/>
    <m/>
    <m/>
  </r>
  <r>
    <x v="254"/>
    <s v="화"/>
    <s v="네이버 쇼핑검색"/>
    <m/>
    <m/>
    <m/>
    <m/>
    <m/>
    <m/>
    <n v="31860"/>
    <m/>
    <m/>
    <m/>
    <m/>
    <m/>
  </r>
  <r>
    <x v="255"/>
    <s v="수"/>
    <s v="네이버 쇼핑검색"/>
    <m/>
    <m/>
    <m/>
    <m/>
    <m/>
    <m/>
    <n v="31930"/>
    <m/>
    <m/>
    <m/>
    <m/>
    <m/>
  </r>
  <r>
    <x v="256"/>
    <s v="목"/>
    <s v="네이버 쇼핑검색"/>
    <m/>
    <m/>
    <m/>
    <m/>
    <m/>
    <m/>
    <n v="32080"/>
    <m/>
    <m/>
    <m/>
    <m/>
    <m/>
  </r>
  <r>
    <x v="257"/>
    <s v="금"/>
    <s v="네이버 쇼핑검색"/>
    <m/>
    <m/>
    <m/>
    <m/>
    <m/>
    <m/>
    <n v="31930"/>
    <m/>
    <m/>
    <m/>
    <m/>
    <m/>
  </r>
  <r>
    <x v="258"/>
    <s v="토"/>
    <s v="네이버 쇼핑검색"/>
    <m/>
    <m/>
    <m/>
    <m/>
    <m/>
    <m/>
    <n v="32210"/>
    <m/>
    <m/>
    <m/>
    <m/>
    <m/>
  </r>
  <r>
    <x v="259"/>
    <s v="일"/>
    <s v="네이버 쇼핑검색"/>
    <m/>
    <m/>
    <m/>
    <m/>
    <m/>
    <m/>
    <n v="32780"/>
    <m/>
    <m/>
    <m/>
    <m/>
    <m/>
  </r>
  <r>
    <x v="260"/>
    <s v="월"/>
    <s v="네이버 쇼핑검색"/>
    <m/>
    <m/>
    <m/>
    <m/>
    <m/>
    <m/>
    <n v="31650"/>
    <m/>
    <m/>
    <m/>
    <m/>
    <m/>
  </r>
  <r>
    <x v="261"/>
    <s v="화"/>
    <s v="네이버 쇼핑검색"/>
    <m/>
    <m/>
    <m/>
    <m/>
    <m/>
    <m/>
    <n v="31580"/>
    <m/>
    <m/>
    <m/>
    <m/>
    <m/>
  </r>
  <r>
    <x v="58"/>
    <s v="화"/>
    <s v="네이버 파워링크"/>
    <m/>
    <m/>
    <m/>
    <m/>
    <m/>
    <m/>
    <n v="140"/>
    <m/>
    <m/>
    <m/>
    <m/>
    <m/>
  </r>
  <r>
    <x v="59"/>
    <s v="수"/>
    <s v="네이버 파워링크"/>
    <m/>
    <m/>
    <m/>
    <m/>
    <m/>
    <m/>
    <n v="70"/>
    <m/>
    <m/>
    <m/>
    <m/>
    <m/>
  </r>
  <r>
    <x v="60"/>
    <s v="목"/>
    <s v="네이버 파워링크"/>
    <m/>
    <m/>
    <m/>
    <m/>
    <m/>
    <m/>
    <n v="140"/>
    <m/>
    <m/>
    <m/>
    <m/>
    <m/>
  </r>
  <r>
    <x v="61"/>
    <s v="금"/>
    <s v="네이버 파워링크"/>
    <m/>
    <m/>
    <m/>
    <m/>
    <m/>
    <m/>
    <n v="140"/>
    <m/>
    <m/>
    <m/>
    <m/>
    <m/>
  </r>
  <r>
    <x v="62"/>
    <s v="토"/>
    <s v="네이버 파워링크"/>
    <m/>
    <m/>
    <m/>
    <m/>
    <m/>
    <m/>
    <n v="0"/>
    <m/>
    <m/>
    <m/>
    <m/>
    <m/>
  </r>
  <r>
    <x v="63"/>
    <s v="일"/>
    <s v="네이버 파워링크"/>
    <m/>
    <m/>
    <m/>
    <m/>
    <m/>
    <m/>
    <n v="70"/>
    <m/>
    <m/>
    <m/>
    <m/>
    <m/>
  </r>
  <r>
    <x v="64"/>
    <s v="월"/>
    <s v="네이버 파워링크"/>
    <m/>
    <m/>
    <m/>
    <m/>
    <m/>
    <m/>
    <n v="70"/>
    <m/>
    <m/>
    <m/>
    <m/>
    <m/>
  </r>
  <r>
    <x v="65"/>
    <s v="화"/>
    <s v="네이버 파워링크"/>
    <m/>
    <m/>
    <m/>
    <m/>
    <m/>
    <m/>
    <n v="70"/>
    <m/>
    <m/>
    <m/>
    <m/>
    <m/>
  </r>
  <r>
    <x v="66"/>
    <s v="수"/>
    <s v="네이버 파워링크"/>
    <m/>
    <m/>
    <m/>
    <m/>
    <m/>
    <m/>
    <n v="0"/>
    <m/>
    <m/>
    <m/>
    <m/>
    <m/>
  </r>
  <r>
    <x v="67"/>
    <s v="목"/>
    <s v="네이버 파워링크"/>
    <m/>
    <m/>
    <m/>
    <m/>
    <m/>
    <m/>
    <n v="140"/>
    <m/>
    <m/>
    <m/>
    <m/>
    <m/>
  </r>
  <r>
    <x v="68"/>
    <s v="금"/>
    <s v="네이버 파워링크"/>
    <m/>
    <m/>
    <m/>
    <m/>
    <m/>
    <m/>
    <n v="0"/>
    <m/>
    <m/>
    <m/>
    <m/>
    <m/>
  </r>
  <r>
    <x v="69"/>
    <s v="토"/>
    <s v="네이버 파워링크"/>
    <m/>
    <m/>
    <m/>
    <m/>
    <m/>
    <m/>
    <n v="0"/>
    <m/>
    <m/>
    <m/>
    <m/>
    <m/>
  </r>
  <r>
    <x v="70"/>
    <s v="일"/>
    <s v="네이버 파워링크"/>
    <m/>
    <m/>
    <m/>
    <m/>
    <m/>
    <m/>
    <n v="70"/>
    <m/>
    <m/>
    <m/>
    <m/>
    <m/>
  </r>
  <r>
    <x v="71"/>
    <s v="월"/>
    <s v="네이버 파워링크"/>
    <m/>
    <m/>
    <m/>
    <m/>
    <m/>
    <m/>
    <n v="70"/>
    <m/>
    <m/>
    <m/>
    <m/>
    <m/>
  </r>
  <r>
    <x v="72"/>
    <s v="화"/>
    <s v="네이버 파워링크"/>
    <m/>
    <m/>
    <m/>
    <m/>
    <m/>
    <m/>
    <n v="0"/>
    <m/>
    <m/>
    <m/>
    <m/>
    <m/>
  </r>
  <r>
    <x v="73"/>
    <s v="수"/>
    <s v="네이버 파워링크"/>
    <m/>
    <m/>
    <m/>
    <m/>
    <m/>
    <m/>
    <n v="70"/>
    <m/>
    <m/>
    <m/>
    <m/>
    <m/>
  </r>
  <r>
    <x v="74"/>
    <s v="목"/>
    <s v="네이버 파워링크"/>
    <m/>
    <m/>
    <m/>
    <m/>
    <m/>
    <m/>
    <n v="70"/>
    <m/>
    <m/>
    <m/>
    <m/>
    <m/>
  </r>
  <r>
    <x v="75"/>
    <s v="금"/>
    <s v="네이버 파워링크"/>
    <m/>
    <m/>
    <m/>
    <m/>
    <m/>
    <m/>
    <n v="70"/>
    <m/>
    <m/>
    <m/>
    <m/>
    <m/>
  </r>
  <r>
    <x v="76"/>
    <s v="토"/>
    <s v="네이버 파워링크"/>
    <m/>
    <m/>
    <m/>
    <m/>
    <m/>
    <m/>
    <n v="0"/>
    <m/>
    <m/>
    <m/>
    <m/>
    <m/>
  </r>
  <r>
    <x v="77"/>
    <s v="일"/>
    <s v="네이버 파워링크"/>
    <m/>
    <m/>
    <m/>
    <m/>
    <m/>
    <m/>
    <n v="140"/>
    <m/>
    <m/>
    <m/>
    <m/>
    <m/>
  </r>
  <r>
    <x v="78"/>
    <s v="월"/>
    <s v="네이버 파워링크"/>
    <m/>
    <m/>
    <m/>
    <m/>
    <m/>
    <m/>
    <n v="0"/>
    <m/>
    <m/>
    <m/>
    <m/>
    <m/>
  </r>
  <r>
    <x v="79"/>
    <s v="화"/>
    <s v="네이버 파워링크"/>
    <m/>
    <m/>
    <m/>
    <m/>
    <m/>
    <m/>
    <n v="210"/>
    <m/>
    <m/>
    <m/>
    <m/>
    <m/>
  </r>
  <r>
    <x v="80"/>
    <s v="수"/>
    <s v="네이버 파워링크"/>
    <m/>
    <m/>
    <m/>
    <m/>
    <m/>
    <m/>
    <n v="0"/>
    <m/>
    <m/>
    <m/>
    <m/>
    <m/>
  </r>
  <r>
    <x v="81"/>
    <s v="목"/>
    <s v="네이버 파워링크"/>
    <m/>
    <m/>
    <m/>
    <m/>
    <m/>
    <m/>
    <n v="0"/>
    <m/>
    <m/>
    <m/>
    <m/>
    <m/>
  </r>
  <r>
    <x v="82"/>
    <s v="금"/>
    <s v="네이버 파워링크"/>
    <m/>
    <m/>
    <m/>
    <m/>
    <m/>
    <m/>
    <n v="140"/>
    <m/>
    <m/>
    <m/>
    <m/>
    <m/>
  </r>
  <r>
    <x v="83"/>
    <s v="토"/>
    <s v="네이버 파워링크"/>
    <m/>
    <m/>
    <m/>
    <m/>
    <m/>
    <m/>
    <n v="0"/>
    <m/>
    <m/>
    <m/>
    <m/>
    <m/>
  </r>
  <r>
    <x v="84"/>
    <s v="일"/>
    <s v="네이버 파워링크"/>
    <m/>
    <m/>
    <m/>
    <m/>
    <m/>
    <m/>
    <n v="0"/>
    <m/>
    <m/>
    <m/>
    <m/>
    <m/>
  </r>
  <r>
    <x v="85"/>
    <s v="월"/>
    <s v="네이버 파워링크"/>
    <m/>
    <m/>
    <m/>
    <m/>
    <m/>
    <m/>
    <n v="0"/>
    <m/>
    <m/>
    <m/>
    <m/>
    <m/>
  </r>
  <r>
    <x v="86"/>
    <s v="화"/>
    <s v="네이버 파워링크"/>
    <m/>
    <m/>
    <m/>
    <m/>
    <m/>
    <m/>
    <n v="210"/>
    <m/>
    <m/>
    <m/>
    <m/>
    <m/>
  </r>
  <r>
    <x v="87"/>
    <s v="수"/>
    <s v="네이버 파워링크"/>
    <m/>
    <m/>
    <m/>
    <m/>
    <m/>
    <m/>
    <n v="70"/>
    <m/>
    <m/>
    <m/>
    <m/>
    <m/>
  </r>
  <r>
    <x v="88"/>
    <s v="목"/>
    <s v="네이버 파워링크"/>
    <m/>
    <m/>
    <m/>
    <m/>
    <m/>
    <m/>
    <n v="70"/>
    <m/>
    <m/>
    <m/>
    <m/>
    <m/>
  </r>
  <r>
    <x v="89"/>
    <s v="금"/>
    <s v="네이버 파워링크"/>
    <m/>
    <m/>
    <m/>
    <m/>
    <m/>
    <m/>
    <n v="0"/>
    <m/>
    <m/>
    <m/>
    <m/>
    <m/>
  </r>
  <r>
    <x v="90"/>
    <s v="토"/>
    <s v="네이버 파워링크"/>
    <m/>
    <m/>
    <m/>
    <m/>
    <m/>
    <m/>
    <n v="70"/>
    <m/>
    <m/>
    <m/>
    <m/>
    <m/>
  </r>
  <r>
    <x v="91"/>
    <s v="일"/>
    <s v="네이버 파워링크"/>
    <m/>
    <m/>
    <m/>
    <m/>
    <m/>
    <m/>
    <n v="0"/>
    <m/>
    <m/>
    <m/>
    <m/>
    <m/>
  </r>
  <r>
    <x v="92"/>
    <s v="월"/>
    <s v="네이버 파워링크"/>
    <m/>
    <m/>
    <m/>
    <m/>
    <m/>
    <m/>
    <n v="70"/>
    <m/>
    <m/>
    <m/>
    <m/>
    <m/>
  </r>
  <r>
    <x v="93"/>
    <s v="화"/>
    <s v="네이버 파워링크"/>
    <m/>
    <m/>
    <m/>
    <m/>
    <m/>
    <m/>
    <n v="0"/>
    <m/>
    <m/>
    <m/>
    <m/>
    <m/>
  </r>
  <r>
    <x v="94"/>
    <s v="수"/>
    <s v="네이버 파워링크"/>
    <m/>
    <m/>
    <m/>
    <m/>
    <m/>
    <m/>
    <n v="0"/>
    <m/>
    <m/>
    <m/>
    <m/>
    <m/>
  </r>
  <r>
    <x v="95"/>
    <s v="목"/>
    <s v="네이버 파워링크"/>
    <m/>
    <m/>
    <m/>
    <m/>
    <m/>
    <m/>
    <n v="0"/>
    <m/>
    <m/>
    <m/>
    <m/>
    <m/>
  </r>
  <r>
    <x v="96"/>
    <s v="금"/>
    <s v="네이버 파워링크"/>
    <m/>
    <m/>
    <m/>
    <m/>
    <m/>
    <m/>
    <n v="210"/>
    <m/>
    <m/>
    <m/>
    <m/>
    <m/>
  </r>
  <r>
    <x v="97"/>
    <s v="토"/>
    <s v="네이버 파워링크"/>
    <m/>
    <m/>
    <m/>
    <m/>
    <m/>
    <m/>
    <n v="70"/>
    <m/>
    <m/>
    <m/>
    <m/>
    <m/>
  </r>
  <r>
    <x v="98"/>
    <s v="일"/>
    <s v="네이버 파워링크"/>
    <m/>
    <m/>
    <m/>
    <m/>
    <m/>
    <m/>
    <n v="70"/>
    <m/>
    <m/>
    <m/>
    <m/>
    <m/>
  </r>
  <r>
    <x v="99"/>
    <s v="월"/>
    <s v="네이버 파워링크"/>
    <m/>
    <m/>
    <m/>
    <m/>
    <m/>
    <m/>
    <n v="0"/>
    <m/>
    <m/>
    <m/>
    <m/>
    <m/>
  </r>
  <r>
    <x v="100"/>
    <s v="화"/>
    <s v="네이버 파워링크"/>
    <m/>
    <m/>
    <m/>
    <m/>
    <m/>
    <m/>
    <n v="210"/>
    <m/>
    <m/>
    <m/>
    <m/>
    <m/>
  </r>
  <r>
    <x v="101"/>
    <s v="수"/>
    <s v="네이버 파워링크"/>
    <m/>
    <m/>
    <m/>
    <m/>
    <m/>
    <m/>
    <n v="70"/>
    <m/>
    <m/>
    <m/>
    <m/>
    <m/>
  </r>
  <r>
    <x v="102"/>
    <s v="목"/>
    <s v="네이버 파워링크"/>
    <m/>
    <m/>
    <m/>
    <m/>
    <m/>
    <m/>
    <n v="70"/>
    <m/>
    <m/>
    <m/>
    <m/>
    <m/>
  </r>
  <r>
    <x v="103"/>
    <s v="금"/>
    <s v="네이버 파워링크"/>
    <m/>
    <m/>
    <m/>
    <m/>
    <m/>
    <m/>
    <n v="0"/>
    <m/>
    <m/>
    <m/>
    <m/>
    <m/>
  </r>
  <r>
    <x v="104"/>
    <s v="토"/>
    <s v="네이버 파워링크"/>
    <m/>
    <m/>
    <m/>
    <m/>
    <m/>
    <m/>
    <n v="140"/>
    <m/>
    <m/>
    <m/>
    <m/>
    <m/>
  </r>
  <r>
    <x v="105"/>
    <s v="일"/>
    <s v="네이버 파워링크"/>
    <m/>
    <m/>
    <m/>
    <m/>
    <m/>
    <m/>
    <n v="70"/>
    <m/>
    <m/>
    <m/>
    <m/>
    <m/>
  </r>
  <r>
    <x v="106"/>
    <s v="월"/>
    <s v="네이버 파워링크"/>
    <m/>
    <m/>
    <m/>
    <m/>
    <m/>
    <m/>
    <n v="0"/>
    <m/>
    <m/>
    <m/>
    <m/>
    <m/>
  </r>
  <r>
    <x v="107"/>
    <s v="화"/>
    <s v="네이버 파워링크"/>
    <m/>
    <m/>
    <m/>
    <m/>
    <m/>
    <m/>
    <n v="0"/>
    <m/>
    <m/>
    <m/>
    <m/>
    <m/>
  </r>
  <r>
    <x v="108"/>
    <s v="수"/>
    <s v="네이버 파워링크"/>
    <m/>
    <m/>
    <m/>
    <m/>
    <m/>
    <m/>
    <n v="70"/>
    <m/>
    <m/>
    <m/>
    <m/>
    <m/>
  </r>
  <r>
    <x v="109"/>
    <s v="목"/>
    <s v="네이버 파워링크"/>
    <m/>
    <m/>
    <m/>
    <m/>
    <m/>
    <m/>
    <n v="70"/>
    <m/>
    <m/>
    <m/>
    <m/>
    <m/>
  </r>
  <r>
    <x v="110"/>
    <s v="금"/>
    <s v="네이버 파워링크"/>
    <m/>
    <m/>
    <m/>
    <m/>
    <m/>
    <m/>
    <n v="0"/>
    <m/>
    <m/>
    <m/>
    <m/>
    <m/>
  </r>
  <r>
    <x v="111"/>
    <s v="토"/>
    <s v="네이버 파워링크"/>
    <m/>
    <m/>
    <m/>
    <m/>
    <m/>
    <m/>
    <n v="140"/>
    <m/>
    <m/>
    <m/>
    <m/>
    <m/>
  </r>
  <r>
    <x v="112"/>
    <s v="일"/>
    <s v="네이버 파워링크"/>
    <m/>
    <m/>
    <m/>
    <m/>
    <m/>
    <m/>
    <n v="140"/>
    <m/>
    <m/>
    <m/>
    <m/>
    <m/>
  </r>
  <r>
    <x v="113"/>
    <s v="월"/>
    <s v="네이버 파워링크"/>
    <m/>
    <m/>
    <m/>
    <m/>
    <m/>
    <m/>
    <n v="0"/>
    <m/>
    <m/>
    <m/>
    <m/>
    <m/>
  </r>
  <r>
    <x v="114"/>
    <s v="화"/>
    <s v="네이버 파워링크"/>
    <m/>
    <m/>
    <m/>
    <m/>
    <m/>
    <m/>
    <n v="70"/>
    <m/>
    <m/>
    <m/>
    <m/>
    <m/>
  </r>
  <r>
    <x v="115"/>
    <s v="수"/>
    <s v="네이버 파워링크"/>
    <m/>
    <m/>
    <m/>
    <m/>
    <m/>
    <m/>
    <n v="0"/>
    <m/>
    <m/>
    <m/>
    <m/>
    <m/>
  </r>
  <r>
    <x v="116"/>
    <s v="목"/>
    <s v="네이버 파워링크"/>
    <m/>
    <m/>
    <m/>
    <m/>
    <m/>
    <m/>
    <n v="70"/>
    <m/>
    <m/>
    <m/>
    <m/>
    <m/>
  </r>
  <r>
    <x v="117"/>
    <s v="금"/>
    <s v="네이버 파워링크"/>
    <m/>
    <m/>
    <m/>
    <m/>
    <m/>
    <m/>
    <n v="70"/>
    <m/>
    <m/>
    <m/>
    <m/>
    <m/>
  </r>
  <r>
    <x v="118"/>
    <s v="토"/>
    <s v="네이버 파워링크"/>
    <m/>
    <m/>
    <m/>
    <m/>
    <m/>
    <m/>
    <n v="140"/>
    <m/>
    <m/>
    <m/>
    <m/>
    <m/>
  </r>
  <r>
    <x v="119"/>
    <s v="일"/>
    <s v="네이버 파워링크"/>
    <m/>
    <m/>
    <m/>
    <m/>
    <m/>
    <m/>
    <n v="70"/>
    <m/>
    <m/>
    <m/>
    <m/>
    <m/>
  </r>
  <r>
    <x v="120"/>
    <s v="월"/>
    <s v="네이버 파워링크"/>
    <m/>
    <m/>
    <m/>
    <m/>
    <m/>
    <m/>
    <n v="70"/>
    <m/>
    <m/>
    <m/>
    <m/>
    <m/>
  </r>
  <r>
    <x v="121"/>
    <s v="화"/>
    <s v="네이버 파워링크"/>
    <m/>
    <m/>
    <m/>
    <m/>
    <m/>
    <m/>
    <n v="70"/>
    <m/>
    <m/>
    <m/>
    <m/>
    <m/>
  </r>
  <r>
    <x v="122"/>
    <s v="수"/>
    <s v="네이버 파워링크"/>
    <m/>
    <m/>
    <m/>
    <m/>
    <m/>
    <m/>
    <n v="140"/>
    <m/>
    <m/>
    <m/>
    <m/>
    <m/>
  </r>
  <r>
    <x v="123"/>
    <s v="목"/>
    <s v="네이버 파워링크"/>
    <m/>
    <m/>
    <m/>
    <m/>
    <m/>
    <m/>
    <n v="0"/>
    <m/>
    <m/>
    <m/>
    <m/>
    <m/>
  </r>
  <r>
    <x v="124"/>
    <s v="금"/>
    <s v="네이버 파워링크"/>
    <m/>
    <m/>
    <m/>
    <m/>
    <m/>
    <m/>
    <n v="0"/>
    <m/>
    <m/>
    <m/>
    <m/>
    <m/>
  </r>
  <r>
    <x v="125"/>
    <s v="토"/>
    <s v="네이버 파워링크"/>
    <m/>
    <m/>
    <m/>
    <m/>
    <m/>
    <m/>
    <n v="70"/>
    <m/>
    <m/>
    <m/>
    <m/>
    <m/>
  </r>
  <r>
    <x v="126"/>
    <s v="일"/>
    <s v="네이버 파워링크"/>
    <m/>
    <m/>
    <m/>
    <m/>
    <m/>
    <m/>
    <n v="0"/>
    <m/>
    <m/>
    <m/>
    <m/>
    <m/>
  </r>
  <r>
    <x v="127"/>
    <s v="월"/>
    <s v="네이버 파워링크"/>
    <m/>
    <m/>
    <m/>
    <m/>
    <m/>
    <m/>
    <n v="140"/>
    <m/>
    <m/>
    <m/>
    <m/>
    <m/>
  </r>
  <r>
    <x v="128"/>
    <s v="화"/>
    <s v="네이버 파워링크"/>
    <m/>
    <m/>
    <m/>
    <m/>
    <m/>
    <m/>
    <n v="0"/>
    <m/>
    <m/>
    <m/>
    <m/>
    <m/>
  </r>
  <r>
    <x v="129"/>
    <s v="수"/>
    <s v="네이버 파워링크"/>
    <m/>
    <m/>
    <m/>
    <m/>
    <m/>
    <m/>
    <n v="140"/>
    <m/>
    <m/>
    <m/>
    <m/>
    <m/>
  </r>
  <r>
    <x v="130"/>
    <s v="목"/>
    <s v="네이버 파워링크"/>
    <m/>
    <m/>
    <m/>
    <m/>
    <m/>
    <m/>
    <n v="0"/>
    <m/>
    <m/>
    <m/>
    <m/>
    <m/>
  </r>
  <r>
    <x v="131"/>
    <s v="금"/>
    <s v="네이버 파워링크"/>
    <m/>
    <m/>
    <m/>
    <m/>
    <m/>
    <m/>
    <n v="0"/>
    <m/>
    <m/>
    <m/>
    <m/>
    <m/>
  </r>
  <r>
    <x v="132"/>
    <s v="토"/>
    <s v="네이버 파워링크"/>
    <m/>
    <m/>
    <m/>
    <m/>
    <m/>
    <m/>
    <n v="140"/>
    <m/>
    <m/>
    <m/>
    <m/>
    <m/>
  </r>
  <r>
    <x v="133"/>
    <s v="일"/>
    <s v="네이버 파워링크"/>
    <m/>
    <m/>
    <m/>
    <m/>
    <m/>
    <m/>
    <n v="3690"/>
    <m/>
    <m/>
    <m/>
    <m/>
    <m/>
  </r>
  <r>
    <x v="134"/>
    <s v="월"/>
    <s v="네이버 파워링크"/>
    <m/>
    <m/>
    <m/>
    <m/>
    <m/>
    <m/>
    <n v="13340"/>
    <m/>
    <m/>
    <m/>
    <m/>
    <m/>
  </r>
  <r>
    <x v="135"/>
    <s v="화"/>
    <s v="네이버 파워링크"/>
    <m/>
    <m/>
    <m/>
    <m/>
    <m/>
    <m/>
    <n v="740"/>
    <m/>
    <m/>
    <m/>
    <m/>
    <m/>
  </r>
  <r>
    <x v="136"/>
    <s v="수"/>
    <s v="네이버 파워링크"/>
    <m/>
    <m/>
    <m/>
    <m/>
    <m/>
    <m/>
    <n v="0"/>
    <m/>
    <m/>
    <m/>
    <m/>
    <m/>
  </r>
  <r>
    <x v="137"/>
    <s v="목"/>
    <s v="네이버 파워링크"/>
    <m/>
    <m/>
    <m/>
    <m/>
    <m/>
    <m/>
    <n v="0"/>
    <m/>
    <m/>
    <m/>
    <m/>
    <m/>
  </r>
  <r>
    <x v="138"/>
    <s v="금"/>
    <s v="네이버 파워링크"/>
    <m/>
    <m/>
    <m/>
    <m/>
    <m/>
    <m/>
    <n v="0"/>
    <m/>
    <m/>
    <m/>
    <m/>
    <m/>
  </r>
  <r>
    <x v="139"/>
    <s v="토"/>
    <s v="네이버 파워링크"/>
    <m/>
    <m/>
    <m/>
    <m/>
    <m/>
    <m/>
    <n v="0"/>
    <m/>
    <m/>
    <m/>
    <m/>
    <m/>
  </r>
  <r>
    <x v="140"/>
    <s v="일"/>
    <s v="네이버 파워링크"/>
    <m/>
    <m/>
    <m/>
    <m/>
    <m/>
    <m/>
    <n v="0"/>
    <m/>
    <m/>
    <m/>
    <m/>
    <m/>
  </r>
  <r>
    <x v="141"/>
    <s v="월"/>
    <s v="네이버 파워링크"/>
    <m/>
    <m/>
    <m/>
    <m/>
    <m/>
    <m/>
    <n v="0"/>
    <m/>
    <m/>
    <m/>
    <m/>
    <m/>
  </r>
  <r>
    <x v="142"/>
    <s v="화"/>
    <s v="네이버 파워링크"/>
    <m/>
    <m/>
    <m/>
    <m/>
    <m/>
    <m/>
    <n v="0"/>
    <m/>
    <m/>
    <m/>
    <m/>
    <m/>
  </r>
  <r>
    <x v="143"/>
    <s v="수"/>
    <s v="네이버 파워링크"/>
    <m/>
    <m/>
    <m/>
    <m/>
    <m/>
    <m/>
    <n v="4930"/>
    <m/>
    <m/>
    <m/>
    <m/>
    <m/>
  </r>
  <r>
    <x v="144"/>
    <s v="목"/>
    <s v="네이버 파워링크"/>
    <m/>
    <m/>
    <m/>
    <m/>
    <m/>
    <m/>
    <n v="17470"/>
    <m/>
    <m/>
    <m/>
    <m/>
    <m/>
  </r>
  <r>
    <x v="145"/>
    <s v="금"/>
    <s v="네이버 파워링크"/>
    <m/>
    <m/>
    <m/>
    <m/>
    <m/>
    <m/>
    <n v="11880"/>
    <m/>
    <m/>
    <m/>
    <m/>
    <m/>
  </r>
  <r>
    <x v="146"/>
    <s v="토"/>
    <s v="네이버 파워링크"/>
    <m/>
    <m/>
    <m/>
    <m/>
    <m/>
    <m/>
    <n v="11040"/>
    <m/>
    <m/>
    <m/>
    <m/>
    <m/>
  </r>
  <r>
    <x v="147"/>
    <s v="일"/>
    <s v="네이버 파워링크"/>
    <m/>
    <m/>
    <m/>
    <m/>
    <m/>
    <m/>
    <n v="9410"/>
    <m/>
    <m/>
    <m/>
    <m/>
    <m/>
  </r>
  <r>
    <x v="148"/>
    <s v="월"/>
    <s v="네이버 파워링크"/>
    <m/>
    <m/>
    <m/>
    <m/>
    <m/>
    <m/>
    <n v="16380"/>
    <m/>
    <m/>
    <m/>
    <m/>
    <m/>
  </r>
  <r>
    <x v="149"/>
    <s v="화"/>
    <s v="네이버 파워링크"/>
    <m/>
    <m/>
    <m/>
    <m/>
    <m/>
    <m/>
    <n v="9130"/>
    <m/>
    <m/>
    <m/>
    <m/>
    <m/>
  </r>
  <r>
    <x v="150"/>
    <s v="수"/>
    <s v="네이버 파워링크"/>
    <m/>
    <m/>
    <m/>
    <m/>
    <m/>
    <m/>
    <n v="19310"/>
    <m/>
    <m/>
    <m/>
    <m/>
    <m/>
  </r>
  <r>
    <x v="151"/>
    <s v="목"/>
    <s v="네이버 파워링크"/>
    <m/>
    <m/>
    <m/>
    <m/>
    <m/>
    <m/>
    <n v="38670"/>
    <m/>
    <m/>
    <m/>
    <m/>
    <m/>
  </r>
  <r>
    <x v="152"/>
    <s v="금"/>
    <s v="네이버 파워링크"/>
    <m/>
    <m/>
    <m/>
    <m/>
    <m/>
    <m/>
    <n v="45680"/>
    <m/>
    <m/>
    <m/>
    <m/>
    <m/>
  </r>
  <r>
    <x v="153"/>
    <s v="토"/>
    <s v="네이버 파워링크"/>
    <m/>
    <m/>
    <m/>
    <m/>
    <m/>
    <m/>
    <n v="48380"/>
    <m/>
    <m/>
    <m/>
    <m/>
    <m/>
  </r>
  <r>
    <x v="154"/>
    <s v="일"/>
    <s v="네이버 파워링크"/>
    <m/>
    <m/>
    <m/>
    <m/>
    <m/>
    <m/>
    <n v="61550"/>
    <m/>
    <m/>
    <m/>
    <m/>
    <m/>
  </r>
  <r>
    <x v="155"/>
    <s v="월"/>
    <s v="네이버 파워링크"/>
    <m/>
    <m/>
    <m/>
    <m/>
    <m/>
    <m/>
    <n v="63190"/>
    <m/>
    <m/>
    <m/>
    <m/>
    <m/>
  </r>
  <r>
    <x v="156"/>
    <s v="화"/>
    <s v="네이버 파워링크"/>
    <m/>
    <m/>
    <m/>
    <m/>
    <m/>
    <m/>
    <n v="31360"/>
    <m/>
    <m/>
    <m/>
    <m/>
    <m/>
  </r>
  <r>
    <x v="157"/>
    <s v="수"/>
    <s v="네이버 파워링크"/>
    <m/>
    <m/>
    <m/>
    <m/>
    <m/>
    <m/>
    <n v="5890"/>
    <m/>
    <m/>
    <m/>
    <m/>
    <m/>
  </r>
  <r>
    <x v="158"/>
    <s v="목"/>
    <s v="네이버 파워링크"/>
    <m/>
    <m/>
    <m/>
    <m/>
    <m/>
    <m/>
    <n v="3970"/>
    <m/>
    <m/>
    <m/>
    <m/>
    <m/>
  </r>
  <r>
    <x v="159"/>
    <s v="금"/>
    <s v="네이버 파워링크"/>
    <m/>
    <m/>
    <m/>
    <m/>
    <m/>
    <m/>
    <n v="7439.999999999999"/>
    <m/>
    <m/>
    <m/>
    <m/>
    <m/>
  </r>
  <r>
    <x v="160"/>
    <s v="토"/>
    <s v="네이버 파워링크"/>
    <m/>
    <m/>
    <m/>
    <m/>
    <m/>
    <m/>
    <n v="5320"/>
    <m/>
    <m/>
    <m/>
    <m/>
    <m/>
  </r>
  <r>
    <x v="161"/>
    <s v="일"/>
    <s v="네이버 파워링크"/>
    <m/>
    <m/>
    <m/>
    <m/>
    <m/>
    <m/>
    <n v="8099.999999999999"/>
    <m/>
    <m/>
    <m/>
    <m/>
    <m/>
  </r>
  <r>
    <x v="162"/>
    <s v="월"/>
    <s v="네이버 파워링크"/>
    <m/>
    <m/>
    <m/>
    <m/>
    <m/>
    <m/>
    <n v="9220"/>
    <m/>
    <m/>
    <m/>
    <m/>
    <m/>
  </r>
  <r>
    <x v="163"/>
    <s v="화"/>
    <s v="네이버 파워링크"/>
    <m/>
    <m/>
    <m/>
    <m/>
    <m/>
    <m/>
    <n v="4210"/>
    <m/>
    <m/>
    <m/>
    <m/>
    <m/>
  </r>
  <r>
    <x v="164"/>
    <s v="수"/>
    <s v="네이버 파워링크"/>
    <m/>
    <m/>
    <m/>
    <m/>
    <m/>
    <m/>
    <n v="7099.999999999999"/>
    <m/>
    <m/>
    <m/>
    <m/>
    <m/>
  </r>
  <r>
    <x v="165"/>
    <s v="목"/>
    <s v="네이버 파워링크"/>
    <m/>
    <m/>
    <m/>
    <m/>
    <m/>
    <m/>
    <n v="2250"/>
    <m/>
    <m/>
    <m/>
    <m/>
    <m/>
  </r>
  <r>
    <x v="166"/>
    <s v="금"/>
    <s v="네이버 파워링크"/>
    <m/>
    <m/>
    <m/>
    <m/>
    <m/>
    <m/>
    <n v="9290"/>
    <m/>
    <m/>
    <m/>
    <m/>
    <m/>
  </r>
  <r>
    <x v="167"/>
    <s v="토"/>
    <s v="네이버 파워링크"/>
    <m/>
    <m/>
    <m/>
    <m/>
    <m/>
    <m/>
    <n v="2530"/>
    <m/>
    <m/>
    <m/>
    <m/>
    <m/>
  </r>
  <r>
    <x v="168"/>
    <s v="일"/>
    <s v="네이버 파워링크"/>
    <m/>
    <m/>
    <m/>
    <m/>
    <m/>
    <m/>
    <n v="4080"/>
    <m/>
    <m/>
    <m/>
    <m/>
    <m/>
  </r>
  <r>
    <x v="169"/>
    <s v="월"/>
    <s v="네이버 파워링크"/>
    <m/>
    <m/>
    <m/>
    <m/>
    <m/>
    <m/>
    <n v="4010"/>
    <m/>
    <m/>
    <m/>
    <m/>
    <m/>
  </r>
  <r>
    <x v="170"/>
    <s v="화"/>
    <s v="네이버 파워링크"/>
    <m/>
    <m/>
    <m/>
    <m/>
    <m/>
    <m/>
    <n v="6149.999999999999"/>
    <m/>
    <m/>
    <m/>
    <m/>
    <m/>
  </r>
  <r>
    <x v="171"/>
    <s v="수"/>
    <s v="네이버 파워링크"/>
    <m/>
    <m/>
    <m/>
    <m/>
    <m/>
    <m/>
    <n v="2870"/>
    <m/>
    <m/>
    <m/>
    <m/>
    <m/>
  </r>
  <r>
    <x v="172"/>
    <s v="목"/>
    <s v="네이버 파워링크"/>
    <m/>
    <m/>
    <m/>
    <m/>
    <m/>
    <m/>
    <n v="8260"/>
    <m/>
    <m/>
    <m/>
    <m/>
    <m/>
  </r>
  <r>
    <x v="173"/>
    <s v="금"/>
    <s v="네이버 파워링크"/>
    <m/>
    <m/>
    <m/>
    <m/>
    <m/>
    <m/>
    <n v="3080"/>
    <m/>
    <m/>
    <m/>
    <m/>
    <m/>
  </r>
  <r>
    <x v="174"/>
    <s v="토"/>
    <s v="네이버 파워링크"/>
    <m/>
    <m/>
    <m/>
    <m/>
    <m/>
    <m/>
    <n v="4010"/>
    <m/>
    <m/>
    <m/>
    <m/>
    <m/>
  </r>
  <r>
    <x v="175"/>
    <s v="일"/>
    <s v="네이버 파워링크"/>
    <m/>
    <m/>
    <m/>
    <m/>
    <m/>
    <m/>
    <n v="6869.999999999999"/>
    <m/>
    <m/>
    <m/>
    <m/>
    <m/>
  </r>
  <r>
    <x v="176"/>
    <s v="월"/>
    <s v="네이버 파워링크"/>
    <m/>
    <m/>
    <m/>
    <m/>
    <m/>
    <m/>
    <n v="3070"/>
    <m/>
    <m/>
    <m/>
    <m/>
    <m/>
  </r>
  <r>
    <x v="177"/>
    <s v="화"/>
    <s v="네이버 파워링크"/>
    <m/>
    <m/>
    <m/>
    <m/>
    <m/>
    <m/>
    <n v="10730"/>
    <m/>
    <m/>
    <m/>
    <m/>
    <m/>
  </r>
  <r>
    <x v="178"/>
    <s v="수"/>
    <s v="네이버 파워링크"/>
    <m/>
    <m/>
    <m/>
    <m/>
    <m/>
    <m/>
    <n v="4410"/>
    <m/>
    <m/>
    <m/>
    <m/>
    <m/>
  </r>
  <r>
    <x v="179"/>
    <s v="목"/>
    <s v="네이버 파워링크"/>
    <m/>
    <m/>
    <m/>
    <m/>
    <m/>
    <m/>
    <n v="8980"/>
    <m/>
    <m/>
    <m/>
    <m/>
    <m/>
  </r>
  <r>
    <x v="180"/>
    <s v="금"/>
    <s v="네이버 파워링크"/>
    <m/>
    <m/>
    <m/>
    <m/>
    <m/>
    <m/>
    <n v="2350"/>
    <m/>
    <m/>
    <m/>
    <m/>
    <m/>
  </r>
  <r>
    <x v="181"/>
    <s v="토"/>
    <s v="네이버 파워링크"/>
    <m/>
    <m/>
    <m/>
    <m/>
    <m/>
    <m/>
    <n v="6289.999999999999"/>
    <m/>
    <m/>
    <m/>
    <m/>
    <m/>
  </r>
  <r>
    <x v="182"/>
    <s v="일"/>
    <s v="네이버 파워링크"/>
    <m/>
    <m/>
    <m/>
    <m/>
    <m/>
    <m/>
    <n v="7129.999999999999"/>
    <m/>
    <m/>
    <m/>
    <m/>
    <m/>
  </r>
  <r>
    <x v="183"/>
    <s v="월"/>
    <s v="네이버 파워링크"/>
    <m/>
    <m/>
    <m/>
    <m/>
    <m/>
    <m/>
    <n v="11970"/>
    <m/>
    <m/>
    <m/>
    <m/>
    <m/>
  </r>
  <r>
    <x v="184"/>
    <s v="화"/>
    <s v="네이버 파워링크"/>
    <m/>
    <m/>
    <m/>
    <m/>
    <m/>
    <m/>
    <n v="8079.999999999999"/>
    <m/>
    <m/>
    <m/>
    <m/>
    <m/>
  </r>
  <r>
    <x v="185"/>
    <s v="수"/>
    <s v="네이버 파워링크"/>
    <m/>
    <m/>
    <m/>
    <m/>
    <m/>
    <m/>
    <n v="9570"/>
    <m/>
    <m/>
    <m/>
    <m/>
    <m/>
  </r>
  <r>
    <x v="186"/>
    <s v="목"/>
    <s v="네이버 파워링크"/>
    <m/>
    <m/>
    <m/>
    <m/>
    <m/>
    <m/>
    <n v="4420"/>
    <m/>
    <m/>
    <m/>
    <m/>
    <m/>
  </r>
  <r>
    <x v="187"/>
    <s v="금"/>
    <s v="네이버 파워링크"/>
    <m/>
    <m/>
    <m/>
    <m/>
    <m/>
    <m/>
    <n v="5480"/>
    <m/>
    <m/>
    <m/>
    <m/>
    <m/>
  </r>
  <r>
    <x v="188"/>
    <s v="토"/>
    <s v="네이버 파워링크"/>
    <m/>
    <m/>
    <m/>
    <m/>
    <m/>
    <m/>
    <n v="3940"/>
    <m/>
    <m/>
    <m/>
    <m/>
    <m/>
  </r>
  <r>
    <x v="189"/>
    <s v="일"/>
    <s v="네이버 파워링크"/>
    <m/>
    <m/>
    <m/>
    <m/>
    <m/>
    <m/>
    <n v="2320"/>
    <m/>
    <m/>
    <m/>
    <m/>
    <m/>
  </r>
  <r>
    <x v="190"/>
    <s v="월"/>
    <s v="네이버 파워링크"/>
    <m/>
    <m/>
    <m/>
    <m/>
    <m/>
    <m/>
    <n v="8500"/>
    <m/>
    <m/>
    <m/>
    <m/>
    <m/>
  </r>
  <r>
    <x v="191"/>
    <s v="화"/>
    <s v="네이버 파워링크"/>
    <m/>
    <m/>
    <m/>
    <m/>
    <m/>
    <m/>
    <n v="8900"/>
    <m/>
    <m/>
    <m/>
    <m/>
    <m/>
  </r>
  <r>
    <x v="192"/>
    <s v="수"/>
    <s v="네이버 파워링크"/>
    <m/>
    <m/>
    <m/>
    <m/>
    <m/>
    <m/>
    <n v="6989.999999999999"/>
    <m/>
    <m/>
    <m/>
    <m/>
    <m/>
  </r>
  <r>
    <x v="193"/>
    <s v="목"/>
    <s v="네이버 파워링크"/>
    <m/>
    <m/>
    <m/>
    <m/>
    <m/>
    <m/>
    <n v="8630"/>
    <m/>
    <m/>
    <m/>
    <m/>
    <m/>
  </r>
  <r>
    <x v="194"/>
    <s v="금"/>
    <s v="네이버 파워링크"/>
    <m/>
    <m/>
    <m/>
    <m/>
    <m/>
    <m/>
    <n v="7609.999999999999"/>
    <m/>
    <m/>
    <m/>
    <m/>
    <m/>
  </r>
  <r>
    <x v="195"/>
    <s v="토"/>
    <s v="네이버 파워링크"/>
    <m/>
    <m/>
    <m/>
    <m/>
    <m/>
    <m/>
    <n v="13190"/>
    <m/>
    <m/>
    <m/>
    <m/>
    <m/>
  </r>
  <r>
    <x v="196"/>
    <s v="일"/>
    <s v="네이버 파워링크"/>
    <m/>
    <m/>
    <m/>
    <m/>
    <m/>
    <m/>
    <n v="11770"/>
    <m/>
    <m/>
    <m/>
    <m/>
    <m/>
  </r>
  <r>
    <x v="197"/>
    <s v="월"/>
    <s v="네이버 파워링크"/>
    <m/>
    <m/>
    <m/>
    <m/>
    <m/>
    <m/>
    <n v="10740"/>
    <m/>
    <m/>
    <m/>
    <m/>
    <m/>
  </r>
  <r>
    <x v="198"/>
    <s v="화"/>
    <s v="네이버 파워링크"/>
    <m/>
    <m/>
    <m/>
    <m/>
    <m/>
    <m/>
    <n v="10970"/>
    <m/>
    <m/>
    <m/>
    <m/>
    <m/>
  </r>
  <r>
    <x v="199"/>
    <s v="수"/>
    <s v="네이버 파워링크"/>
    <m/>
    <m/>
    <m/>
    <m/>
    <m/>
    <m/>
    <n v="9000"/>
    <m/>
    <m/>
    <m/>
    <m/>
    <m/>
  </r>
  <r>
    <x v="200"/>
    <s v="목"/>
    <s v="네이버 파워링크"/>
    <m/>
    <m/>
    <m/>
    <m/>
    <m/>
    <m/>
    <n v="7279.999999999999"/>
    <m/>
    <m/>
    <m/>
    <m/>
    <m/>
  </r>
  <r>
    <x v="201"/>
    <s v="금"/>
    <s v="네이버 파워링크"/>
    <m/>
    <m/>
    <m/>
    <m/>
    <m/>
    <m/>
    <n v="5669.999999999999"/>
    <m/>
    <m/>
    <m/>
    <m/>
    <m/>
  </r>
  <r>
    <x v="202"/>
    <s v="토"/>
    <s v="네이버 파워링크"/>
    <m/>
    <m/>
    <m/>
    <m/>
    <m/>
    <m/>
    <n v="979.9999999999999"/>
    <m/>
    <m/>
    <m/>
    <m/>
    <m/>
  </r>
  <r>
    <x v="203"/>
    <s v="일"/>
    <s v="네이버 파워링크"/>
    <m/>
    <m/>
    <m/>
    <m/>
    <m/>
    <m/>
    <n v="8690"/>
    <m/>
    <m/>
    <m/>
    <m/>
    <m/>
  </r>
  <r>
    <x v="204"/>
    <s v="월"/>
    <s v="네이버 파워링크"/>
    <m/>
    <m/>
    <m/>
    <m/>
    <m/>
    <m/>
    <n v="9350"/>
    <m/>
    <m/>
    <m/>
    <m/>
    <m/>
  </r>
  <r>
    <x v="205"/>
    <s v="화"/>
    <s v="네이버 파워링크"/>
    <m/>
    <m/>
    <m/>
    <m/>
    <m/>
    <m/>
    <n v="3470"/>
    <m/>
    <m/>
    <m/>
    <m/>
    <m/>
  </r>
  <r>
    <x v="206"/>
    <s v="수"/>
    <s v="네이버 파워링크"/>
    <m/>
    <m/>
    <m/>
    <m/>
    <m/>
    <m/>
    <n v="0"/>
    <m/>
    <m/>
    <m/>
    <m/>
    <m/>
  </r>
  <r>
    <x v="207"/>
    <s v="목"/>
    <s v="네이버 파워링크"/>
    <m/>
    <m/>
    <m/>
    <m/>
    <m/>
    <m/>
    <n v="0"/>
    <m/>
    <m/>
    <m/>
    <m/>
    <m/>
  </r>
  <r>
    <x v="208"/>
    <s v="금"/>
    <s v="네이버 파워링크"/>
    <m/>
    <m/>
    <m/>
    <m/>
    <m/>
    <m/>
    <n v="0"/>
    <m/>
    <m/>
    <m/>
    <m/>
    <m/>
  </r>
  <r>
    <x v="209"/>
    <s v="토"/>
    <s v="네이버 파워링크"/>
    <m/>
    <m/>
    <m/>
    <m/>
    <m/>
    <m/>
    <n v="0"/>
    <m/>
    <m/>
    <m/>
    <m/>
    <m/>
  </r>
  <r>
    <x v="210"/>
    <s v="일"/>
    <s v="네이버 파워링크"/>
    <m/>
    <m/>
    <m/>
    <m/>
    <m/>
    <m/>
    <n v="0"/>
    <m/>
    <m/>
    <m/>
    <m/>
    <m/>
  </r>
  <r>
    <x v="211"/>
    <s v="월"/>
    <s v="네이버 파워링크"/>
    <m/>
    <m/>
    <m/>
    <m/>
    <m/>
    <m/>
    <n v="27420"/>
    <m/>
    <m/>
    <m/>
    <m/>
    <m/>
  </r>
  <r>
    <x v="212"/>
    <s v="화"/>
    <s v="네이버 파워링크"/>
    <m/>
    <m/>
    <m/>
    <m/>
    <m/>
    <m/>
    <n v="39310"/>
    <m/>
    <m/>
    <m/>
    <m/>
    <m/>
  </r>
  <r>
    <x v="213"/>
    <s v="수"/>
    <s v="네이버 파워링크"/>
    <m/>
    <m/>
    <m/>
    <m/>
    <m/>
    <m/>
    <n v="33100"/>
    <m/>
    <m/>
    <m/>
    <m/>
    <m/>
  </r>
  <r>
    <x v="214"/>
    <s v="목"/>
    <s v="네이버 파워링크"/>
    <m/>
    <m/>
    <m/>
    <m/>
    <m/>
    <m/>
    <n v="33280"/>
    <m/>
    <m/>
    <m/>
    <m/>
    <m/>
  </r>
  <r>
    <x v="215"/>
    <s v="금"/>
    <s v="네이버 파워링크"/>
    <m/>
    <m/>
    <m/>
    <m/>
    <m/>
    <m/>
    <n v="46069.99999999999"/>
    <m/>
    <m/>
    <m/>
    <m/>
    <m/>
  </r>
  <r>
    <x v="216"/>
    <s v="토"/>
    <s v="네이버 파워링크"/>
    <m/>
    <m/>
    <m/>
    <m/>
    <m/>
    <m/>
    <n v="59419.99999999999"/>
    <m/>
    <m/>
    <m/>
    <m/>
    <m/>
  </r>
  <r>
    <x v="217"/>
    <s v="일"/>
    <s v="네이버 파워링크"/>
    <m/>
    <m/>
    <m/>
    <m/>
    <m/>
    <m/>
    <n v="65409.99999999999"/>
    <m/>
    <m/>
    <m/>
    <m/>
    <m/>
  </r>
  <r>
    <x v="218"/>
    <s v="월"/>
    <s v="네이버 파워링크"/>
    <m/>
    <m/>
    <m/>
    <m/>
    <m/>
    <m/>
    <n v="36550"/>
    <m/>
    <m/>
    <m/>
    <m/>
    <m/>
  </r>
  <r>
    <x v="219"/>
    <s v="화"/>
    <s v="네이버 파워링크"/>
    <m/>
    <m/>
    <m/>
    <m/>
    <m/>
    <m/>
    <n v="104360"/>
    <m/>
    <m/>
    <m/>
    <m/>
    <m/>
  </r>
  <r>
    <x v="220"/>
    <s v="수"/>
    <s v="네이버 파워링크"/>
    <m/>
    <m/>
    <m/>
    <m/>
    <m/>
    <m/>
    <n v="69570"/>
    <m/>
    <m/>
    <m/>
    <m/>
    <m/>
  </r>
  <r>
    <x v="221"/>
    <s v="목"/>
    <s v="네이버 파워링크"/>
    <m/>
    <m/>
    <m/>
    <m/>
    <m/>
    <m/>
    <n v="82180"/>
    <m/>
    <m/>
    <m/>
    <m/>
    <m/>
  </r>
  <r>
    <x v="222"/>
    <s v="금"/>
    <s v="네이버 파워링크"/>
    <m/>
    <m/>
    <m/>
    <m/>
    <m/>
    <m/>
    <n v="124320"/>
    <m/>
    <m/>
    <m/>
    <m/>
    <m/>
  </r>
  <r>
    <x v="223"/>
    <s v="토"/>
    <s v="네이버 파워링크"/>
    <m/>
    <m/>
    <m/>
    <m/>
    <m/>
    <m/>
    <n v="169150"/>
    <m/>
    <m/>
    <m/>
    <m/>
    <m/>
  </r>
  <r>
    <x v="224"/>
    <s v="일"/>
    <s v="네이버 파워링크"/>
    <m/>
    <m/>
    <m/>
    <m/>
    <m/>
    <m/>
    <n v="176000"/>
    <m/>
    <m/>
    <m/>
    <m/>
    <m/>
  </r>
  <r>
    <x v="225"/>
    <s v="월"/>
    <s v="네이버 파워링크"/>
    <m/>
    <m/>
    <m/>
    <m/>
    <m/>
    <m/>
    <n v="102160"/>
    <m/>
    <m/>
    <m/>
    <m/>
    <m/>
  </r>
  <r>
    <x v="226"/>
    <s v="화"/>
    <s v="네이버 파워링크"/>
    <m/>
    <m/>
    <m/>
    <m/>
    <m/>
    <m/>
    <n v="90070"/>
    <m/>
    <m/>
    <m/>
    <m/>
    <m/>
  </r>
  <r>
    <x v="227"/>
    <s v="수"/>
    <s v="네이버 파워링크"/>
    <m/>
    <m/>
    <m/>
    <m/>
    <m/>
    <m/>
    <n v="141470"/>
    <m/>
    <m/>
    <m/>
    <m/>
    <m/>
  </r>
  <r>
    <x v="228"/>
    <s v="목"/>
    <s v="네이버 파워링크"/>
    <m/>
    <m/>
    <m/>
    <m/>
    <m/>
    <m/>
    <n v="90050"/>
    <m/>
    <m/>
    <m/>
    <m/>
    <m/>
  </r>
  <r>
    <x v="229"/>
    <s v="금"/>
    <s v="네이버 파워링크"/>
    <m/>
    <m/>
    <m/>
    <m/>
    <m/>
    <m/>
    <n v="34830"/>
    <m/>
    <m/>
    <m/>
    <m/>
    <m/>
  </r>
  <r>
    <x v="230"/>
    <s v="토"/>
    <s v="네이버 파워링크"/>
    <m/>
    <m/>
    <m/>
    <m/>
    <m/>
    <m/>
    <n v="7999.999999999999"/>
    <m/>
    <m/>
    <m/>
    <m/>
    <m/>
  </r>
  <r>
    <x v="231"/>
    <s v="일"/>
    <s v="네이버 파워링크"/>
    <m/>
    <m/>
    <m/>
    <m/>
    <m/>
    <m/>
    <n v="11330"/>
    <m/>
    <m/>
    <m/>
    <m/>
    <m/>
  </r>
  <r>
    <x v="232"/>
    <s v="월"/>
    <s v="네이버 파워링크"/>
    <m/>
    <m/>
    <m/>
    <m/>
    <m/>
    <m/>
    <n v="9900"/>
    <m/>
    <m/>
    <m/>
    <m/>
    <m/>
  </r>
  <r>
    <x v="233"/>
    <s v="화"/>
    <s v="네이버 파워링크"/>
    <m/>
    <m/>
    <m/>
    <m/>
    <m/>
    <m/>
    <n v="8350"/>
    <m/>
    <m/>
    <m/>
    <m/>
    <m/>
  </r>
  <r>
    <x v="234"/>
    <s v="수"/>
    <s v="네이버 파워링크"/>
    <m/>
    <m/>
    <m/>
    <m/>
    <m/>
    <m/>
    <n v="8860"/>
    <m/>
    <m/>
    <m/>
    <m/>
    <m/>
  </r>
  <r>
    <x v="235"/>
    <s v="목"/>
    <s v="네이버 파워링크"/>
    <m/>
    <m/>
    <m/>
    <m/>
    <m/>
    <m/>
    <n v="9340"/>
    <m/>
    <m/>
    <m/>
    <m/>
    <m/>
  </r>
  <r>
    <x v="236"/>
    <s v="금"/>
    <s v="네이버 파워링크"/>
    <m/>
    <m/>
    <m/>
    <m/>
    <m/>
    <m/>
    <n v="8069.999999999999"/>
    <m/>
    <m/>
    <m/>
    <m/>
    <m/>
  </r>
  <r>
    <x v="237"/>
    <s v="토"/>
    <s v="네이버 파워링크"/>
    <m/>
    <m/>
    <m/>
    <m/>
    <m/>
    <m/>
    <n v="8189.999999999999"/>
    <m/>
    <m/>
    <m/>
    <m/>
    <m/>
  </r>
  <r>
    <x v="238"/>
    <s v="일"/>
    <s v="네이버 파워링크"/>
    <m/>
    <m/>
    <m/>
    <m/>
    <m/>
    <m/>
    <n v="8360"/>
    <m/>
    <m/>
    <m/>
    <m/>
    <m/>
  </r>
  <r>
    <x v="239"/>
    <s v="월"/>
    <s v="네이버 파워링크"/>
    <m/>
    <m/>
    <m/>
    <m/>
    <m/>
    <m/>
    <n v="9080"/>
    <m/>
    <m/>
    <m/>
    <m/>
    <m/>
  </r>
  <r>
    <x v="240"/>
    <s v="화"/>
    <s v="네이버 파워링크"/>
    <m/>
    <m/>
    <m/>
    <m/>
    <m/>
    <m/>
    <n v="8179.999999999999"/>
    <m/>
    <m/>
    <m/>
    <m/>
    <m/>
  </r>
  <r>
    <x v="241"/>
    <s v="수"/>
    <s v="네이버 파워링크"/>
    <m/>
    <m/>
    <m/>
    <m/>
    <m/>
    <m/>
    <n v="9590"/>
    <m/>
    <m/>
    <m/>
    <m/>
    <m/>
  </r>
  <r>
    <x v="242"/>
    <s v="목"/>
    <s v="네이버 파워링크"/>
    <m/>
    <m/>
    <m/>
    <m/>
    <m/>
    <m/>
    <n v="11470"/>
    <m/>
    <m/>
    <m/>
    <m/>
    <m/>
  </r>
  <r>
    <x v="243"/>
    <s v="금"/>
    <s v="네이버 파워링크"/>
    <m/>
    <m/>
    <m/>
    <m/>
    <m/>
    <m/>
    <n v="8400"/>
    <m/>
    <m/>
    <m/>
    <m/>
    <m/>
  </r>
  <r>
    <x v="244"/>
    <s v="토"/>
    <s v="네이버 파워링크"/>
    <m/>
    <m/>
    <m/>
    <m/>
    <m/>
    <m/>
    <n v="8139.999999999999"/>
    <m/>
    <m/>
    <m/>
    <m/>
    <m/>
  </r>
  <r>
    <x v="245"/>
    <s v="일"/>
    <s v="네이버 파워링크"/>
    <m/>
    <m/>
    <m/>
    <m/>
    <m/>
    <m/>
    <n v="9040"/>
    <m/>
    <m/>
    <m/>
    <m/>
    <m/>
  </r>
  <r>
    <x v="246"/>
    <s v="월"/>
    <s v="네이버 파워링크"/>
    <m/>
    <m/>
    <m/>
    <m/>
    <m/>
    <m/>
    <n v="9880"/>
    <m/>
    <m/>
    <m/>
    <m/>
    <m/>
  </r>
  <r>
    <x v="247"/>
    <s v="화"/>
    <s v="네이버 파워링크"/>
    <m/>
    <m/>
    <m/>
    <m/>
    <m/>
    <m/>
    <n v="9150"/>
    <m/>
    <m/>
    <m/>
    <m/>
    <m/>
  </r>
  <r>
    <x v="248"/>
    <s v="수"/>
    <s v="네이버 파워링크"/>
    <m/>
    <m/>
    <m/>
    <m/>
    <m/>
    <m/>
    <n v="9960"/>
    <m/>
    <m/>
    <m/>
    <m/>
    <m/>
  </r>
  <r>
    <x v="249"/>
    <s v="목"/>
    <s v="네이버 파워링크"/>
    <m/>
    <m/>
    <m/>
    <m/>
    <m/>
    <m/>
    <n v="8420"/>
    <m/>
    <m/>
    <m/>
    <m/>
    <m/>
  </r>
  <r>
    <x v="250"/>
    <s v="금"/>
    <s v="네이버 파워링크"/>
    <m/>
    <m/>
    <m/>
    <m/>
    <m/>
    <m/>
    <n v="8049.999999999999"/>
    <m/>
    <m/>
    <m/>
    <m/>
    <m/>
  </r>
  <r>
    <x v="251"/>
    <s v="토"/>
    <s v="네이버 파워링크"/>
    <m/>
    <m/>
    <m/>
    <m/>
    <m/>
    <m/>
    <n v="8630"/>
    <m/>
    <m/>
    <m/>
    <m/>
    <m/>
  </r>
  <r>
    <x v="252"/>
    <s v="일"/>
    <s v="네이버 파워링크"/>
    <m/>
    <m/>
    <m/>
    <m/>
    <m/>
    <m/>
    <n v="8189.999999999999"/>
    <m/>
    <m/>
    <m/>
    <m/>
    <m/>
  </r>
  <r>
    <x v="253"/>
    <s v="월"/>
    <s v="네이버 파워링크"/>
    <m/>
    <m/>
    <m/>
    <m/>
    <m/>
    <m/>
    <n v="8370"/>
    <m/>
    <m/>
    <m/>
    <m/>
    <m/>
  </r>
  <r>
    <x v="254"/>
    <s v="화"/>
    <s v="네이버 파워링크"/>
    <m/>
    <m/>
    <m/>
    <m/>
    <m/>
    <m/>
    <n v="9940"/>
    <m/>
    <m/>
    <m/>
    <m/>
    <m/>
  </r>
  <r>
    <x v="255"/>
    <s v="수"/>
    <s v="네이버 파워링크"/>
    <m/>
    <m/>
    <m/>
    <m/>
    <m/>
    <m/>
    <n v="8880"/>
    <m/>
    <m/>
    <m/>
    <m/>
    <m/>
  </r>
  <r>
    <x v="256"/>
    <s v="목"/>
    <s v="네이버 파워링크"/>
    <m/>
    <m/>
    <m/>
    <m/>
    <m/>
    <m/>
    <n v="10100"/>
    <m/>
    <m/>
    <m/>
    <m/>
    <m/>
  </r>
  <r>
    <x v="257"/>
    <s v="금"/>
    <s v="네이버 파워링크"/>
    <m/>
    <m/>
    <m/>
    <m/>
    <m/>
    <m/>
    <n v="8640"/>
    <m/>
    <m/>
    <m/>
    <m/>
    <m/>
  </r>
  <r>
    <x v="258"/>
    <s v="토"/>
    <s v="네이버 파워링크"/>
    <m/>
    <m/>
    <m/>
    <m/>
    <m/>
    <m/>
    <n v="8009.999999999999"/>
    <m/>
    <m/>
    <m/>
    <m/>
    <m/>
  </r>
  <r>
    <x v="259"/>
    <s v="일"/>
    <s v="네이버 파워링크"/>
    <m/>
    <m/>
    <m/>
    <m/>
    <m/>
    <m/>
    <n v="0"/>
    <m/>
    <m/>
    <m/>
    <m/>
    <m/>
  </r>
  <r>
    <x v="260"/>
    <s v="월"/>
    <s v="네이버 파워링크"/>
    <m/>
    <m/>
    <m/>
    <m/>
    <m/>
    <m/>
    <n v="0"/>
    <m/>
    <m/>
    <m/>
    <m/>
    <m/>
  </r>
  <r>
    <x v="261"/>
    <s v="화"/>
    <s v="네이버 파워링크"/>
    <m/>
    <m/>
    <m/>
    <m/>
    <m/>
    <m/>
    <n v="0"/>
    <m/>
    <m/>
    <m/>
    <m/>
    <m/>
  </r>
  <r>
    <x v="58"/>
    <s v="화"/>
    <s v="네이버 브랜드검색"/>
    <m/>
    <m/>
    <m/>
    <m/>
    <m/>
    <m/>
    <n v="20000"/>
    <m/>
    <m/>
    <m/>
    <m/>
    <m/>
  </r>
  <r>
    <x v="59"/>
    <s v="수"/>
    <s v="네이버 브랜드검색"/>
    <m/>
    <m/>
    <m/>
    <m/>
    <m/>
    <m/>
    <n v="20000"/>
    <m/>
    <m/>
    <m/>
    <m/>
    <m/>
  </r>
  <r>
    <x v="60"/>
    <s v="목"/>
    <s v="네이버 브랜드검색"/>
    <m/>
    <m/>
    <m/>
    <m/>
    <m/>
    <m/>
    <n v="20000"/>
    <m/>
    <m/>
    <m/>
    <m/>
    <m/>
  </r>
  <r>
    <x v="61"/>
    <s v="금"/>
    <s v="네이버 브랜드검색"/>
    <m/>
    <m/>
    <m/>
    <m/>
    <m/>
    <m/>
    <n v="20000"/>
    <m/>
    <m/>
    <m/>
    <m/>
    <m/>
  </r>
  <r>
    <x v="62"/>
    <s v="토"/>
    <s v="네이버 브랜드검색"/>
    <m/>
    <m/>
    <m/>
    <m/>
    <m/>
    <m/>
    <n v="20000"/>
    <m/>
    <m/>
    <m/>
    <m/>
    <m/>
  </r>
  <r>
    <x v="63"/>
    <s v="일"/>
    <s v="네이버 브랜드검색"/>
    <m/>
    <m/>
    <m/>
    <m/>
    <m/>
    <m/>
    <n v="20000"/>
    <m/>
    <m/>
    <m/>
    <m/>
    <m/>
  </r>
  <r>
    <x v="64"/>
    <s v="월"/>
    <s v="네이버 브랜드검색"/>
    <m/>
    <m/>
    <m/>
    <m/>
    <m/>
    <m/>
    <n v="20000"/>
    <m/>
    <m/>
    <m/>
    <m/>
    <m/>
  </r>
  <r>
    <x v="65"/>
    <s v="화"/>
    <s v="네이버 브랜드검색"/>
    <m/>
    <m/>
    <m/>
    <m/>
    <m/>
    <m/>
    <n v="20000"/>
    <m/>
    <m/>
    <m/>
    <m/>
    <m/>
  </r>
  <r>
    <x v="66"/>
    <s v="수"/>
    <s v="네이버 브랜드검색"/>
    <m/>
    <m/>
    <m/>
    <m/>
    <m/>
    <m/>
    <n v="20000"/>
    <m/>
    <m/>
    <m/>
    <m/>
    <m/>
  </r>
  <r>
    <x v="67"/>
    <s v="목"/>
    <s v="네이버 브랜드검색"/>
    <m/>
    <m/>
    <m/>
    <m/>
    <m/>
    <m/>
    <n v="20000"/>
    <m/>
    <m/>
    <m/>
    <m/>
    <m/>
  </r>
  <r>
    <x v="68"/>
    <s v="금"/>
    <s v="네이버 브랜드검색"/>
    <m/>
    <m/>
    <m/>
    <m/>
    <m/>
    <m/>
    <n v="20000"/>
    <m/>
    <m/>
    <m/>
    <m/>
    <m/>
  </r>
  <r>
    <x v="69"/>
    <s v="토"/>
    <s v="네이버 브랜드검색"/>
    <m/>
    <m/>
    <m/>
    <m/>
    <m/>
    <m/>
    <n v="20000"/>
    <m/>
    <m/>
    <m/>
    <m/>
    <m/>
  </r>
  <r>
    <x v="70"/>
    <s v="일"/>
    <s v="네이버 브랜드검색"/>
    <m/>
    <m/>
    <m/>
    <m/>
    <m/>
    <m/>
    <n v="20000"/>
    <m/>
    <m/>
    <m/>
    <m/>
    <m/>
  </r>
  <r>
    <x v="71"/>
    <s v="월"/>
    <s v="네이버 브랜드검색"/>
    <m/>
    <m/>
    <m/>
    <m/>
    <m/>
    <m/>
    <n v="20000"/>
    <m/>
    <m/>
    <m/>
    <m/>
    <m/>
  </r>
  <r>
    <x v="72"/>
    <s v="화"/>
    <s v="네이버 브랜드검색"/>
    <m/>
    <m/>
    <m/>
    <m/>
    <m/>
    <m/>
    <n v="20000"/>
    <m/>
    <m/>
    <m/>
    <m/>
    <m/>
  </r>
  <r>
    <x v="73"/>
    <s v="수"/>
    <s v="네이버 브랜드검색"/>
    <m/>
    <m/>
    <m/>
    <m/>
    <m/>
    <m/>
    <n v="20000"/>
    <m/>
    <m/>
    <m/>
    <m/>
    <m/>
  </r>
  <r>
    <x v="74"/>
    <s v="목"/>
    <s v="네이버 브랜드검색"/>
    <m/>
    <m/>
    <m/>
    <m/>
    <m/>
    <m/>
    <n v="20000"/>
    <m/>
    <m/>
    <m/>
    <m/>
    <m/>
  </r>
  <r>
    <x v="75"/>
    <s v="금"/>
    <s v="네이버 브랜드검색"/>
    <m/>
    <m/>
    <m/>
    <m/>
    <m/>
    <m/>
    <n v="20000"/>
    <m/>
    <m/>
    <m/>
    <m/>
    <m/>
  </r>
  <r>
    <x v="76"/>
    <s v="토"/>
    <s v="네이버 브랜드검색"/>
    <m/>
    <m/>
    <m/>
    <m/>
    <m/>
    <m/>
    <n v="20000"/>
    <m/>
    <m/>
    <m/>
    <m/>
    <m/>
  </r>
  <r>
    <x v="77"/>
    <s v="일"/>
    <s v="네이버 브랜드검색"/>
    <m/>
    <m/>
    <m/>
    <m/>
    <m/>
    <m/>
    <n v="20000"/>
    <m/>
    <m/>
    <m/>
    <m/>
    <m/>
  </r>
  <r>
    <x v="78"/>
    <s v="월"/>
    <s v="네이버 브랜드검색"/>
    <m/>
    <m/>
    <m/>
    <m/>
    <m/>
    <m/>
    <n v="20000"/>
    <m/>
    <m/>
    <m/>
    <m/>
    <m/>
  </r>
  <r>
    <x v="79"/>
    <s v="화"/>
    <s v="네이버 브랜드검색"/>
    <m/>
    <m/>
    <m/>
    <m/>
    <m/>
    <m/>
    <n v="20000"/>
    <m/>
    <m/>
    <m/>
    <m/>
    <m/>
  </r>
  <r>
    <x v="80"/>
    <s v="수"/>
    <s v="네이버 브랜드검색"/>
    <m/>
    <m/>
    <m/>
    <m/>
    <m/>
    <m/>
    <n v="20000"/>
    <m/>
    <m/>
    <m/>
    <m/>
    <m/>
  </r>
  <r>
    <x v="81"/>
    <s v="목"/>
    <s v="네이버 브랜드검색"/>
    <m/>
    <m/>
    <m/>
    <m/>
    <m/>
    <m/>
    <n v="20000"/>
    <m/>
    <m/>
    <m/>
    <m/>
    <m/>
  </r>
  <r>
    <x v="82"/>
    <s v="금"/>
    <s v="네이버 브랜드검색"/>
    <m/>
    <m/>
    <m/>
    <m/>
    <m/>
    <m/>
    <n v="20000"/>
    <m/>
    <m/>
    <m/>
    <m/>
    <m/>
  </r>
  <r>
    <x v="83"/>
    <s v="토"/>
    <s v="네이버 브랜드검색"/>
    <m/>
    <m/>
    <m/>
    <m/>
    <m/>
    <m/>
    <n v="20000"/>
    <m/>
    <m/>
    <m/>
    <m/>
    <m/>
  </r>
  <r>
    <x v="84"/>
    <s v="일"/>
    <s v="네이버 브랜드검색"/>
    <m/>
    <m/>
    <m/>
    <m/>
    <m/>
    <m/>
    <n v="20000"/>
    <m/>
    <m/>
    <m/>
    <m/>
    <m/>
  </r>
  <r>
    <x v="85"/>
    <s v="월"/>
    <s v="네이버 브랜드검색"/>
    <m/>
    <m/>
    <m/>
    <m/>
    <m/>
    <m/>
    <n v="20000"/>
    <m/>
    <m/>
    <m/>
    <m/>
    <m/>
  </r>
  <r>
    <x v="86"/>
    <s v="화"/>
    <s v="네이버 브랜드검색"/>
    <m/>
    <m/>
    <m/>
    <m/>
    <m/>
    <m/>
    <n v="20000"/>
    <m/>
    <m/>
    <m/>
    <m/>
    <m/>
  </r>
  <r>
    <x v="87"/>
    <s v="수"/>
    <s v="네이버 브랜드검색"/>
    <m/>
    <m/>
    <m/>
    <m/>
    <m/>
    <m/>
    <n v="20000"/>
    <m/>
    <m/>
    <m/>
    <m/>
    <m/>
  </r>
  <r>
    <x v="88"/>
    <s v="목"/>
    <s v="네이버 브랜드검색"/>
    <m/>
    <m/>
    <m/>
    <m/>
    <m/>
    <m/>
    <n v="20000"/>
    <m/>
    <m/>
    <m/>
    <m/>
    <m/>
  </r>
  <r>
    <x v="89"/>
    <s v="금"/>
    <s v="네이버 브랜드검색"/>
    <m/>
    <m/>
    <m/>
    <m/>
    <m/>
    <m/>
    <n v="20000"/>
    <m/>
    <m/>
    <m/>
    <m/>
    <m/>
  </r>
  <r>
    <x v="90"/>
    <s v="토"/>
    <s v="네이버 브랜드검색"/>
    <m/>
    <m/>
    <m/>
    <m/>
    <m/>
    <m/>
    <n v="20000"/>
    <m/>
    <m/>
    <m/>
    <m/>
    <m/>
  </r>
  <r>
    <x v="91"/>
    <s v="일"/>
    <s v="네이버 브랜드검색"/>
    <m/>
    <m/>
    <m/>
    <m/>
    <m/>
    <m/>
    <n v="20000"/>
    <m/>
    <m/>
    <m/>
    <m/>
    <m/>
  </r>
  <r>
    <x v="92"/>
    <s v="월"/>
    <s v="네이버 브랜드검색"/>
    <m/>
    <m/>
    <m/>
    <m/>
    <m/>
    <m/>
    <n v="20000"/>
    <m/>
    <m/>
    <m/>
    <m/>
    <m/>
  </r>
  <r>
    <x v="93"/>
    <s v="화"/>
    <s v="네이버 브랜드검색"/>
    <m/>
    <m/>
    <m/>
    <m/>
    <m/>
    <m/>
    <n v="20000"/>
    <m/>
    <m/>
    <m/>
    <m/>
    <m/>
  </r>
  <r>
    <x v="94"/>
    <s v="수"/>
    <s v="네이버 브랜드검색"/>
    <m/>
    <m/>
    <m/>
    <m/>
    <m/>
    <m/>
    <n v="20000"/>
    <m/>
    <m/>
    <m/>
    <m/>
    <m/>
  </r>
  <r>
    <x v="95"/>
    <s v="목"/>
    <s v="네이버 브랜드검색"/>
    <m/>
    <m/>
    <m/>
    <m/>
    <m/>
    <m/>
    <n v="20000"/>
    <m/>
    <m/>
    <m/>
    <m/>
    <m/>
  </r>
  <r>
    <x v="96"/>
    <s v="금"/>
    <s v="네이버 브랜드검색"/>
    <m/>
    <m/>
    <m/>
    <m/>
    <m/>
    <m/>
    <n v="20000"/>
    <m/>
    <m/>
    <m/>
    <m/>
    <m/>
  </r>
  <r>
    <x v="97"/>
    <s v="토"/>
    <s v="네이버 브랜드검색"/>
    <m/>
    <m/>
    <m/>
    <m/>
    <m/>
    <m/>
    <n v="20000"/>
    <m/>
    <m/>
    <m/>
    <m/>
    <m/>
  </r>
  <r>
    <x v="98"/>
    <s v="일"/>
    <s v="네이버 브랜드검색"/>
    <m/>
    <m/>
    <m/>
    <m/>
    <m/>
    <m/>
    <n v="20000"/>
    <m/>
    <m/>
    <m/>
    <m/>
    <m/>
  </r>
  <r>
    <x v="99"/>
    <s v="월"/>
    <s v="네이버 브랜드검색"/>
    <m/>
    <m/>
    <m/>
    <m/>
    <m/>
    <m/>
    <n v="20000"/>
    <m/>
    <m/>
    <m/>
    <m/>
    <m/>
  </r>
  <r>
    <x v="100"/>
    <s v="화"/>
    <s v="네이버 브랜드검색"/>
    <m/>
    <m/>
    <m/>
    <m/>
    <m/>
    <m/>
    <n v="20000"/>
    <m/>
    <m/>
    <m/>
    <m/>
    <m/>
  </r>
  <r>
    <x v="101"/>
    <s v="수"/>
    <s v="네이버 브랜드검색"/>
    <m/>
    <m/>
    <m/>
    <m/>
    <m/>
    <m/>
    <n v="20000"/>
    <m/>
    <m/>
    <m/>
    <m/>
    <m/>
  </r>
  <r>
    <x v="102"/>
    <s v="목"/>
    <s v="네이버 브랜드검색"/>
    <m/>
    <m/>
    <m/>
    <m/>
    <m/>
    <m/>
    <n v="20000"/>
    <m/>
    <m/>
    <m/>
    <m/>
    <m/>
  </r>
  <r>
    <x v="103"/>
    <s v="금"/>
    <s v="네이버 브랜드검색"/>
    <m/>
    <m/>
    <m/>
    <m/>
    <m/>
    <m/>
    <n v="20000"/>
    <m/>
    <m/>
    <m/>
    <m/>
    <m/>
  </r>
  <r>
    <x v="104"/>
    <s v="토"/>
    <s v="네이버 브랜드검색"/>
    <m/>
    <m/>
    <m/>
    <m/>
    <m/>
    <m/>
    <n v="20000"/>
    <m/>
    <m/>
    <m/>
    <m/>
    <m/>
  </r>
  <r>
    <x v="105"/>
    <s v="일"/>
    <s v="네이버 브랜드검색"/>
    <m/>
    <m/>
    <m/>
    <m/>
    <m/>
    <m/>
    <n v="20000"/>
    <m/>
    <m/>
    <m/>
    <m/>
    <m/>
  </r>
  <r>
    <x v="106"/>
    <s v="월"/>
    <s v="네이버 브랜드검색"/>
    <m/>
    <m/>
    <m/>
    <m/>
    <m/>
    <m/>
    <n v="20000"/>
    <m/>
    <m/>
    <m/>
    <m/>
    <m/>
  </r>
  <r>
    <x v="107"/>
    <s v="화"/>
    <s v="네이버 브랜드검색"/>
    <m/>
    <m/>
    <m/>
    <m/>
    <m/>
    <m/>
    <n v="20000"/>
    <m/>
    <m/>
    <m/>
    <m/>
    <m/>
  </r>
  <r>
    <x v="108"/>
    <s v="수"/>
    <s v="네이버 브랜드검색"/>
    <m/>
    <m/>
    <m/>
    <m/>
    <m/>
    <m/>
    <n v="20000"/>
    <m/>
    <m/>
    <m/>
    <m/>
    <m/>
  </r>
  <r>
    <x v="109"/>
    <s v="목"/>
    <s v="네이버 브랜드검색"/>
    <m/>
    <m/>
    <m/>
    <m/>
    <m/>
    <m/>
    <n v="20000"/>
    <m/>
    <m/>
    <m/>
    <m/>
    <m/>
  </r>
  <r>
    <x v="110"/>
    <s v="금"/>
    <s v="네이버 브랜드검색"/>
    <m/>
    <m/>
    <m/>
    <m/>
    <m/>
    <m/>
    <n v="20000"/>
    <m/>
    <m/>
    <m/>
    <m/>
    <m/>
  </r>
  <r>
    <x v="111"/>
    <s v="토"/>
    <s v="네이버 브랜드검색"/>
    <m/>
    <m/>
    <m/>
    <m/>
    <m/>
    <m/>
    <n v="20000"/>
    <m/>
    <m/>
    <m/>
    <m/>
    <m/>
  </r>
  <r>
    <x v="112"/>
    <s v="일"/>
    <s v="네이버 브랜드검색"/>
    <m/>
    <m/>
    <m/>
    <m/>
    <m/>
    <m/>
    <n v="20000"/>
    <m/>
    <m/>
    <m/>
    <m/>
    <m/>
  </r>
  <r>
    <x v="113"/>
    <s v="월"/>
    <s v="네이버 브랜드검색"/>
    <m/>
    <m/>
    <m/>
    <m/>
    <m/>
    <m/>
    <n v="20000"/>
    <m/>
    <m/>
    <m/>
    <m/>
    <m/>
  </r>
  <r>
    <x v="114"/>
    <s v="화"/>
    <s v="네이버 브랜드검색"/>
    <m/>
    <m/>
    <m/>
    <m/>
    <m/>
    <m/>
    <n v="20000"/>
    <m/>
    <m/>
    <m/>
    <m/>
    <m/>
  </r>
  <r>
    <x v="115"/>
    <s v="수"/>
    <s v="네이버 브랜드검색"/>
    <m/>
    <m/>
    <m/>
    <m/>
    <m/>
    <m/>
    <n v="20000"/>
    <m/>
    <m/>
    <m/>
    <m/>
    <m/>
  </r>
  <r>
    <x v="116"/>
    <s v="목"/>
    <s v="네이버 브랜드검색"/>
    <m/>
    <m/>
    <m/>
    <m/>
    <m/>
    <m/>
    <n v="20000"/>
    <m/>
    <m/>
    <m/>
    <m/>
    <m/>
  </r>
  <r>
    <x v="117"/>
    <s v="금"/>
    <s v="네이버 브랜드검색"/>
    <m/>
    <m/>
    <m/>
    <m/>
    <m/>
    <m/>
    <n v="20000"/>
    <m/>
    <m/>
    <m/>
    <m/>
    <m/>
  </r>
  <r>
    <x v="118"/>
    <s v="토"/>
    <s v="네이버 브랜드검색"/>
    <m/>
    <m/>
    <m/>
    <m/>
    <m/>
    <m/>
    <n v="20000"/>
    <m/>
    <m/>
    <m/>
    <m/>
    <m/>
  </r>
  <r>
    <x v="119"/>
    <s v="일"/>
    <s v="네이버 브랜드검색"/>
    <m/>
    <m/>
    <m/>
    <m/>
    <m/>
    <m/>
    <n v="20000"/>
    <m/>
    <m/>
    <m/>
    <m/>
    <m/>
  </r>
  <r>
    <x v="120"/>
    <s v="월"/>
    <s v="네이버 브랜드검색"/>
    <m/>
    <m/>
    <m/>
    <m/>
    <m/>
    <m/>
    <n v="20000"/>
    <m/>
    <m/>
    <m/>
    <m/>
    <m/>
  </r>
  <r>
    <x v="121"/>
    <s v="화"/>
    <s v="네이버 브랜드검색"/>
    <m/>
    <m/>
    <m/>
    <m/>
    <m/>
    <m/>
    <n v="20000"/>
    <m/>
    <m/>
    <m/>
    <m/>
    <m/>
  </r>
  <r>
    <x v="122"/>
    <s v="수"/>
    <s v="네이버 브랜드검색"/>
    <m/>
    <m/>
    <m/>
    <m/>
    <m/>
    <m/>
    <n v="20000"/>
    <m/>
    <m/>
    <m/>
    <m/>
    <m/>
  </r>
  <r>
    <x v="123"/>
    <s v="목"/>
    <s v="네이버 브랜드검색"/>
    <m/>
    <m/>
    <m/>
    <m/>
    <m/>
    <m/>
    <n v="20000"/>
    <m/>
    <m/>
    <m/>
    <m/>
    <m/>
  </r>
  <r>
    <x v="124"/>
    <s v="금"/>
    <s v="네이버 브랜드검색"/>
    <m/>
    <m/>
    <m/>
    <m/>
    <m/>
    <m/>
    <n v="20000"/>
    <m/>
    <m/>
    <m/>
    <m/>
    <m/>
  </r>
  <r>
    <x v="125"/>
    <s v="토"/>
    <s v="네이버 브랜드검색"/>
    <m/>
    <m/>
    <m/>
    <m/>
    <m/>
    <m/>
    <n v="20000"/>
    <m/>
    <m/>
    <m/>
    <m/>
    <m/>
  </r>
  <r>
    <x v="126"/>
    <s v="일"/>
    <s v="네이버 브랜드검색"/>
    <m/>
    <m/>
    <m/>
    <m/>
    <m/>
    <m/>
    <n v="20000"/>
    <m/>
    <m/>
    <m/>
    <m/>
    <m/>
  </r>
  <r>
    <x v="127"/>
    <s v="월"/>
    <s v="네이버 브랜드검색"/>
    <m/>
    <m/>
    <m/>
    <m/>
    <m/>
    <m/>
    <n v="20000"/>
    <m/>
    <m/>
    <m/>
    <m/>
    <m/>
  </r>
  <r>
    <x v="128"/>
    <s v="화"/>
    <s v="네이버 브랜드검색"/>
    <m/>
    <m/>
    <m/>
    <m/>
    <m/>
    <m/>
    <n v="20000"/>
    <m/>
    <m/>
    <m/>
    <m/>
    <m/>
  </r>
  <r>
    <x v="129"/>
    <s v="수"/>
    <s v="네이버 브랜드검색"/>
    <m/>
    <m/>
    <m/>
    <m/>
    <m/>
    <m/>
    <n v="20000"/>
    <m/>
    <m/>
    <m/>
    <m/>
    <m/>
  </r>
  <r>
    <x v="130"/>
    <s v="목"/>
    <s v="네이버 브랜드검색"/>
    <m/>
    <m/>
    <m/>
    <m/>
    <m/>
    <m/>
    <n v="20000"/>
    <m/>
    <m/>
    <m/>
    <m/>
    <m/>
  </r>
  <r>
    <x v="131"/>
    <s v="금"/>
    <s v="네이버 브랜드검색"/>
    <m/>
    <m/>
    <m/>
    <m/>
    <m/>
    <m/>
    <n v="20000"/>
    <m/>
    <m/>
    <m/>
    <m/>
    <m/>
  </r>
  <r>
    <x v="132"/>
    <s v="토"/>
    <s v="네이버 브랜드검색"/>
    <m/>
    <m/>
    <m/>
    <m/>
    <m/>
    <m/>
    <n v="20000"/>
    <m/>
    <m/>
    <m/>
    <m/>
    <m/>
  </r>
  <r>
    <x v="133"/>
    <s v="일"/>
    <s v="네이버 브랜드검색"/>
    <m/>
    <m/>
    <m/>
    <m/>
    <m/>
    <m/>
    <n v="20000"/>
    <m/>
    <m/>
    <m/>
    <m/>
    <m/>
  </r>
  <r>
    <x v="134"/>
    <s v="월"/>
    <s v="네이버 브랜드검색"/>
    <m/>
    <m/>
    <m/>
    <m/>
    <m/>
    <m/>
    <n v="20000"/>
    <m/>
    <m/>
    <m/>
    <m/>
    <m/>
  </r>
  <r>
    <x v="135"/>
    <s v="화"/>
    <s v="네이버 브랜드검색"/>
    <m/>
    <m/>
    <m/>
    <m/>
    <m/>
    <m/>
    <n v="20000"/>
    <m/>
    <m/>
    <m/>
    <m/>
    <m/>
  </r>
  <r>
    <x v="136"/>
    <s v="수"/>
    <s v="네이버 브랜드검색"/>
    <m/>
    <m/>
    <m/>
    <m/>
    <m/>
    <m/>
    <n v="20000"/>
    <m/>
    <m/>
    <m/>
    <m/>
    <m/>
  </r>
  <r>
    <x v="137"/>
    <s v="목"/>
    <s v="네이버 브랜드검색"/>
    <m/>
    <m/>
    <m/>
    <m/>
    <m/>
    <m/>
    <n v="20000"/>
    <m/>
    <m/>
    <m/>
    <m/>
    <m/>
  </r>
  <r>
    <x v="138"/>
    <s v="금"/>
    <s v="네이버 브랜드검색"/>
    <m/>
    <m/>
    <m/>
    <m/>
    <m/>
    <m/>
    <n v="20000"/>
    <m/>
    <m/>
    <m/>
    <m/>
    <m/>
  </r>
  <r>
    <x v="139"/>
    <s v="토"/>
    <s v="네이버 브랜드검색"/>
    <m/>
    <m/>
    <m/>
    <m/>
    <m/>
    <m/>
    <n v="20000"/>
    <m/>
    <m/>
    <m/>
    <m/>
    <m/>
  </r>
  <r>
    <x v="140"/>
    <s v="일"/>
    <s v="네이버 브랜드검색"/>
    <m/>
    <m/>
    <m/>
    <m/>
    <m/>
    <m/>
    <n v="20000"/>
    <m/>
    <m/>
    <m/>
    <m/>
    <m/>
  </r>
  <r>
    <x v="141"/>
    <s v="월"/>
    <s v="네이버 브랜드검색"/>
    <m/>
    <m/>
    <m/>
    <m/>
    <m/>
    <m/>
    <n v="20000"/>
    <m/>
    <m/>
    <m/>
    <m/>
    <m/>
  </r>
  <r>
    <x v="142"/>
    <s v="화"/>
    <s v="네이버 브랜드검색"/>
    <m/>
    <m/>
    <m/>
    <m/>
    <m/>
    <m/>
    <n v="20000"/>
    <m/>
    <m/>
    <m/>
    <m/>
    <m/>
  </r>
  <r>
    <x v="143"/>
    <s v="수"/>
    <s v="네이버 브랜드검색"/>
    <m/>
    <m/>
    <m/>
    <m/>
    <m/>
    <m/>
    <n v="20000"/>
    <m/>
    <m/>
    <m/>
    <m/>
    <m/>
  </r>
  <r>
    <x v="144"/>
    <s v="목"/>
    <s v="네이버 브랜드검색"/>
    <m/>
    <m/>
    <m/>
    <m/>
    <m/>
    <m/>
    <n v="20000"/>
    <m/>
    <m/>
    <m/>
    <m/>
    <m/>
  </r>
  <r>
    <x v="145"/>
    <s v="금"/>
    <s v="네이버 브랜드검색"/>
    <m/>
    <m/>
    <m/>
    <m/>
    <m/>
    <m/>
    <n v="20000"/>
    <m/>
    <m/>
    <m/>
    <m/>
    <m/>
  </r>
  <r>
    <x v="146"/>
    <s v="토"/>
    <s v="네이버 브랜드검색"/>
    <m/>
    <m/>
    <m/>
    <m/>
    <m/>
    <m/>
    <n v="20000"/>
    <m/>
    <m/>
    <m/>
    <m/>
    <m/>
  </r>
  <r>
    <x v="147"/>
    <s v="일"/>
    <s v="네이버 브랜드검색"/>
    <m/>
    <m/>
    <m/>
    <m/>
    <m/>
    <m/>
    <n v="20000"/>
    <m/>
    <m/>
    <m/>
    <m/>
    <m/>
  </r>
  <r>
    <x v="148"/>
    <s v="월"/>
    <s v="네이버 브랜드검색"/>
    <m/>
    <m/>
    <m/>
    <m/>
    <m/>
    <m/>
    <n v="20000"/>
    <m/>
    <m/>
    <m/>
    <m/>
    <m/>
  </r>
  <r>
    <x v="149"/>
    <s v="화"/>
    <s v="네이버 브랜드검색"/>
    <m/>
    <m/>
    <m/>
    <m/>
    <m/>
    <m/>
    <n v="20000"/>
    <m/>
    <m/>
    <m/>
    <m/>
    <m/>
  </r>
  <r>
    <x v="150"/>
    <s v="수"/>
    <s v="네이버 브랜드검색"/>
    <m/>
    <m/>
    <m/>
    <m/>
    <m/>
    <m/>
    <n v="20000"/>
    <m/>
    <m/>
    <m/>
    <m/>
    <m/>
  </r>
  <r>
    <x v="151"/>
    <s v="목"/>
    <s v="네이버 브랜드검색"/>
    <m/>
    <m/>
    <m/>
    <m/>
    <m/>
    <m/>
    <n v="60000"/>
    <m/>
    <m/>
    <m/>
    <m/>
    <m/>
  </r>
  <r>
    <x v="152"/>
    <s v="금"/>
    <s v="네이버 브랜드검색"/>
    <m/>
    <m/>
    <m/>
    <m/>
    <m/>
    <m/>
    <n v="60000"/>
    <m/>
    <m/>
    <m/>
    <m/>
    <m/>
  </r>
  <r>
    <x v="153"/>
    <s v="토"/>
    <s v="네이버 브랜드검색"/>
    <m/>
    <m/>
    <m/>
    <m/>
    <m/>
    <m/>
    <n v="60000"/>
    <m/>
    <m/>
    <m/>
    <m/>
    <m/>
  </r>
  <r>
    <x v="154"/>
    <s v="일"/>
    <s v="네이버 브랜드검색"/>
    <m/>
    <m/>
    <m/>
    <m/>
    <m/>
    <m/>
    <n v="60000"/>
    <m/>
    <m/>
    <m/>
    <m/>
    <m/>
  </r>
  <r>
    <x v="155"/>
    <s v="월"/>
    <s v="네이버 브랜드검색"/>
    <m/>
    <m/>
    <m/>
    <m/>
    <m/>
    <m/>
    <n v="60000"/>
    <m/>
    <m/>
    <m/>
    <m/>
    <m/>
  </r>
  <r>
    <x v="156"/>
    <s v="화"/>
    <s v="네이버 브랜드검색"/>
    <m/>
    <m/>
    <m/>
    <m/>
    <m/>
    <m/>
    <n v="60000"/>
    <m/>
    <m/>
    <m/>
    <m/>
    <m/>
  </r>
  <r>
    <x v="157"/>
    <s v="수"/>
    <s v="네이버 브랜드검색"/>
    <m/>
    <m/>
    <m/>
    <m/>
    <m/>
    <m/>
    <n v="60000"/>
    <m/>
    <m/>
    <m/>
    <m/>
    <m/>
  </r>
  <r>
    <x v="158"/>
    <s v="목"/>
    <s v="네이버 브랜드검색"/>
    <m/>
    <m/>
    <m/>
    <m/>
    <m/>
    <m/>
    <n v="60000"/>
    <m/>
    <m/>
    <m/>
    <m/>
    <m/>
  </r>
  <r>
    <x v="159"/>
    <s v="금"/>
    <s v="네이버 브랜드검색"/>
    <m/>
    <m/>
    <m/>
    <m/>
    <m/>
    <m/>
    <n v="60000"/>
    <m/>
    <m/>
    <m/>
    <m/>
    <m/>
  </r>
  <r>
    <x v="160"/>
    <s v="토"/>
    <s v="네이버 브랜드검색"/>
    <m/>
    <m/>
    <m/>
    <m/>
    <m/>
    <m/>
    <n v="60000"/>
    <m/>
    <m/>
    <m/>
    <m/>
    <m/>
  </r>
  <r>
    <x v="161"/>
    <s v="일"/>
    <s v="네이버 브랜드검색"/>
    <m/>
    <m/>
    <m/>
    <m/>
    <m/>
    <m/>
    <n v="60000"/>
    <m/>
    <m/>
    <m/>
    <m/>
    <m/>
  </r>
  <r>
    <x v="162"/>
    <s v="월"/>
    <s v="네이버 브랜드검색"/>
    <m/>
    <m/>
    <m/>
    <m/>
    <m/>
    <m/>
    <n v="60000"/>
    <m/>
    <m/>
    <m/>
    <m/>
    <m/>
  </r>
  <r>
    <x v="163"/>
    <s v="화"/>
    <s v="네이버 브랜드검색"/>
    <m/>
    <m/>
    <m/>
    <m/>
    <m/>
    <m/>
    <n v="60000"/>
    <m/>
    <m/>
    <m/>
    <m/>
    <m/>
  </r>
  <r>
    <x v="164"/>
    <s v="수"/>
    <s v="네이버 브랜드검색"/>
    <m/>
    <m/>
    <m/>
    <m/>
    <m/>
    <m/>
    <n v="60000"/>
    <m/>
    <m/>
    <m/>
    <m/>
    <m/>
  </r>
  <r>
    <x v="165"/>
    <s v="목"/>
    <s v="네이버 브랜드검색"/>
    <m/>
    <m/>
    <m/>
    <m/>
    <m/>
    <m/>
    <n v="60000"/>
    <m/>
    <m/>
    <m/>
    <m/>
    <m/>
  </r>
  <r>
    <x v="166"/>
    <s v="금"/>
    <s v="네이버 브랜드검색"/>
    <m/>
    <m/>
    <m/>
    <m/>
    <m/>
    <m/>
    <n v="60000"/>
    <m/>
    <m/>
    <m/>
    <m/>
    <m/>
  </r>
  <r>
    <x v="167"/>
    <s v="토"/>
    <s v="네이버 브랜드검색"/>
    <m/>
    <m/>
    <m/>
    <m/>
    <m/>
    <m/>
    <n v="60000"/>
    <m/>
    <m/>
    <m/>
    <m/>
    <m/>
  </r>
  <r>
    <x v="168"/>
    <s v="일"/>
    <s v="네이버 브랜드검색"/>
    <m/>
    <m/>
    <m/>
    <m/>
    <m/>
    <m/>
    <n v="60000"/>
    <m/>
    <m/>
    <m/>
    <m/>
    <m/>
  </r>
  <r>
    <x v="169"/>
    <s v="월"/>
    <s v="네이버 브랜드검색"/>
    <m/>
    <m/>
    <m/>
    <m/>
    <m/>
    <m/>
    <n v="60000"/>
    <m/>
    <m/>
    <m/>
    <m/>
    <m/>
  </r>
  <r>
    <x v="170"/>
    <s v="화"/>
    <s v="네이버 브랜드검색"/>
    <m/>
    <m/>
    <m/>
    <m/>
    <m/>
    <m/>
    <n v="60000"/>
    <m/>
    <m/>
    <m/>
    <m/>
    <m/>
  </r>
  <r>
    <x v="171"/>
    <s v="수"/>
    <s v="네이버 브랜드검색"/>
    <m/>
    <m/>
    <m/>
    <m/>
    <m/>
    <m/>
    <n v="60000"/>
    <m/>
    <m/>
    <m/>
    <m/>
    <m/>
  </r>
  <r>
    <x v="172"/>
    <s v="목"/>
    <s v="네이버 브랜드검색"/>
    <m/>
    <m/>
    <m/>
    <m/>
    <m/>
    <m/>
    <n v="60000"/>
    <m/>
    <m/>
    <m/>
    <m/>
    <m/>
  </r>
  <r>
    <x v="173"/>
    <s v="금"/>
    <s v="네이버 브랜드검색"/>
    <m/>
    <m/>
    <m/>
    <m/>
    <m/>
    <m/>
    <n v="60000"/>
    <m/>
    <m/>
    <m/>
    <m/>
    <m/>
  </r>
  <r>
    <x v="174"/>
    <s v="토"/>
    <s v="네이버 브랜드검색"/>
    <m/>
    <m/>
    <m/>
    <m/>
    <m/>
    <m/>
    <n v="60000"/>
    <m/>
    <m/>
    <m/>
    <m/>
    <m/>
  </r>
  <r>
    <x v="175"/>
    <s v="일"/>
    <s v="네이버 브랜드검색"/>
    <m/>
    <m/>
    <m/>
    <m/>
    <m/>
    <m/>
    <n v="60000"/>
    <m/>
    <m/>
    <m/>
    <m/>
    <m/>
  </r>
  <r>
    <x v="176"/>
    <s v="월"/>
    <s v="네이버 브랜드검색"/>
    <m/>
    <m/>
    <m/>
    <m/>
    <m/>
    <m/>
    <n v="60000"/>
    <m/>
    <m/>
    <m/>
    <m/>
    <m/>
  </r>
  <r>
    <x v="177"/>
    <s v="화"/>
    <s v="네이버 브랜드검색"/>
    <m/>
    <m/>
    <m/>
    <m/>
    <m/>
    <m/>
    <n v="60000"/>
    <m/>
    <m/>
    <m/>
    <m/>
    <m/>
  </r>
  <r>
    <x v="178"/>
    <s v="수"/>
    <s v="네이버 브랜드검색"/>
    <m/>
    <m/>
    <m/>
    <m/>
    <m/>
    <m/>
    <n v="60000"/>
    <m/>
    <m/>
    <m/>
    <m/>
    <m/>
  </r>
  <r>
    <x v="179"/>
    <s v="목"/>
    <s v="네이버 브랜드검색"/>
    <m/>
    <m/>
    <m/>
    <m/>
    <m/>
    <m/>
    <n v="60000"/>
    <m/>
    <m/>
    <m/>
    <m/>
    <m/>
  </r>
  <r>
    <x v="180"/>
    <s v="금"/>
    <s v="네이버 브랜드검색"/>
    <m/>
    <m/>
    <m/>
    <m/>
    <m/>
    <m/>
    <n v="60000"/>
    <m/>
    <m/>
    <m/>
    <m/>
    <m/>
  </r>
  <r>
    <x v="181"/>
    <s v="토"/>
    <s v="네이버 브랜드검색"/>
    <m/>
    <m/>
    <m/>
    <m/>
    <m/>
    <m/>
    <n v="60000"/>
    <m/>
    <m/>
    <m/>
    <m/>
    <m/>
  </r>
  <r>
    <x v="182"/>
    <s v="일"/>
    <s v="네이버 브랜드검색"/>
    <m/>
    <m/>
    <m/>
    <m/>
    <m/>
    <m/>
    <n v="60000"/>
    <m/>
    <m/>
    <m/>
    <m/>
    <m/>
  </r>
  <r>
    <x v="183"/>
    <s v="월"/>
    <s v="네이버 브랜드검색"/>
    <m/>
    <m/>
    <m/>
    <m/>
    <m/>
    <m/>
    <n v="60000"/>
    <m/>
    <m/>
    <m/>
    <m/>
    <m/>
  </r>
  <r>
    <x v="184"/>
    <s v="화"/>
    <s v="네이버 브랜드검색"/>
    <m/>
    <m/>
    <m/>
    <m/>
    <m/>
    <m/>
    <n v="60000"/>
    <m/>
    <m/>
    <m/>
    <m/>
    <m/>
  </r>
  <r>
    <x v="185"/>
    <s v="수"/>
    <s v="네이버 브랜드검색"/>
    <m/>
    <m/>
    <m/>
    <m/>
    <m/>
    <m/>
    <n v="60000"/>
    <m/>
    <m/>
    <m/>
    <m/>
    <m/>
  </r>
  <r>
    <x v="186"/>
    <s v="목"/>
    <s v="네이버 브랜드검색"/>
    <m/>
    <m/>
    <m/>
    <m/>
    <m/>
    <m/>
    <n v="60000"/>
    <m/>
    <m/>
    <m/>
    <m/>
    <m/>
  </r>
  <r>
    <x v="187"/>
    <s v="금"/>
    <s v="네이버 브랜드검색"/>
    <m/>
    <m/>
    <m/>
    <m/>
    <m/>
    <m/>
    <n v="60000"/>
    <m/>
    <m/>
    <m/>
    <m/>
    <m/>
  </r>
  <r>
    <x v="188"/>
    <s v="토"/>
    <s v="네이버 브랜드검색"/>
    <m/>
    <m/>
    <m/>
    <m/>
    <m/>
    <m/>
    <n v="60000"/>
    <m/>
    <m/>
    <m/>
    <m/>
    <m/>
  </r>
  <r>
    <x v="189"/>
    <s v="일"/>
    <s v="네이버 브랜드검색"/>
    <m/>
    <m/>
    <m/>
    <m/>
    <m/>
    <m/>
    <n v="60000"/>
    <m/>
    <m/>
    <m/>
    <m/>
    <m/>
  </r>
  <r>
    <x v="190"/>
    <s v="월"/>
    <s v="네이버 브랜드검색"/>
    <m/>
    <m/>
    <m/>
    <m/>
    <m/>
    <m/>
    <n v="60000"/>
    <m/>
    <m/>
    <m/>
    <m/>
    <m/>
  </r>
  <r>
    <x v="191"/>
    <s v="화"/>
    <s v="네이버 브랜드검색"/>
    <m/>
    <m/>
    <m/>
    <m/>
    <m/>
    <m/>
    <n v="60000"/>
    <m/>
    <m/>
    <m/>
    <m/>
    <m/>
  </r>
  <r>
    <x v="192"/>
    <s v="수"/>
    <s v="네이버 브랜드검색"/>
    <m/>
    <m/>
    <m/>
    <m/>
    <m/>
    <m/>
    <n v="60000"/>
    <m/>
    <m/>
    <m/>
    <m/>
    <m/>
  </r>
  <r>
    <x v="193"/>
    <s v="목"/>
    <s v="네이버 브랜드검색"/>
    <m/>
    <m/>
    <m/>
    <m/>
    <m/>
    <m/>
    <n v="60000"/>
    <m/>
    <m/>
    <m/>
    <m/>
    <m/>
  </r>
  <r>
    <x v="194"/>
    <s v="금"/>
    <s v="네이버 브랜드검색"/>
    <m/>
    <m/>
    <m/>
    <m/>
    <m/>
    <m/>
    <n v="60000"/>
    <m/>
    <m/>
    <m/>
    <m/>
    <m/>
  </r>
  <r>
    <x v="195"/>
    <s v="토"/>
    <s v="네이버 브랜드검색"/>
    <m/>
    <m/>
    <m/>
    <m/>
    <m/>
    <m/>
    <n v="60000"/>
    <m/>
    <m/>
    <m/>
    <m/>
    <m/>
  </r>
  <r>
    <x v="196"/>
    <s v="일"/>
    <s v="네이버 브랜드검색"/>
    <m/>
    <m/>
    <m/>
    <m/>
    <m/>
    <m/>
    <n v="60000"/>
    <m/>
    <m/>
    <m/>
    <m/>
    <m/>
  </r>
  <r>
    <x v="197"/>
    <s v="월"/>
    <s v="네이버 브랜드검색"/>
    <m/>
    <m/>
    <m/>
    <m/>
    <m/>
    <m/>
    <n v="60000"/>
    <m/>
    <m/>
    <m/>
    <m/>
    <m/>
  </r>
  <r>
    <x v="198"/>
    <s v="화"/>
    <s v="네이버 브랜드검색"/>
    <m/>
    <m/>
    <m/>
    <m/>
    <m/>
    <m/>
    <n v="60000"/>
    <m/>
    <m/>
    <m/>
    <m/>
    <m/>
  </r>
  <r>
    <x v="199"/>
    <s v="수"/>
    <s v="네이버 브랜드검색"/>
    <m/>
    <m/>
    <m/>
    <m/>
    <m/>
    <m/>
    <n v="60000"/>
    <m/>
    <m/>
    <m/>
    <m/>
    <m/>
  </r>
  <r>
    <x v="200"/>
    <s v="목"/>
    <s v="네이버 브랜드검색"/>
    <m/>
    <m/>
    <m/>
    <m/>
    <m/>
    <m/>
    <n v="60000"/>
    <m/>
    <m/>
    <m/>
    <m/>
    <m/>
  </r>
  <r>
    <x v="201"/>
    <s v="금"/>
    <s v="네이버 브랜드검색"/>
    <m/>
    <m/>
    <m/>
    <m/>
    <m/>
    <m/>
    <n v="60000"/>
    <m/>
    <m/>
    <m/>
    <m/>
    <m/>
  </r>
  <r>
    <x v="202"/>
    <s v="토"/>
    <s v="네이버 브랜드검색"/>
    <m/>
    <m/>
    <m/>
    <m/>
    <m/>
    <m/>
    <n v="60000"/>
    <m/>
    <m/>
    <m/>
    <m/>
    <m/>
  </r>
  <r>
    <x v="203"/>
    <s v="일"/>
    <s v="네이버 브랜드검색"/>
    <m/>
    <m/>
    <m/>
    <m/>
    <m/>
    <m/>
    <n v="60000"/>
    <m/>
    <m/>
    <m/>
    <m/>
    <m/>
  </r>
  <r>
    <x v="204"/>
    <s v="월"/>
    <s v="네이버 브랜드검색"/>
    <m/>
    <m/>
    <m/>
    <m/>
    <m/>
    <m/>
    <n v="60000"/>
    <m/>
    <m/>
    <m/>
    <m/>
    <m/>
  </r>
  <r>
    <x v="205"/>
    <s v="화"/>
    <s v="네이버 브랜드검색"/>
    <m/>
    <m/>
    <m/>
    <m/>
    <m/>
    <m/>
    <n v="60000"/>
    <m/>
    <m/>
    <m/>
    <m/>
    <m/>
  </r>
  <r>
    <x v="206"/>
    <s v="수"/>
    <s v="네이버 브랜드검색"/>
    <m/>
    <m/>
    <m/>
    <m/>
    <m/>
    <m/>
    <n v="60000"/>
    <m/>
    <m/>
    <m/>
    <m/>
    <m/>
  </r>
  <r>
    <x v="207"/>
    <s v="목"/>
    <s v="네이버 브랜드검색"/>
    <m/>
    <m/>
    <m/>
    <m/>
    <m/>
    <m/>
    <n v="60000"/>
    <m/>
    <m/>
    <m/>
    <m/>
    <m/>
  </r>
  <r>
    <x v="208"/>
    <s v="금"/>
    <s v="네이버 브랜드검색"/>
    <m/>
    <m/>
    <m/>
    <m/>
    <m/>
    <m/>
    <n v="60000"/>
    <m/>
    <m/>
    <m/>
    <m/>
    <m/>
  </r>
  <r>
    <x v="209"/>
    <s v="토"/>
    <s v="네이버 브랜드검색"/>
    <m/>
    <m/>
    <m/>
    <m/>
    <m/>
    <m/>
    <n v="60000"/>
    <m/>
    <m/>
    <m/>
    <m/>
    <m/>
  </r>
  <r>
    <x v="210"/>
    <s v="일"/>
    <s v="네이버 브랜드검색"/>
    <m/>
    <m/>
    <m/>
    <m/>
    <m/>
    <m/>
    <n v="60000"/>
    <m/>
    <m/>
    <m/>
    <m/>
    <m/>
  </r>
  <r>
    <x v="211"/>
    <s v="월"/>
    <s v="네이버 브랜드검색"/>
    <m/>
    <m/>
    <m/>
    <m/>
    <m/>
    <m/>
    <n v="60000"/>
    <m/>
    <m/>
    <m/>
    <m/>
    <m/>
  </r>
  <r>
    <x v="212"/>
    <s v="화"/>
    <s v="네이버 브랜드검색"/>
    <m/>
    <m/>
    <m/>
    <m/>
    <m/>
    <m/>
    <n v="60000"/>
    <m/>
    <m/>
    <m/>
    <m/>
    <m/>
  </r>
  <r>
    <x v="213"/>
    <s v="수"/>
    <s v="네이버 브랜드검색"/>
    <m/>
    <m/>
    <m/>
    <m/>
    <m/>
    <m/>
    <n v="60000"/>
    <m/>
    <m/>
    <m/>
    <m/>
    <m/>
  </r>
  <r>
    <x v="214"/>
    <s v="목"/>
    <s v="네이버 브랜드검색"/>
    <m/>
    <m/>
    <m/>
    <m/>
    <m/>
    <m/>
    <n v="60000"/>
    <m/>
    <m/>
    <m/>
    <m/>
    <m/>
  </r>
  <r>
    <x v="215"/>
    <s v="금"/>
    <s v="네이버 브랜드검색"/>
    <m/>
    <m/>
    <m/>
    <m/>
    <m/>
    <m/>
    <n v="60000"/>
    <m/>
    <m/>
    <m/>
    <m/>
    <m/>
  </r>
  <r>
    <x v="216"/>
    <s v="토"/>
    <s v="네이버 브랜드검색"/>
    <m/>
    <m/>
    <m/>
    <m/>
    <m/>
    <m/>
    <n v="60000"/>
    <m/>
    <m/>
    <m/>
    <m/>
    <m/>
  </r>
  <r>
    <x v="217"/>
    <s v="일"/>
    <s v="네이버 브랜드검색"/>
    <m/>
    <m/>
    <m/>
    <m/>
    <m/>
    <m/>
    <n v="60000"/>
    <m/>
    <m/>
    <m/>
    <m/>
    <m/>
  </r>
  <r>
    <x v="218"/>
    <s v="월"/>
    <s v="네이버 브랜드검색"/>
    <m/>
    <m/>
    <m/>
    <m/>
    <m/>
    <m/>
    <n v="60000"/>
    <m/>
    <m/>
    <m/>
    <m/>
    <m/>
  </r>
  <r>
    <x v="219"/>
    <s v="화"/>
    <s v="네이버 브랜드검색"/>
    <m/>
    <m/>
    <m/>
    <m/>
    <m/>
    <m/>
    <n v="60000"/>
    <m/>
    <m/>
    <m/>
    <m/>
    <m/>
  </r>
  <r>
    <x v="220"/>
    <s v="수"/>
    <s v="네이버 브랜드검색"/>
    <m/>
    <m/>
    <m/>
    <m/>
    <m/>
    <m/>
    <n v="60000"/>
    <m/>
    <m/>
    <m/>
    <m/>
    <m/>
  </r>
  <r>
    <x v="221"/>
    <s v="목"/>
    <s v="네이버 브랜드검색"/>
    <m/>
    <m/>
    <m/>
    <m/>
    <m/>
    <m/>
    <n v="60000"/>
    <m/>
    <m/>
    <m/>
    <m/>
    <m/>
  </r>
  <r>
    <x v="222"/>
    <s v="금"/>
    <s v="네이버 브랜드검색"/>
    <m/>
    <m/>
    <m/>
    <m/>
    <m/>
    <m/>
    <n v="60000"/>
    <m/>
    <m/>
    <m/>
    <m/>
    <m/>
  </r>
  <r>
    <x v="223"/>
    <s v="토"/>
    <s v="네이버 브랜드검색"/>
    <m/>
    <m/>
    <m/>
    <m/>
    <m/>
    <m/>
    <n v="60000"/>
    <m/>
    <m/>
    <m/>
    <m/>
    <m/>
  </r>
  <r>
    <x v="224"/>
    <s v="일"/>
    <s v="네이버 브랜드검색"/>
    <m/>
    <m/>
    <m/>
    <m/>
    <m/>
    <m/>
    <n v="60000"/>
    <m/>
    <m/>
    <m/>
    <m/>
    <m/>
  </r>
  <r>
    <x v="225"/>
    <s v="월"/>
    <s v="네이버 브랜드검색"/>
    <m/>
    <m/>
    <m/>
    <m/>
    <m/>
    <m/>
    <n v="60000"/>
    <m/>
    <m/>
    <m/>
    <m/>
    <m/>
  </r>
  <r>
    <x v="226"/>
    <s v="화"/>
    <s v="네이버 브랜드검색"/>
    <m/>
    <m/>
    <m/>
    <m/>
    <m/>
    <m/>
    <n v="60000"/>
    <m/>
    <m/>
    <m/>
    <m/>
    <m/>
  </r>
  <r>
    <x v="227"/>
    <s v="수"/>
    <s v="네이버 브랜드검색"/>
    <m/>
    <m/>
    <m/>
    <m/>
    <m/>
    <m/>
    <n v="60000"/>
    <m/>
    <m/>
    <m/>
    <m/>
    <m/>
  </r>
  <r>
    <x v="228"/>
    <s v="목"/>
    <s v="네이버 브랜드검색"/>
    <m/>
    <m/>
    <m/>
    <m/>
    <m/>
    <m/>
    <n v="60000"/>
    <m/>
    <m/>
    <m/>
    <m/>
    <m/>
  </r>
  <r>
    <x v="229"/>
    <s v="금"/>
    <s v="네이버 브랜드검색"/>
    <m/>
    <m/>
    <m/>
    <m/>
    <m/>
    <m/>
    <n v="60000"/>
    <m/>
    <m/>
    <m/>
    <m/>
    <m/>
  </r>
  <r>
    <x v="230"/>
    <s v="토"/>
    <s v="네이버 브랜드검색"/>
    <m/>
    <m/>
    <m/>
    <m/>
    <m/>
    <m/>
    <n v="60000"/>
    <m/>
    <m/>
    <m/>
    <m/>
    <m/>
  </r>
  <r>
    <x v="231"/>
    <s v="일"/>
    <s v="네이버 브랜드검색"/>
    <m/>
    <m/>
    <m/>
    <m/>
    <m/>
    <m/>
    <n v="60000"/>
    <m/>
    <m/>
    <m/>
    <m/>
    <m/>
  </r>
  <r>
    <x v="232"/>
    <s v="월"/>
    <s v="네이버 브랜드검색"/>
    <m/>
    <m/>
    <m/>
    <m/>
    <m/>
    <m/>
    <n v="60000"/>
    <m/>
    <m/>
    <m/>
    <m/>
    <m/>
  </r>
  <r>
    <x v="233"/>
    <s v="화"/>
    <s v="네이버 브랜드검색"/>
    <m/>
    <m/>
    <m/>
    <m/>
    <m/>
    <m/>
    <n v="60000"/>
    <m/>
    <m/>
    <m/>
    <m/>
    <m/>
  </r>
  <r>
    <x v="234"/>
    <s v="수"/>
    <s v="네이버 브랜드검색"/>
    <m/>
    <m/>
    <m/>
    <m/>
    <m/>
    <m/>
    <n v="60000"/>
    <m/>
    <m/>
    <m/>
    <m/>
    <m/>
  </r>
  <r>
    <x v="235"/>
    <s v="목"/>
    <s v="네이버 브랜드검색"/>
    <m/>
    <m/>
    <m/>
    <m/>
    <m/>
    <m/>
    <n v="60000"/>
    <m/>
    <m/>
    <m/>
    <m/>
    <m/>
  </r>
  <r>
    <x v="236"/>
    <s v="금"/>
    <s v="네이버 브랜드검색"/>
    <m/>
    <m/>
    <m/>
    <m/>
    <m/>
    <m/>
    <n v="60000"/>
    <m/>
    <m/>
    <m/>
    <m/>
    <m/>
  </r>
  <r>
    <x v="237"/>
    <s v="토"/>
    <s v="네이버 브랜드검색"/>
    <m/>
    <m/>
    <m/>
    <m/>
    <m/>
    <m/>
    <n v="60000"/>
    <m/>
    <m/>
    <m/>
    <m/>
    <m/>
  </r>
  <r>
    <x v="238"/>
    <s v="일"/>
    <s v="네이버 브랜드검색"/>
    <m/>
    <m/>
    <m/>
    <m/>
    <m/>
    <m/>
    <n v="60000"/>
    <m/>
    <m/>
    <m/>
    <m/>
    <m/>
  </r>
  <r>
    <x v="239"/>
    <s v="월"/>
    <s v="네이버 브랜드검색"/>
    <m/>
    <m/>
    <m/>
    <m/>
    <m/>
    <m/>
    <n v="60000"/>
    <m/>
    <m/>
    <m/>
    <m/>
    <m/>
  </r>
  <r>
    <x v="240"/>
    <s v="화"/>
    <s v="네이버 브랜드검색"/>
    <m/>
    <m/>
    <m/>
    <m/>
    <m/>
    <m/>
    <n v="60000"/>
    <m/>
    <m/>
    <m/>
    <m/>
    <m/>
  </r>
  <r>
    <x v="241"/>
    <s v="수"/>
    <s v="네이버 브랜드검색"/>
    <m/>
    <m/>
    <m/>
    <m/>
    <m/>
    <m/>
    <n v="60000"/>
    <m/>
    <m/>
    <m/>
    <m/>
    <m/>
  </r>
  <r>
    <x v="242"/>
    <s v="목"/>
    <s v="네이버 브랜드검색"/>
    <m/>
    <m/>
    <m/>
    <m/>
    <m/>
    <m/>
    <n v="60000"/>
    <m/>
    <m/>
    <m/>
    <m/>
    <m/>
  </r>
  <r>
    <x v="243"/>
    <s v="금"/>
    <s v="네이버 브랜드검색"/>
    <m/>
    <m/>
    <m/>
    <m/>
    <m/>
    <m/>
    <n v="140000"/>
    <m/>
    <m/>
    <m/>
    <m/>
    <m/>
  </r>
  <r>
    <x v="244"/>
    <s v="토"/>
    <s v="네이버 브랜드검색"/>
    <m/>
    <m/>
    <m/>
    <m/>
    <m/>
    <m/>
    <n v="140000"/>
    <m/>
    <m/>
    <m/>
    <m/>
    <m/>
  </r>
  <r>
    <x v="245"/>
    <s v="일"/>
    <s v="네이버 브랜드검색"/>
    <m/>
    <m/>
    <m/>
    <m/>
    <m/>
    <m/>
    <n v="140000"/>
    <m/>
    <m/>
    <m/>
    <m/>
    <m/>
  </r>
  <r>
    <x v="246"/>
    <s v="월"/>
    <s v="네이버 브랜드검색"/>
    <m/>
    <m/>
    <m/>
    <m/>
    <m/>
    <m/>
    <n v="140000"/>
    <m/>
    <m/>
    <m/>
    <m/>
    <m/>
  </r>
  <r>
    <x v="247"/>
    <s v="화"/>
    <s v="네이버 브랜드검색"/>
    <m/>
    <m/>
    <m/>
    <m/>
    <m/>
    <m/>
    <n v="140000"/>
    <m/>
    <m/>
    <m/>
    <m/>
    <m/>
  </r>
  <r>
    <x v="248"/>
    <s v="수"/>
    <s v="네이버 브랜드검색"/>
    <m/>
    <m/>
    <m/>
    <m/>
    <m/>
    <m/>
    <n v="140000"/>
    <m/>
    <m/>
    <m/>
    <m/>
    <m/>
  </r>
  <r>
    <x v="249"/>
    <s v="목"/>
    <s v="네이버 브랜드검색"/>
    <m/>
    <m/>
    <m/>
    <m/>
    <m/>
    <m/>
    <n v="140000"/>
    <m/>
    <m/>
    <m/>
    <m/>
    <m/>
  </r>
  <r>
    <x v="250"/>
    <s v="금"/>
    <s v="네이버 브랜드검색"/>
    <m/>
    <m/>
    <m/>
    <m/>
    <m/>
    <m/>
    <n v="140000"/>
    <m/>
    <m/>
    <m/>
    <m/>
    <m/>
  </r>
  <r>
    <x v="251"/>
    <s v="토"/>
    <s v="네이버 브랜드검색"/>
    <m/>
    <m/>
    <m/>
    <m/>
    <m/>
    <m/>
    <n v="140000"/>
    <m/>
    <m/>
    <m/>
    <m/>
    <m/>
  </r>
  <r>
    <x v="252"/>
    <s v="일"/>
    <s v="네이버 브랜드검색"/>
    <m/>
    <m/>
    <m/>
    <m/>
    <m/>
    <m/>
    <n v="140000"/>
    <m/>
    <m/>
    <m/>
    <m/>
    <m/>
  </r>
  <r>
    <x v="253"/>
    <s v="월"/>
    <s v="네이버 브랜드검색"/>
    <m/>
    <m/>
    <m/>
    <m/>
    <m/>
    <m/>
    <n v="140000"/>
    <m/>
    <m/>
    <m/>
    <m/>
    <m/>
  </r>
  <r>
    <x v="254"/>
    <s v="화"/>
    <s v="네이버 브랜드검색"/>
    <m/>
    <m/>
    <m/>
    <m/>
    <m/>
    <m/>
    <n v="140000"/>
    <m/>
    <m/>
    <m/>
    <m/>
    <m/>
  </r>
  <r>
    <x v="255"/>
    <s v="수"/>
    <s v="네이버 브랜드검색"/>
    <m/>
    <m/>
    <m/>
    <m/>
    <m/>
    <m/>
    <n v="140000"/>
    <m/>
    <m/>
    <m/>
    <m/>
    <m/>
  </r>
  <r>
    <x v="256"/>
    <s v="목"/>
    <s v="네이버 브랜드검색"/>
    <m/>
    <m/>
    <m/>
    <m/>
    <m/>
    <m/>
    <n v="140000"/>
    <m/>
    <m/>
    <m/>
    <m/>
    <m/>
  </r>
  <r>
    <x v="257"/>
    <s v="금"/>
    <s v="네이버 브랜드검색"/>
    <m/>
    <m/>
    <m/>
    <m/>
    <m/>
    <m/>
    <n v="140000"/>
    <m/>
    <m/>
    <m/>
    <m/>
    <m/>
  </r>
  <r>
    <x v="258"/>
    <s v="토"/>
    <s v="네이버 브랜드검색"/>
    <m/>
    <m/>
    <m/>
    <m/>
    <m/>
    <m/>
    <n v="140000"/>
    <m/>
    <m/>
    <m/>
    <m/>
    <m/>
  </r>
  <r>
    <x v="259"/>
    <s v="일"/>
    <s v="네이버 브랜드검색"/>
    <m/>
    <m/>
    <m/>
    <m/>
    <m/>
    <m/>
    <n v="140000"/>
    <m/>
    <m/>
    <m/>
    <m/>
    <m/>
  </r>
  <r>
    <x v="260"/>
    <s v="월"/>
    <s v="네이버 브랜드검색"/>
    <m/>
    <m/>
    <m/>
    <m/>
    <m/>
    <m/>
    <n v="140000"/>
    <m/>
    <m/>
    <m/>
    <m/>
    <m/>
  </r>
  <r>
    <x v="261"/>
    <s v="화"/>
    <s v="네이버 브랜드검색"/>
    <m/>
    <m/>
    <m/>
    <m/>
    <m/>
    <m/>
    <n v="140000"/>
    <m/>
    <m/>
    <m/>
    <m/>
    <m/>
  </r>
  <r>
    <x v="151"/>
    <s v="목"/>
    <s v="네이버 배너"/>
    <m/>
    <m/>
    <m/>
    <m/>
    <m/>
    <m/>
    <n v="46071.81818181818"/>
    <m/>
    <m/>
    <m/>
    <m/>
    <m/>
  </r>
  <r>
    <x v="152"/>
    <s v="금"/>
    <s v="네이버 배너"/>
    <m/>
    <m/>
    <m/>
    <m/>
    <m/>
    <m/>
    <n v="124204.5454545454"/>
    <m/>
    <m/>
    <m/>
    <m/>
    <m/>
  </r>
  <r>
    <x v="153"/>
    <s v="토"/>
    <s v="네이버 배너"/>
    <m/>
    <m/>
    <m/>
    <m/>
    <m/>
    <m/>
    <n v="135449.0909090909"/>
    <m/>
    <m/>
    <m/>
    <m/>
    <m/>
  </r>
  <r>
    <x v="154"/>
    <s v="일"/>
    <s v="네이버 배너"/>
    <m/>
    <m/>
    <m/>
    <m/>
    <m/>
    <m/>
    <n v="135052.7272727273"/>
    <m/>
    <m/>
    <m/>
    <m/>
    <m/>
  </r>
  <r>
    <x v="155"/>
    <s v="월"/>
    <s v="네이버 배너"/>
    <m/>
    <m/>
    <m/>
    <m/>
    <m/>
    <m/>
    <n v="467830.9090909091"/>
    <m/>
    <m/>
    <m/>
    <m/>
    <m/>
  </r>
  <r>
    <x v="156"/>
    <s v="화"/>
    <s v="네이버 배너"/>
    <m/>
    <m/>
    <m/>
    <m/>
    <m/>
    <m/>
    <n v="338165.4545454545"/>
    <m/>
    <m/>
    <m/>
    <m/>
    <m/>
  </r>
  <r>
    <x v="157"/>
    <s v="수"/>
    <s v="네이버 배너"/>
    <m/>
    <m/>
    <m/>
    <m/>
    <m/>
    <m/>
    <n v="972794.5454545454"/>
    <m/>
    <m/>
    <m/>
    <m/>
    <m/>
  </r>
  <r>
    <x v="158"/>
    <s v="목"/>
    <s v="네이버 배너"/>
    <m/>
    <m/>
    <m/>
    <m/>
    <m/>
    <m/>
    <n v="865468.1818181818"/>
    <m/>
    <m/>
    <m/>
    <m/>
    <m/>
  </r>
  <r>
    <x v="159"/>
    <s v="금"/>
    <s v="네이버 배너"/>
    <m/>
    <m/>
    <m/>
    <m/>
    <m/>
    <m/>
    <n v="855909.0909090908"/>
    <m/>
    <m/>
    <m/>
    <m/>
    <m/>
  </r>
  <r>
    <x v="160"/>
    <s v="토"/>
    <s v="네이버 배너"/>
    <m/>
    <m/>
    <m/>
    <m/>
    <m/>
    <m/>
    <n v="864159.9999999999"/>
    <m/>
    <m/>
    <m/>
    <m/>
    <m/>
  </r>
  <r>
    <x v="161"/>
    <s v="일"/>
    <s v="네이버 배너"/>
    <m/>
    <m/>
    <m/>
    <m/>
    <m/>
    <m/>
    <n v="817959.9999999999"/>
    <m/>
    <m/>
    <m/>
    <m/>
    <m/>
  </r>
  <r>
    <x v="162"/>
    <s v="월"/>
    <s v="네이버 배너"/>
    <m/>
    <m/>
    <m/>
    <m/>
    <m/>
    <m/>
    <n v="818028.1818181818"/>
    <m/>
    <m/>
    <m/>
    <m/>
    <m/>
  </r>
  <r>
    <x v="163"/>
    <s v="화"/>
    <s v="네이버 배너"/>
    <m/>
    <m/>
    <m/>
    <m/>
    <m/>
    <m/>
    <n v="816223.6363636364"/>
    <m/>
    <m/>
    <m/>
    <m/>
    <m/>
  </r>
  <r>
    <x v="164"/>
    <s v="수"/>
    <s v="네이버 배너"/>
    <m/>
    <m/>
    <m/>
    <m/>
    <m/>
    <m/>
    <n v="1357236.363636364"/>
    <m/>
    <m/>
    <m/>
    <m/>
    <m/>
  </r>
  <r>
    <x v="165"/>
    <s v="목"/>
    <s v="네이버 배너"/>
    <m/>
    <m/>
    <m/>
    <m/>
    <m/>
    <m/>
    <n v="1256259.090909091"/>
    <m/>
    <m/>
    <m/>
    <m/>
    <m/>
  </r>
  <r>
    <x v="166"/>
    <s v="금"/>
    <s v="네이버 배너"/>
    <m/>
    <m/>
    <m/>
    <m/>
    <m/>
    <m/>
    <n v="1252728.181818182"/>
    <m/>
    <m/>
    <m/>
    <m/>
    <m/>
  </r>
  <r>
    <x v="167"/>
    <s v="토"/>
    <s v="네이버 배너"/>
    <m/>
    <m/>
    <m/>
    <m/>
    <m/>
    <m/>
    <n v="1256220.909090909"/>
    <m/>
    <m/>
    <m/>
    <m/>
    <m/>
  </r>
  <r>
    <x v="168"/>
    <s v="일"/>
    <s v="네이버 배너"/>
    <m/>
    <m/>
    <m/>
    <m/>
    <m/>
    <m/>
    <n v="1257098.181818182"/>
    <m/>
    <m/>
    <m/>
    <m/>
    <m/>
  </r>
  <r>
    <x v="169"/>
    <s v="월"/>
    <s v="네이버 배너"/>
    <m/>
    <m/>
    <m/>
    <m/>
    <m/>
    <m/>
    <n v="1254760"/>
    <m/>
    <m/>
    <m/>
    <m/>
    <m/>
  </r>
  <r>
    <x v="170"/>
    <s v="화"/>
    <s v="네이버 배너"/>
    <m/>
    <m/>
    <m/>
    <m/>
    <m/>
    <m/>
    <n v="1257852.727272727"/>
    <m/>
    <m/>
    <m/>
    <m/>
    <m/>
  </r>
  <r>
    <x v="171"/>
    <s v="수"/>
    <s v="네이버 배너"/>
    <m/>
    <m/>
    <m/>
    <m/>
    <m/>
    <m/>
    <n v="1459621.818181818"/>
    <m/>
    <m/>
    <m/>
    <m/>
    <m/>
  </r>
  <r>
    <x v="172"/>
    <s v="목"/>
    <s v="네이버 배너"/>
    <m/>
    <m/>
    <m/>
    <m/>
    <m/>
    <m/>
    <n v="1217340"/>
    <m/>
    <m/>
    <m/>
    <m/>
    <m/>
  </r>
  <r>
    <x v="173"/>
    <s v="금"/>
    <s v="네이버 배너"/>
    <m/>
    <m/>
    <m/>
    <m/>
    <m/>
    <m/>
    <n v="1170777.272727273"/>
    <m/>
    <m/>
    <m/>
    <m/>
    <m/>
  </r>
  <r>
    <x v="174"/>
    <s v="토"/>
    <s v="네이버 배너"/>
    <m/>
    <m/>
    <m/>
    <m/>
    <m/>
    <m/>
    <n v="1206080"/>
    <m/>
    <m/>
    <m/>
    <m/>
    <m/>
  </r>
  <r>
    <x v="175"/>
    <s v="일"/>
    <s v="네이버 배너"/>
    <m/>
    <m/>
    <m/>
    <m/>
    <m/>
    <m/>
    <n v="1181056.363636364"/>
    <m/>
    <m/>
    <m/>
    <m/>
    <m/>
  </r>
  <r>
    <x v="176"/>
    <s v="월"/>
    <s v="네이버 배너"/>
    <m/>
    <m/>
    <m/>
    <m/>
    <m/>
    <m/>
    <n v="1300308.181818182"/>
    <m/>
    <m/>
    <m/>
    <m/>
    <m/>
  </r>
  <r>
    <x v="177"/>
    <s v="화"/>
    <s v="네이버 배너"/>
    <m/>
    <m/>
    <m/>
    <m/>
    <m/>
    <m/>
    <n v="1482024.545454545"/>
    <m/>
    <m/>
    <m/>
    <m/>
    <m/>
  </r>
  <r>
    <x v="178"/>
    <s v="수"/>
    <s v="네이버 배너"/>
    <m/>
    <m/>
    <m/>
    <m/>
    <m/>
    <m/>
    <n v="1498553.636363636"/>
    <m/>
    <m/>
    <m/>
    <m/>
    <m/>
  </r>
  <r>
    <x v="179"/>
    <s v="목"/>
    <s v="네이버 배너"/>
    <m/>
    <m/>
    <m/>
    <m/>
    <m/>
    <m/>
    <n v="1512304.545454545"/>
    <m/>
    <m/>
    <m/>
    <m/>
    <m/>
  </r>
  <r>
    <x v="180"/>
    <s v="금"/>
    <s v="네이버 배너"/>
    <m/>
    <m/>
    <m/>
    <m/>
    <m/>
    <m/>
    <n v="1505787.272727273"/>
    <m/>
    <m/>
    <m/>
    <m/>
    <m/>
  </r>
  <r>
    <x v="181"/>
    <s v="토"/>
    <s v="네이버 배너"/>
    <m/>
    <m/>
    <m/>
    <m/>
    <m/>
    <m/>
    <n v="1510983.636363636"/>
    <m/>
    <m/>
    <m/>
    <m/>
    <m/>
  </r>
  <r>
    <x v="182"/>
    <s v="일"/>
    <s v="네이버 배너"/>
    <m/>
    <m/>
    <m/>
    <m/>
    <m/>
    <m/>
    <n v="1500365.454545454"/>
    <m/>
    <m/>
    <m/>
    <m/>
    <m/>
  </r>
  <r>
    <x v="183"/>
    <s v="월"/>
    <s v="네이버 배너"/>
    <m/>
    <m/>
    <m/>
    <m/>
    <m/>
    <m/>
    <n v="1491860"/>
    <m/>
    <m/>
    <m/>
    <m/>
    <m/>
  </r>
  <r>
    <x v="184"/>
    <s v="화"/>
    <s v="네이버 배너"/>
    <m/>
    <m/>
    <m/>
    <m/>
    <m/>
    <m/>
    <n v="1464441.818181818"/>
    <m/>
    <m/>
    <m/>
    <m/>
    <m/>
  </r>
  <r>
    <x v="185"/>
    <s v="수"/>
    <s v="네이버 배너"/>
    <m/>
    <m/>
    <m/>
    <m/>
    <m/>
    <m/>
    <n v="1401514.545454545"/>
    <m/>
    <m/>
    <m/>
    <m/>
    <m/>
  </r>
  <r>
    <x v="186"/>
    <s v="목"/>
    <s v="네이버 배너"/>
    <m/>
    <m/>
    <m/>
    <m/>
    <m/>
    <m/>
    <n v="1377090"/>
    <m/>
    <m/>
    <m/>
    <m/>
    <m/>
  </r>
  <r>
    <x v="187"/>
    <s v="금"/>
    <s v="네이버 배너"/>
    <m/>
    <m/>
    <m/>
    <m/>
    <m/>
    <m/>
    <n v="1393143.636363636"/>
    <m/>
    <m/>
    <m/>
    <m/>
    <m/>
  </r>
  <r>
    <x v="188"/>
    <s v="토"/>
    <s v="네이버 배너"/>
    <m/>
    <m/>
    <m/>
    <m/>
    <m/>
    <m/>
    <n v="1381760.909090909"/>
    <m/>
    <m/>
    <m/>
    <m/>
    <m/>
  </r>
  <r>
    <x v="189"/>
    <s v="일"/>
    <s v="네이버 배너"/>
    <m/>
    <m/>
    <m/>
    <m/>
    <m/>
    <m/>
    <n v="1380419.090909091"/>
    <m/>
    <m/>
    <m/>
    <m/>
    <m/>
  </r>
  <r>
    <x v="190"/>
    <s v="월"/>
    <s v="네이버 배너"/>
    <m/>
    <m/>
    <m/>
    <m/>
    <m/>
    <m/>
    <n v="1415415.454545454"/>
    <m/>
    <m/>
    <m/>
    <m/>
    <m/>
  </r>
  <r>
    <x v="191"/>
    <s v="화"/>
    <s v="네이버 배너"/>
    <m/>
    <m/>
    <m/>
    <m/>
    <m/>
    <m/>
    <n v="1392732.727272727"/>
    <m/>
    <m/>
    <m/>
    <m/>
    <m/>
  </r>
  <r>
    <x v="192"/>
    <s v="수"/>
    <s v="네이버 배너"/>
    <m/>
    <m/>
    <m/>
    <m/>
    <m/>
    <m/>
    <n v="1367434.545454545"/>
    <m/>
    <m/>
    <m/>
    <m/>
    <m/>
  </r>
  <r>
    <x v="193"/>
    <s v="목"/>
    <s v="네이버 배너"/>
    <m/>
    <m/>
    <m/>
    <m/>
    <m/>
    <m/>
    <n v="1380418.181818182"/>
    <m/>
    <m/>
    <m/>
    <m/>
    <m/>
  </r>
  <r>
    <x v="194"/>
    <s v="금"/>
    <s v="네이버 배너"/>
    <m/>
    <m/>
    <m/>
    <m/>
    <m/>
    <m/>
    <n v="1381834.545454545"/>
    <m/>
    <m/>
    <m/>
    <m/>
    <m/>
  </r>
  <r>
    <x v="195"/>
    <s v="토"/>
    <s v="네이버 배너"/>
    <m/>
    <m/>
    <m/>
    <m/>
    <m/>
    <m/>
    <n v="1389560"/>
    <m/>
    <m/>
    <m/>
    <m/>
    <m/>
  </r>
  <r>
    <x v="196"/>
    <s v="일"/>
    <s v="네이버 배너"/>
    <m/>
    <m/>
    <m/>
    <m/>
    <m/>
    <m/>
    <n v="1379080"/>
    <m/>
    <m/>
    <m/>
    <m/>
    <m/>
  </r>
  <r>
    <x v="197"/>
    <s v="월"/>
    <s v="네이버 배너"/>
    <m/>
    <m/>
    <m/>
    <m/>
    <m/>
    <m/>
    <n v="1375696.363636364"/>
    <m/>
    <m/>
    <m/>
    <m/>
    <m/>
  </r>
  <r>
    <x v="198"/>
    <s v="화"/>
    <s v="네이버 배너"/>
    <m/>
    <m/>
    <m/>
    <m/>
    <m/>
    <m/>
    <n v="1390143.636363636"/>
    <m/>
    <m/>
    <m/>
    <m/>
    <m/>
  </r>
  <r>
    <x v="199"/>
    <s v="수"/>
    <s v="네이버 배너"/>
    <m/>
    <m/>
    <m/>
    <m/>
    <m/>
    <m/>
    <n v="1401139.090909091"/>
    <m/>
    <m/>
    <m/>
    <m/>
    <m/>
  </r>
  <r>
    <x v="200"/>
    <s v="목"/>
    <s v="네이버 배너"/>
    <m/>
    <m/>
    <m/>
    <m/>
    <m/>
    <m/>
    <n v="1358562.727272727"/>
    <m/>
    <m/>
    <m/>
    <m/>
    <m/>
  </r>
  <r>
    <x v="201"/>
    <s v="금"/>
    <s v="네이버 배너"/>
    <m/>
    <m/>
    <m/>
    <m/>
    <m/>
    <m/>
    <n v="1360350"/>
    <m/>
    <m/>
    <m/>
    <m/>
    <m/>
  </r>
  <r>
    <x v="202"/>
    <s v="토"/>
    <s v="네이버 배너"/>
    <m/>
    <m/>
    <m/>
    <m/>
    <m/>
    <m/>
    <n v="1364540.909090909"/>
    <m/>
    <m/>
    <m/>
    <m/>
    <m/>
  </r>
  <r>
    <x v="203"/>
    <s v="일"/>
    <s v="네이버 배너"/>
    <m/>
    <m/>
    <m/>
    <m/>
    <m/>
    <m/>
    <n v="1364198.181818182"/>
    <m/>
    <m/>
    <m/>
    <m/>
    <m/>
  </r>
  <r>
    <x v="204"/>
    <s v="월"/>
    <s v="네이버 배너"/>
    <m/>
    <m/>
    <m/>
    <m/>
    <m/>
    <m/>
    <n v="1367009.090909091"/>
    <m/>
    <m/>
    <m/>
    <m/>
    <m/>
  </r>
  <r>
    <x v="205"/>
    <s v="화"/>
    <s v="네이버 배너"/>
    <m/>
    <m/>
    <m/>
    <m/>
    <m/>
    <m/>
    <n v="1328887.272727273"/>
    <m/>
    <m/>
    <m/>
    <m/>
    <m/>
  </r>
  <r>
    <x v="206"/>
    <s v="수"/>
    <s v="네이버 배너"/>
    <m/>
    <m/>
    <m/>
    <m/>
    <m/>
    <m/>
    <n v="1212376.363636364"/>
    <m/>
    <m/>
    <m/>
    <m/>
    <m/>
  </r>
  <r>
    <x v="207"/>
    <s v="목"/>
    <s v="네이버 배너"/>
    <m/>
    <m/>
    <m/>
    <m/>
    <m/>
    <m/>
    <n v="1141926.363636364"/>
    <m/>
    <m/>
    <m/>
    <m/>
    <m/>
  </r>
  <r>
    <x v="208"/>
    <s v="금"/>
    <s v="네이버 배너"/>
    <m/>
    <m/>
    <m/>
    <m/>
    <m/>
    <m/>
    <n v="1138772.727272727"/>
    <m/>
    <m/>
    <m/>
    <m/>
    <m/>
  </r>
  <r>
    <x v="209"/>
    <s v="토"/>
    <s v="네이버 배너"/>
    <m/>
    <m/>
    <m/>
    <m/>
    <m/>
    <m/>
    <n v="1136382.727272727"/>
    <m/>
    <m/>
    <m/>
    <m/>
    <m/>
  </r>
  <r>
    <x v="210"/>
    <s v="일"/>
    <s v="네이버 배너"/>
    <m/>
    <m/>
    <m/>
    <m/>
    <m/>
    <m/>
    <n v="1140537.272727273"/>
    <m/>
    <m/>
    <m/>
    <m/>
    <m/>
  </r>
  <r>
    <x v="211"/>
    <s v="월"/>
    <s v="네이버 배너"/>
    <m/>
    <m/>
    <m/>
    <m/>
    <m/>
    <m/>
    <n v="1090622.727272727"/>
    <m/>
    <m/>
    <m/>
    <m/>
    <m/>
  </r>
  <r>
    <x v="212"/>
    <s v="화"/>
    <s v="네이버 배너"/>
    <m/>
    <m/>
    <m/>
    <m/>
    <m/>
    <m/>
    <n v="1135307.272727273"/>
    <m/>
    <m/>
    <m/>
    <m/>
    <m/>
  </r>
  <r>
    <x v="213"/>
    <s v="수"/>
    <s v="네이버 배너"/>
    <m/>
    <m/>
    <m/>
    <m/>
    <m/>
    <m/>
    <n v="4143191.818181818"/>
    <m/>
    <m/>
    <m/>
    <m/>
    <m/>
  </r>
  <r>
    <x v="214"/>
    <s v="목"/>
    <s v="네이버 배너"/>
    <m/>
    <m/>
    <m/>
    <m/>
    <m/>
    <m/>
    <n v="4675119.090909091"/>
    <m/>
    <m/>
    <m/>
    <m/>
    <m/>
  </r>
  <r>
    <x v="215"/>
    <s v="금"/>
    <s v="네이버 배너"/>
    <m/>
    <m/>
    <m/>
    <m/>
    <m/>
    <m/>
    <n v="6496051.818181817"/>
    <m/>
    <m/>
    <m/>
    <m/>
    <m/>
  </r>
  <r>
    <x v="216"/>
    <s v="토"/>
    <s v="네이버 배너"/>
    <m/>
    <m/>
    <m/>
    <m/>
    <m/>
    <m/>
    <n v="8076000.909090908"/>
    <m/>
    <m/>
    <m/>
    <m/>
    <m/>
  </r>
  <r>
    <x v="217"/>
    <s v="일"/>
    <s v="네이버 배너"/>
    <m/>
    <m/>
    <m/>
    <m/>
    <m/>
    <m/>
    <n v="5552757.272727272"/>
    <m/>
    <m/>
    <m/>
    <m/>
    <m/>
  </r>
  <r>
    <x v="218"/>
    <s v="월"/>
    <s v="네이버 배너"/>
    <m/>
    <m/>
    <m/>
    <m/>
    <m/>
    <m/>
    <n v="4546693.636363636"/>
    <m/>
    <m/>
    <m/>
    <m/>
    <m/>
  </r>
  <r>
    <x v="219"/>
    <s v="화"/>
    <s v="네이버 배너"/>
    <m/>
    <m/>
    <m/>
    <m/>
    <m/>
    <m/>
    <n v="4359613.636363636"/>
    <m/>
    <m/>
    <m/>
    <m/>
    <m/>
  </r>
  <r>
    <x v="220"/>
    <s v="수"/>
    <s v="네이버 배너"/>
    <m/>
    <m/>
    <m/>
    <m/>
    <m/>
    <m/>
    <n v="3842123.636363636"/>
    <m/>
    <m/>
    <m/>
    <m/>
    <m/>
  </r>
  <r>
    <x v="221"/>
    <s v="목"/>
    <s v="네이버 배너"/>
    <m/>
    <m/>
    <m/>
    <m/>
    <m/>
    <m/>
    <n v="3439220.909090909"/>
    <m/>
    <m/>
    <m/>
    <m/>
    <m/>
  </r>
  <r>
    <x v="222"/>
    <s v="금"/>
    <s v="네이버 배너"/>
    <m/>
    <m/>
    <m/>
    <m/>
    <m/>
    <m/>
    <n v="7429473.636363636"/>
    <m/>
    <m/>
    <m/>
    <m/>
    <m/>
  </r>
  <r>
    <x v="223"/>
    <s v="토"/>
    <s v="네이버 배너"/>
    <m/>
    <m/>
    <m/>
    <m/>
    <m/>
    <m/>
    <n v="8201367.272727272"/>
    <m/>
    <m/>
    <m/>
    <m/>
    <m/>
  </r>
  <r>
    <x v="224"/>
    <s v="일"/>
    <s v="네이버 배너"/>
    <m/>
    <m/>
    <m/>
    <m/>
    <m/>
    <m/>
    <n v="8205887.272727272"/>
    <m/>
    <m/>
    <m/>
    <m/>
    <m/>
  </r>
  <r>
    <x v="225"/>
    <s v="월"/>
    <s v="네이버 배너"/>
    <m/>
    <m/>
    <m/>
    <m/>
    <m/>
    <m/>
    <n v="6025441.818181817"/>
    <m/>
    <m/>
    <m/>
    <m/>
    <m/>
  </r>
  <r>
    <x v="226"/>
    <s v="화"/>
    <s v="네이버 배너"/>
    <m/>
    <m/>
    <m/>
    <m/>
    <m/>
    <m/>
    <n v="6130987.272727272"/>
    <m/>
    <m/>
    <m/>
    <m/>
    <m/>
  </r>
  <r>
    <x v="227"/>
    <s v="수"/>
    <s v="네이버 배너"/>
    <m/>
    <m/>
    <m/>
    <m/>
    <m/>
    <m/>
    <n v="5308044.545454545"/>
    <m/>
    <m/>
    <m/>
    <m/>
    <m/>
  </r>
  <r>
    <x v="228"/>
    <s v="목"/>
    <s v="네이버 배너"/>
    <m/>
    <m/>
    <m/>
    <m/>
    <m/>
    <m/>
    <n v="5905059.090909091"/>
    <m/>
    <m/>
    <m/>
    <m/>
    <m/>
  </r>
  <r>
    <x v="229"/>
    <s v="금"/>
    <s v="네이버 배너"/>
    <m/>
    <m/>
    <m/>
    <m/>
    <m/>
    <m/>
    <n v="4897754.545454545"/>
    <m/>
    <m/>
    <m/>
    <m/>
    <m/>
  </r>
  <r>
    <x v="230"/>
    <s v="토"/>
    <s v="네이버 배너"/>
    <m/>
    <m/>
    <m/>
    <m/>
    <m/>
    <m/>
    <n v="5393946.363636363"/>
    <m/>
    <m/>
    <m/>
    <m/>
    <m/>
  </r>
  <r>
    <x v="231"/>
    <s v="일"/>
    <s v="네이버 배너"/>
    <m/>
    <m/>
    <m/>
    <m/>
    <m/>
    <m/>
    <n v="6045879.999999999"/>
    <m/>
    <m/>
    <m/>
    <m/>
    <m/>
  </r>
  <r>
    <x v="232"/>
    <s v="월"/>
    <s v="네이버 배너"/>
    <m/>
    <m/>
    <m/>
    <m/>
    <m/>
    <m/>
    <n v="5026806.363636363"/>
    <m/>
    <m/>
    <m/>
    <m/>
    <m/>
  </r>
  <r>
    <x v="233"/>
    <s v="화"/>
    <s v="네이버 배너"/>
    <m/>
    <m/>
    <m/>
    <m/>
    <m/>
    <m/>
    <n v="4275248.181818182"/>
    <m/>
    <m/>
    <m/>
    <m/>
    <m/>
  </r>
  <r>
    <x v="234"/>
    <s v="수"/>
    <s v="네이버 배너"/>
    <m/>
    <m/>
    <m/>
    <m/>
    <m/>
    <m/>
    <n v="4536168.181818182"/>
    <m/>
    <m/>
    <m/>
    <m/>
    <m/>
  </r>
  <r>
    <x v="235"/>
    <s v="목"/>
    <s v="네이버 배너"/>
    <m/>
    <m/>
    <m/>
    <m/>
    <m/>
    <m/>
    <n v="3959370.909090909"/>
    <m/>
    <m/>
    <m/>
    <m/>
    <m/>
  </r>
  <r>
    <x v="236"/>
    <s v="금"/>
    <s v="네이버 배너"/>
    <m/>
    <m/>
    <m/>
    <m/>
    <m/>
    <m/>
    <n v="3839001.818181818"/>
    <m/>
    <m/>
    <m/>
    <m/>
    <m/>
  </r>
  <r>
    <x v="237"/>
    <s v="토"/>
    <s v="네이버 배너"/>
    <m/>
    <m/>
    <m/>
    <m/>
    <m/>
    <m/>
    <n v="4360284.545454545"/>
    <m/>
    <m/>
    <m/>
    <m/>
    <m/>
  </r>
  <r>
    <x v="238"/>
    <s v="일"/>
    <s v="네이버 배너"/>
    <m/>
    <m/>
    <m/>
    <m/>
    <m/>
    <m/>
    <n v="5118948.181818182"/>
    <m/>
    <m/>
    <m/>
    <m/>
    <m/>
  </r>
  <r>
    <x v="239"/>
    <s v="월"/>
    <s v="네이버 배너"/>
    <m/>
    <m/>
    <m/>
    <m/>
    <m/>
    <m/>
    <n v="3859507.272727272"/>
    <m/>
    <m/>
    <m/>
    <m/>
    <m/>
  </r>
  <r>
    <x v="240"/>
    <s v="화"/>
    <s v="네이버 배너"/>
    <m/>
    <m/>
    <m/>
    <m/>
    <m/>
    <m/>
    <n v="3073750.909090909"/>
    <m/>
    <m/>
    <m/>
    <m/>
    <m/>
  </r>
  <r>
    <x v="241"/>
    <s v="수"/>
    <s v="네이버 배너"/>
    <m/>
    <m/>
    <m/>
    <m/>
    <m/>
    <m/>
    <n v="3501659"/>
    <m/>
    <m/>
    <m/>
    <m/>
    <m/>
  </r>
  <r>
    <x v="242"/>
    <s v="목"/>
    <s v="네이버 배너"/>
    <m/>
    <m/>
    <m/>
    <m/>
    <m/>
    <m/>
    <n v="3065715.454545454"/>
    <m/>
    <m/>
    <m/>
    <m/>
    <m/>
  </r>
  <r>
    <x v="243"/>
    <s v="금"/>
    <s v="네이버 배너"/>
    <m/>
    <m/>
    <m/>
    <m/>
    <m/>
    <m/>
    <n v="3363036.363636363"/>
    <m/>
    <m/>
    <m/>
    <m/>
    <m/>
  </r>
  <r>
    <x v="244"/>
    <s v="토"/>
    <s v="네이버 배너"/>
    <m/>
    <m/>
    <m/>
    <m/>
    <m/>
    <m/>
    <n v="3341995.454545454"/>
    <m/>
    <m/>
    <m/>
    <m/>
    <m/>
  </r>
  <r>
    <x v="245"/>
    <s v="일"/>
    <s v="네이버 배너"/>
    <m/>
    <m/>
    <m/>
    <m/>
    <m/>
    <m/>
    <n v="3710585.454545454"/>
    <m/>
    <m/>
    <m/>
    <m/>
    <m/>
  </r>
  <r>
    <x v="246"/>
    <s v="월"/>
    <s v="네이버 배너"/>
    <m/>
    <m/>
    <m/>
    <m/>
    <m/>
    <m/>
    <n v="3245853.636363636"/>
    <m/>
    <m/>
    <m/>
    <m/>
    <m/>
  </r>
  <r>
    <x v="247"/>
    <s v="화"/>
    <s v="네이버 배너"/>
    <m/>
    <m/>
    <m/>
    <m/>
    <m/>
    <m/>
    <n v="2694652.727272727"/>
    <m/>
    <m/>
    <m/>
    <m/>
    <m/>
  </r>
  <r>
    <x v="248"/>
    <s v="수"/>
    <s v="네이버 배너"/>
    <m/>
    <m/>
    <m/>
    <m/>
    <m/>
    <m/>
    <n v="2360042.727272727"/>
    <m/>
    <m/>
    <m/>
    <m/>
    <m/>
  </r>
  <r>
    <x v="249"/>
    <s v="목"/>
    <s v="네이버 배너"/>
    <m/>
    <m/>
    <m/>
    <m/>
    <m/>
    <m/>
    <n v="2204744.545454545"/>
    <m/>
    <m/>
    <m/>
    <m/>
    <m/>
  </r>
  <r>
    <x v="250"/>
    <s v="금"/>
    <s v="네이버 배너"/>
    <m/>
    <m/>
    <m/>
    <m/>
    <m/>
    <m/>
    <n v="2188312.727272727"/>
    <m/>
    <m/>
    <m/>
    <m/>
    <m/>
  </r>
  <r>
    <x v="251"/>
    <s v="토"/>
    <s v="네이버 배너"/>
    <m/>
    <m/>
    <m/>
    <m/>
    <m/>
    <m/>
    <n v="2187204.545454545"/>
    <m/>
    <m/>
    <m/>
    <m/>
    <m/>
  </r>
  <r>
    <x v="252"/>
    <s v="일"/>
    <s v="네이버 배너"/>
    <m/>
    <m/>
    <m/>
    <m/>
    <m/>
    <m/>
    <n v="2212292.727272727"/>
    <m/>
    <m/>
    <m/>
    <m/>
    <m/>
  </r>
  <r>
    <x v="253"/>
    <s v="월"/>
    <s v="네이버 배너"/>
    <m/>
    <m/>
    <m/>
    <m/>
    <m/>
    <m/>
    <n v="2198214.545454545"/>
    <m/>
    <m/>
    <m/>
    <m/>
    <m/>
  </r>
  <r>
    <x v="254"/>
    <s v="화"/>
    <s v="네이버 배너"/>
    <m/>
    <m/>
    <m/>
    <m/>
    <m/>
    <m/>
    <n v="2150310"/>
    <m/>
    <m/>
    <m/>
    <m/>
    <m/>
  </r>
  <r>
    <x v="255"/>
    <s v="수"/>
    <s v="네이버 배너"/>
    <m/>
    <m/>
    <m/>
    <m/>
    <m/>
    <m/>
    <n v="2079590.909090909"/>
    <m/>
    <m/>
    <m/>
    <m/>
    <m/>
  </r>
  <r>
    <x v="256"/>
    <s v="목"/>
    <s v="네이버 배너"/>
    <m/>
    <m/>
    <m/>
    <m/>
    <m/>
    <m/>
    <n v="1127602.727272727"/>
    <m/>
    <m/>
    <m/>
    <m/>
    <m/>
  </r>
  <r>
    <x v="257"/>
    <s v="금"/>
    <s v="네이버 배너"/>
    <m/>
    <m/>
    <m/>
    <m/>
    <m/>
    <m/>
    <n v="1084431.818181818"/>
    <m/>
    <m/>
    <m/>
    <m/>
    <m/>
  </r>
  <r>
    <x v="258"/>
    <s v="토"/>
    <s v="네이버 배너"/>
    <m/>
    <m/>
    <m/>
    <m/>
    <m/>
    <m/>
    <n v="1127510.909090909"/>
    <m/>
    <m/>
    <m/>
    <m/>
    <m/>
  </r>
  <r>
    <x v="259"/>
    <s v="일"/>
    <s v="네이버 배너"/>
    <m/>
    <m/>
    <m/>
    <m/>
    <m/>
    <m/>
    <n v="1120517.272727273"/>
    <m/>
    <m/>
    <m/>
    <m/>
    <m/>
  </r>
  <r>
    <x v="260"/>
    <s v="월"/>
    <s v="네이버 배너"/>
    <m/>
    <m/>
    <m/>
    <m/>
    <m/>
    <m/>
    <n v="1078006.363636364"/>
    <m/>
    <m/>
    <m/>
    <m/>
    <m/>
  </r>
  <r>
    <x v="261"/>
    <s v="화"/>
    <s v="네이버 배너"/>
    <m/>
    <m/>
    <m/>
    <m/>
    <m/>
    <m/>
    <n v="1091459.090909091"/>
    <m/>
    <m/>
    <m/>
    <m/>
    <m/>
  </r>
  <r>
    <x v="165"/>
    <s v="목"/>
    <s v="카카오 배너"/>
    <m/>
    <m/>
    <m/>
    <m/>
    <m/>
    <m/>
    <n v="228430"/>
    <m/>
    <m/>
    <m/>
    <m/>
    <m/>
  </r>
  <r>
    <x v="166"/>
    <s v="금"/>
    <s v="카카오 배너"/>
    <m/>
    <m/>
    <m/>
    <m/>
    <m/>
    <m/>
    <n v="392649.9999999999"/>
    <m/>
    <m/>
    <m/>
    <m/>
    <m/>
  </r>
  <r>
    <x v="167"/>
    <s v="토"/>
    <s v="카카오 배너"/>
    <m/>
    <m/>
    <m/>
    <m/>
    <m/>
    <m/>
    <n v="43180"/>
    <m/>
    <m/>
    <m/>
    <m/>
    <m/>
  </r>
  <r>
    <x v="168"/>
    <s v="일"/>
    <s v="카카오 배너"/>
    <m/>
    <m/>
    <m/>
    <m/>
    <m/>
    <m/>
    <n v="0"/>
    <m/>
    <m/>
    <m/>
    <m/>
    <m/>
  </r>
  <r>
    <x v="169"/>
    <s v="월"/>
    <s v="카카오 배너"/>
    <m/>
    <m/>
    <m/>
    <m/>
    <m/>
    <m/>
    <n v="392199.9999999999"/>
    <m/>
    <m/>
    <m/>
    <m/>
    <m/>
  </r>
  <r>
    <x v="170"/>
    <s v="화"/>
    <s v="카카오 배너"/>
    <m/>
    <m/>
    <m/>
    <m/>
    <m/>
    <m/>
    <n v="391309.9999999999"/>
    <m/>
    <m/>
    <m/>
    <m/>
    <m/>
  </r>
  <r>
    <x v="171"/>
    <s v="수"/>
    <s v="카카오 배너"/>
    <m/>
    <m/>
    <m/>
    <m/>
    <m/>
    <m/>
    <n v="576840"/>
    <m/>
    <m/>
    <m/>
    <m/>
    <m/>
  </r>
  <r>
    <x v="172"/>
    <s v="목"/>
    <s v="카카오 배너"/>
    <m/>
    <m/>
    <m/>
    <m/>
    <m/>
    <m/>
    <n v="919619.9999999999"/>
    <m/>
    <m/>
    <m/>
    <m/>
    <m/>
  </r>
  <r>
    <x v="173"/>
    <s v="금"/>
    <s v="카카오 배너"/>
    <m/>
    <m/>
    <m/>
    <m/>
    <m/>
    <m/>
    <n v="910879.9999999999"/>
    <m/>
    <m/>
    <m/>
    <m/>
    <m/>
  </r>
  <r>
    <x v="174"/>
    <s v="토"/>
    <s v="카카오 배너"/>
    <m/>
    <m/>
    <m/>
    <m/>
    <m/>
    <m/>
    <n v="911119.9999999999"/>
    <m/>
    <m/>
    <m/>
    <m/>
    <m/>
  </r>
  <r>
    <x v="175"/>
    <s v="일"/>
    <s v="카카오 배너"/>
    <m/>
    <m/>
    <m/>
    <m/>
    <m/>
    <m/>
    <n v="910869.9999999999"/>
    <m/>
    <m/>
    <m/>
    <m/>
    <m/>
  </r>
  <r>
    <x v="176"/>
    <s v="월"/>
    <s v="카카오 배너"/>
    <m/>
    <m/>
    <m/>
    <m/>
    <m/>
    <m/>
    <n v="2114110"/>
    <m/>
    <m/>
    <m/>
    <m/>
    <m/>
  </r>
  <r>
    <x v="177"/>
    <s v="화"/>
    <s v="카카오 배너"/>
    <m/>
    <m/>
    <m/>
    <m/>
    <m/>
    <m/>
    <n v="2229090"/>
    <m/>
    <m/>
    <m/>
    <m/>
    <m/>
  </r>
  <r>
    <x v="178"/>
    <s v="수"/>
    <s v="카카오 배너"/>
    <m/>
    <m/>
    <m/>
    <m/>
    <m/>
    <m/>
    <n v="1956140"/>
    <m/>
    <m/>
    <m/>
    <m/>
    <m/>
  </r>
  <r>
    <x v="179"/>
    <s v="목"/>
    <s v="카카오 배너"/>
    <m/>
    <m/>
    <m/>
    <m/>
    <m/>
    <m/>
    <n v="2052330"/>
    <m/>
    <m/>
    <m/>
    <m/>
    <m/>
  </r>
  <r>
    <x v="180"/>
    <s v="금"/>
    <s v="카카오 배너"/>
    <m/>
    <m/>
    <m/>
    <m/>
    <m/>
    <m/>
    <n v="2231190"/>
    <m/>
    <m/>
    <m/>
    <m/>
    <m/>
  </r>
  <r>
    <x v="181"/>
    <s v="토"/>
    <s v="카카오 배너"/>
    <m/>
    <m/>
    <m/>
    <m/>
    <m/>
    <m/>
    <n v="2242650"/>
    <m/>
    <m/>
    <m/>
    <m/>
    <m/>
  </r>
  <r>
    <x v="182"/>
    <s v="일"/>
    <s v="카카오 배너"/>
    <m/>
    <m/>
    <m/>
    <m/>
    <m/>
    <m/>
    <n v="2238500"/>
    <m/>
    <m/>
    <m/>
    <m/>
    <m/>
  </r>
  <r>
    <x v="183"/>
    <s v="월"/>
    <s v="카카오 배너"/>
    <m/>
    <m/>
    <m/>
    <m/>
    <m/>
    <m/>
    <n v="2062510"/>
    <m/>
    <m/>
    <m/>
    <m/>
    <m/>
  </r>
  <r>
    <x v="184"/>
    <s v="화"/>
    <s v="카카오 배너"/>
    <m/>
    <m/>
    <m/>
    <m/>
    <m/>
    <m/>
    <n v="1926690"/>
    <m/>
    <m/>
    <m/>
    <m/>
    <m/>
  </r>
  <r>
    <x v="185"/>
    <s v="수"/>
    <s v="카카오 배너"/>
    <m/>
    <m/>
    <m/>
    <m/>
    <m/>
    <m/>
    <n v="1469790"/>
    <m/>
    <m/>
    <m/>
    <m/>
    <m/>
  </r>
  <r>
    <x v="186"/>
    <s v="목"/>
    <s v="카카오 배너"/>
    <m/>
    <m/>
    <m/>
    <m/>
    <m/>
    <m/>
    <n v="1959190"/>
    <m/>
    <m/>
    <m/>
    <m/>
    <m/>
  </r>
  <r>
    <x v="187"/>
    <s v="금"/>
    <s v="카카오 배너"/>
    <m/>
    <m/>
    <m/>
    <m/>
    <m/>
    <m/>
    <n v="1949540"/>
    <m/>
    <m/>
    <m/>
    <m/>
    <m/>
  </r>
  <r>
    <x v="188"/>
    <s v="토"/>
    <s v="카카오 배너"/>
    <m/>
    <m/>
    <m/>
    <m/>
    <m/>
    <m/>
    <n v="2041350"/>
    <m/>
    <m/>
    <m/>
    <m/>
    <m/>
  </r>
  <r>
    <x v="189"/>
    <s v="일"/>
    <s v="카카오 배너"/>
    <m/>
    <m/>
    <m/>
    <m/>
    <m/>
    <m/>
    <n v="2039640"/>
    <m/>
    <m/>
    <m/>
    <m/>
    <m/>
  </r>
  <r>
    <x v="190"/>
    <s v="월"/>
    <s v="카카오 배너"/>
    <m/>
    <m/>
    <m/>
    <m/>
    <m/>
    <m/>
    <n v="1580360"/>
    <m/>
    <m/>
    <m/>
    <m/>
    <m/>
  </r>
  <r>
    <x v="191"/>
    <s v="화"/>
    <s v="카카오 배너"/>
    <m/>
    <m/>
    <m/>
    <m/>
    <m/>
    <m/>
    <n v="1597780"/>
    <m/>
    <m/>
    <m/>
    <m/>
    <m/>
  </r>
  <r>
    <x v="192"/>
    <s v="수"/>
    <s v="카카오 배너"/>
    <m/>
    <m/>
    <m/>
    <m/>
    <m/>
    <m/>
    <n v="2040610"/>
    <m/>
    <m/>
    <m/>
    <m/>
    <m/>
  </r>
  <r>
    <x v="193"/>
    <s v="목"/>
    <s v="카카오 배너"/>
    <m/>
    <m/>
    <m/>
    <m/>
    <m/>
    <m/>
    <n v="2037680"/>
    <m/>
    <m/>
    <m/>
    <m/>
    <m/>
  </r>
  <r>
    <x v="194"/>
    <s v="금"/>
    <s v="카카오 배너"/>
    <m/>
    <m/>
    <m/>
    <m/>
    <m/>
    <m/>
    <n v="2039920"/>
    <m/>
    <m/>
    <m/>
    <m/>
    <m/>
  </r>
  <r>
    <x v="195"/>
    <s v="토"/>
    <s v="카카오 배너"/>
    <m/>
    <m/>
    <m/>
    <m/>
    <m/>
    <m/>
    <n v="2041460"/>
    <m/>
    <m/>
    <m/>
    <m/>
    <m/>
  </r>
  <r>
    <x v="196"/>
    <s v="일"/>
    <s v="카카오 배너"/>
    <m/>
    <m/>
    <m/>
    <m/>
    <m/>
    <m/>
    <n v="2040480"/>
    <m/>
    <m/>
    <m/>
    <m/>
    <m/>
  </r>
  <r>
    <x v="197"/>
    <s v="월"/>
    <s v="카카오 배너"/>
    <m/>
    <m/>
    <m/>
    <m/>
    <m/>
    <m/>
    <n v="2040320"/>
    <m/>
    <m/>
    <m/>
    <m/>
    <m/>
  </r>
  <r>
    <x v="198"/>
    <s v="화"/>
    <s v="카카오 배너"/>
    <m/>
    <m/>
    <m/>
    <m/>
    <m/>
    <m/>
    <n v="2047680"/>
    <m/>
    <m/>
    <m/>
    <m/>
    <m/>
  </r>
  <r>
    <x v="199"/>
    <s v="수"/>
    <s v="카카오 배너"/>
    <m/>
    <m/>
    <m/>
    <m/>
    <m/>
    <m/>
    <n v="2042210"/>
    <m/>
    <m/>
    <m/>
    <m/>
    <m/>
  </r>
  <r>
    <x v="200"/>
    <s v="목"/>
    <s v="카카오 배너"/>
    <m/>
    <m/>
    <m/>
    <m/>
    <m/>
    <m/>
    <n v="2005170"/>
    <m/>
    <m/>
    <m/>
    <m/>
    <m/>
  </r>
  <r>
    <x v="201"/>
    <s v="금"/>
    <s v="카카오 배너"/>
    <m/>
    <m/>
    <m/>
    <m/>
    <m/>
    <m/>
    <n v="2086380"/>
    <m/>
    <m/>
    <m/>
    <m/>
    <m/>
  </r>
  <r>
    <x v="202"/>
    <s v="토"/>
    <s v="카카오 배너"/>
    <m/>
    <m/>
    <m/>
    <m/>
    <m/>
    <m/>
    <n v="2083390"/>
    <m/>
    <m/>
    <m/>
    <m/>
    <m/>
  </r>
  <r>
    <x v="203"/>
    <s v="일"/>
    <s v="카카오 배너"/>
    <m/>
    <m/>
    <m/>
    <m/>
    <m/>
    <m/>
    <n v="2086780"/>
    <m/>
    <m/>
    <m/>
    <m/>
    <m/>
  </r>
  <r>
    <x v="204"/>
    <s v="월"/>
    <s v="카카오 배너"/>
    <m/>
    <m/>
    <m/>
    <m/>
    <m/>
    <m/>
    <n v="2175120"/>
    <m/>
    <m/>
    <m/>
    <m/>
    <m/>
  </r>
  <r>
    <x v="205"/>
    <s v="화"/>
    <s v="카카오 배너"/>
    <m/>
    <m/>
    <m/>
    <m/>
    <m/>
    <m/>
    <n v="2175950"/>
    <m/>
    <m/>
    <m/>
    <m/>
    <m/>
  </r>
  <r>
    <x v="206"/>
    <s v="수"/>
    <s v="카카오 배너"/>
    <m/>
    <m/>
    <m/>
    <m/>
    <m/>
    <m/>
    <n v="2083460"/>
    <m/>
    <m/>
    <m/>
    <m/>
    <m/>
  </r>
  <r>
    <x v="207"/>
    <s v="목"/>
    <s v="카카오 배너"/>
    <m/>
    <m/>
    <m/>
    <m/>
    <m/>
    <m/>
    <n v="4118060"/>
    <m/>
    <m/>
    <m/>
    <m/>
    <m/>
  </r>
  <r>
    <x v="208"/>
    <s v="금"/>
    <s v="카카오 배너"/>
    <m/>
    <m/>
    <m/>
    <m/>
    <m/>
    <m/>
    <n v="4163790"/>
    <m/>
    <m/>
    <m/>
    <m/>
    <m/>
  </r>
  <r>
    <x v="209"/>
    <s v="토"/>
    <s v="카카오 배너"/>
    <m/>
    <m/>
    <m/>
    <m/>
    <m/>
    <m/>
    <n v="4190098.181818182"/>
    <m/>
    <m/>
    <m/>
    <m/>
    <m/>
  </r>
  <r>
    <x v="210"/>
    <s v="일"/>
    <s v="카카오 배너"/>
    <m/>
    <m/>
    <m/>
    <m/>
    <m/>
    <m/>
    <n v="4105110"/>
    <m/>
    <m/>
    <m/>
    <m/>
    <m/>
  </r>
  <r>
    <x v="211"/>
    <s v="월"/>
    <s v="카카오 배너"/>
    <m/>
    <m/>
    <m/>
    <m/>
    <m/>
    <m/>
    <n v="3474710"/>
    <m/>
    <m/>
    <m/>
    <m/>
    <m/>
  </r>
  <r>
    <x v="212"/>
    <s v="화"/>
    <s v="카카오 배너"/>
    <m/>
    <m/>
    <m/>
    <m/>
    <m/>
    <m/>
    <n v="2794690"/>
    <m/>
    <m/>
    <m/>
    <m/>
    <m/>
  </r>
  <r>
    <x v="213"/>
    <s v="수"/>
    <s v="카카오 배너"/>
    <m/>
    <m/>
    <m/>
    <m/>
    <m/>
    <m/>
    <n v="1618200"/>
    <m/>
    <m/>
    <m/>
    <m/>
    <m/>
  </r>
  <r>
    <x v="214"/>
    <s v="목"/>
    <s v="카카오 배너"/>
    <m/>
    <m/>
    <m/>
    <m/>
    <m/>
    <m/>
    <n v="2722350"/>
    <m/>
    <m/>
    <m/>
    <m/>
    <m/>
  </r>
  <r>
    <x v="215"/>
    <s v="금"/>
    <s v="카카오 배너"/>
    <m/>
    <m/>
    <m/>
    <m/>
    <m/>
    <m/>
    <n v="3851100"/>
    <m/>
    <m/>
    <m/>
    <m/>
    <m/>
  </r>
  <r>
    <x v="216"/>
    <s v="토"/>
    <s v="카카오 배너"/>
    <m/>
    <m/>
    <m/>
    <m/>
    <m/>
    <m/>
    <n v="4020590"/>
    <m/>
    <m/>
    <m/>
    <m/>
    <m/>
  </r>
  <r>
    <x v="217"/>
    <s v="일"/>
    <s v="카카오 배너"/>
    <m/>
    <m/>
    <m/>
    <m/>
    <m/>
    <m/>
    <n v="3835830"/>
    <m/>
    <m/>
    <m/>
    <m/>
    <m/>
  </r>
  <r>
    <x v="218"/>
    <s v="월"/>
    <s v="카카오 배너"/>
    <m/>
    <m/>
    <m/>
    <m/>
    <m/>
    <m/>
    <n v="1966780"/>
    <m/>
    <m/>
    <m/>
    <m/>
    <m/>
  </r>
  <r>
    <x v="219"/>
    <s v="화"/>
    <s v="카카오 배너"/>
    <m/>
    <m/>
    <m/>
    <m/>
    <m/>
    <m/>
    <n v="1896820"/>
    <m/>
    <m/>
    <m/>
    <m/>
    <m/>
  </r>
  <r>
    <x v="220"/>
    <s v="수"/>
    <s v="카카오 배너"/>
    <m/>
    <m/>
    <m/>
    <m/>
    <m/>
    <m/>
    <n v="1805100"/>
    <m/>
    <m/>
    <m/>
    <m/>
    <m/>
  </r>
  <r>
    <x v="221"/>
    <s v="목"/>
    <s v="카카오 배너"/>
    <m/>
    <m/>
    <m/>
    <m/>
    <m/>
    <m/>
    <n v="2034870"/>
    <m/>
    <m/>
    <m/>
    <m/>
    <m/>
  </r>
  <r>
    <x v="222"/>
    <s v="금"/>
    <s v="카카오 배너"/>
    <m/>
    <m/>
    <m/>
    <m/>
    <m/>
    <m/>
    <n v="4853150"/>
    <m/>
    <m/>
    <m/>
    <m/>
    <m/>
  </r>
  <r>
    <x v="223"/>
    <s v="토"/>
    <s v="카카오 배너"/>
    <m/>
    <m/>
    <m/>
    <m/>
    <m/>
    <m/>
    <n v="4437110"/>
    <m/>
    <m/>
    <m/>
    <m/>
    <m/>
  </r>
  <r>
    <x v="224"/>
    <s v="일"/>
    <s v="카카오 배너"/>
    <m/>
    <m/>
    <m/>
    <m/>
    <m/>
    <m/>
    <n v="4097370"/>
    <m/>
    <m/>
    <m/>
    <m/>
    <m/>
  </r>
  <r>
    <x v="225"/>
    <s v="월"/>
    <s v="카카오 배너"/>
    <m/>
    <m/>
    <m/>
    <m/>
    <m/>
    <m/>
    <n v="2379120"/>
    <m/>
    <m/>
    <m/>
    <m/>
    <m/>
  </r>
  <r>
    <x v="226"/>
    <s v="화"/>
    <s v="카카오 배너"/>
    <m/>
    <m/>
    <m/>
    <m/>
    <m/>
    <m/>
    <n v="2135660"/>
    <m/>
    <m/>
    <m/>
    <m/>
    <m/>
  </r>
  <r>
    <x v="227"/>
    <s v="수"/>
    <s v="카카오 배너"/>
    <m/>
    <m/>
    <m/>
    <m/>
    <m/>
    <m/>
    <n v="1781840"/>
    <m/>
    <m/>
    <m/>
    <m/>
    <m/>
  </r>
  <r>
    <x v="228"/>
    <s v="목"/>
    <s v="카카오 배너"/>
    <m/>
    <m/>
    <m/>
    <m/>
    <m/>
    <m/>
    <n v="1514350"/>
    <m/>
    <m/>
    <m/>
    <m/>
    <m/>
  </r>
  <r>
    <x v="229"/>
    <s v="금"/>
    <s v="카카오 배너"/>
    <m/>
    <m/>
    <m/>
    <m/>
    <m/>
    <m/>
    <n v="1531150"/>
    <m/>
    <m/>
    <m/>
    <m/>
    <m/>
  </r>
  <r>
    <x v="230"/>
    <s v="토"/>
    <s v="카카오 배너"/>
    <m/>
    <m/>
    <m/>
    <m/>
    <m/>
    <m/>
    <n v="1957660"/>
    <m/>
    <m/>
    <m/>
    <m/>
    <m/>
  </r>
  <r>
    <x v="231"/>
    <s v="일"/>
    <s v="카카오 배너"/>
    <m/>
    <m/>
    <m/>
    <m/>
    <m/>
    <m/>
    <n v="1966950"/>
    <m/>
    <m/>
    <m/>
    <m/>
    <m/>
  </r>
  <r>
    <x v="232"/>
    <s v="월"/>
    <s v="카카오 배너"/>
    <m/>
    <m/>
    <m/>
    <m/>
    <m/>
    <m/>
    <n v="1579290"/>
    <m/>
    <m/>
    <m/>
    <m/>
    <m/>
  </r>
  <r>
    <x v="233"/>
    <s v="화"/>
    <s v="카카오 배너"/>
    <m/>
    <m/>
    <m/>
    <m/>
    <m/>
    <m/>
    <n v="1184970"/>
    <m/>
    <m/>
    <m/>
    <m/>
    <m/>
  </r>
  <r>
    <x v="234"/>
    <s v="수"/>
    <s v="카카오 배너"/>
    <m/>
    <m/>
    <m/>
    <m/>
    <m/>
    <m/>
    <n v="2486190"/>
    <m/>
    <m/>
    <m/>
    <m/>
    <m/>
  </r>
  <r>
    <x v="235"/>
    <s v="목"/>
    <s v="카카오 배너"/>
    <m/>
    <m/>
    <m/>
    <m/>
    <m/>
    <m/>
    <n v="1792250"/>
    <m/>
    <m/>
    <m/>
    <m/>
    <m/>
  </r>
  <r>
    <x v="236"/>
    <s v="금"/>
    <s v="카카오 배너"/>
    <m/>
    <m/>
    <m/>
    <m/>
    <m/>
    <m/>
    <n v="1777150"/>
    <m/>
    <m/>
    <m/>
    <m/>
    <m/>
  </r>
  <r>
    <x v="237"/>
    <s v="토"/>
    <s v="카카오 배너"/>
    <m/>
    <m/>
    <m/>
    <m/>
    <m/>
    <m/>
    <n v="1667510"/>
    <m/>
    <m/>
    <m/>
    <m/>
    <m/>
  </r>
  <r>
    <x v="238"/>
    <s v="일"/>
    <s v="카카오 배너"/>
    <m/>
    <m/>
    <m/>
    <m/>
    <m/>
    <m/>
    <n v="2299070"/>
    <m/>
    <m/>
    <m/>
    <m/>
    <m/>
  </r>
  <r>
    <x v="239"/>
    <s v="월"/>
    <s v="카카오 배너"/>
    <m/>
    <m/>
    <m/>
    <m/>
    <m/>
    <m/>
    <n v="1479260"/>
    <m/>
    <m/>
    <m/>
    <m/>
    <m/>
  </r>
  <r>
    <x v="240"/>
    <s v="화"/>
    <s v="카카오 배너"/>
    <m/>
    <m/>
    <m/>
    <m/>
    <m/>
    <m/>
    <n v="1259040"/>
    <m/>
    <m/>
    <m/>
    <m/>
    <m/>
  </r>
  <r>
    <x v="241"/>
    <s v="수"/>
    <s v="카카오 배너"/>
    <m/>
    <m/>
    <m/>
    <m/>
    <m/>
    <m/>
    <n v="1384460"/>
    <m/>
    <m/>
    <m/>
    <m/>
    <m/>
  </r>
  <r>
    <x v="242"/>
    <s v="목"/>
    <s v="카카오 배너"/>
    <m/>
    <m/>
    <m/>
    <m/>
    <m/>
    <m/>
    <n v="1597130"/>
    <m/>
    <m/>
    <m/>
    <m/>
    <m/>
  </r>
  <r>
    <x v="243"/>
    <s v="금"/>
    <s v="카카오 배너"/>
    <m/>
    <m/>
    <m/>
    <m/>
    <m/>
    <m/>
    <n v="1238020"/>
    <m/>
    <m/>
    <m/>
    <m/>
    <m/>
  </r>
  <r>
    <x v="244"/>
    <s v="토"/>
    <s v="카카오 배너"/>
    <m/>
    <m/>
    <m/>
    <m/>
    <m/>
    <m/>
    <n v="1593000"/>
    <m/>
    <m/>
    <m/>
    <m/>
    <m/>
  </r>
  <r>
    <x v="245"/>
    <s v="일"/>
    <s v="카카오 배너"/>
    <m/>
    <m/>
    <m/>
    <m/>
    <m/>
    <m/>
    <n v="1636920"/>
    <m/>
    <m/>
    <m/>
    <m/>
    <m/>
  </r>
  <r>
    <x v="246"/>
    <s v="월"/>
    <s v="카카오 배너"/>
    <m/>
    <m/>
    <m/>
    <m/>
    <m/>
    <m/>
    <n v="882589.9999999999"/>
    <m/>
    <m/>
    <m/>
    <m/>
    <m/>
  </r>
  <r>
    <x v="247"/>
    <s v="화"/>
    <s v="카카오 배너"/>
    <m/>
    <m/>
    <m/>
    <m/>
    <m/>
    <m/>
    <n v="880169.9999999999"/>
    <m/>
    <m/>
    <m/>
    <m/>
    <m/>
  </r>
  <r>
    <x v="248"/>
    <s v="수"/>
    <s v="카카오 배너"/>
    <m/>
    <m/>
    <m/>
    <m/>
    <m/>
    <m/>
    <n v="976299.9999999999"/>
    <m/>
    <m/>
    <m/>
    <m/>
    <m/>
  </r>
  <r>
    <x v="249"/>
    <s v="목"/>
    <s v="카카오 배너"/>
    <m/>
    <m/>
    <m/>
    <m/>
    <m/>
    <m/>
    <n v="1027860"/>
    <m/>
    <m/>
    <m/>
    <m/>
    <m/>
  </r>
  <r>
    <x v="250"/>
    <s v="금"/>
    <s v="카카오 배너"/>
    <m/>
    <m/>
    <m/>
    <m/>
    <m/>
    <m/>
    <n v="777819.9999999999"/>
    <m/>
    <m/>
    <m/>
    <m/>
    <m/>
  </r>
  <r>
    <x v="251"/>
    <s v="토"/>
    <s v="카카오 배너"/>
    <m/>
    <m/>
    <m/>
    <m/>
    <m/>
    <m/>
    <n v="830279.9999999999"/>
    <m/>
    <m/>
    <m/>
    <m/>
    <m/>
  </r>
  <r>
    <x v="252"/>
    <s v="일"/>
    <s v="카카오 배너"/>
    <m/>
    <m/>
    <m/>
    <m/>
    <m/>
    <m/>
    <n v="1085320"/>
    <m/>
    <m/>
    <m/>
    <m/>
    <m/>
  </r>
  <r>
    <x v="253"/>
    <s v="월"/>
    <s v="카카오 배너"/>
    <m/>
    <m/>
    <m/>
    <m/>
    <m/>
    <m/>
    <n v="882739.9999999999"/>
    <m/>
    <m/>
    <m/>
    <m/>
    <m/>
  </r>
  <r>
    <x v="254"/>
    <s v="화"/>
    <s v="카카오 배너"/>
    <m/>
    <m/>
    <m/>
    <m/>
    <m/>
    <m/>
    <n v="935359.9999999999"/>
    <m/>
    <m/>
    <m/>
    <m/>
    <m/>
  </r>
  <r>
    <x v="255"/>
    <s v="수"/>
    <s v="카카오 배너"/>
    <m/>
    <m/>
    <m/>
    <m/>
    <m/>
    <m/>
    <n v="652380"/>
    <m/>
    <m/>
    <m/>
    <m/>
    <m/>
  </r>
  <r>
    <x v="256"/>
    <s v="목"/>
    <s v="카카오 배너"/>
    <m/>
    <m/>
    <m/>
    <m/>
    <m/>
    <m/>
    <n v="788969.9999999999"/>
    <m/>
    <m/>
    <m/>
    <m/>
    <m/>
  </r>
  <r>
    <x v="257"/>
    <s v="금"/>
    <s v="카카오 배너"/>
    <m/>
    <m/>
    <m/>
    <m/>
    <m/>
    <m/>
    <n v="660140"/>
    <m/>
    <m/>
    <m/>
    <m/>
    <m/>
  </r>
  <r>
    <x v="258"/>
    <s v="토"/>
    <s v="카카오 배너"/>
    <m/>
    <m/>
    <m/>
    <m/>
    <m/>
    <m/>
    <n v="1000310"/>
    <m/>
    <m/>
    <m/>
    <m/>
    <m/>
  </r>
  <r>
    <x v="259"/>
    <s v="일"/>
    <s v="카카오 배너"/>
    <m/>
    <m/>
    <m/>
    <m/>
    <m/>
    <m/>
    <n v="1109200"/>
    <m/>
    <m/>
    <m/>
    <m/>
    <m/>
  </r>
  <r>
    <x v="260"/>
    <s v="월"/>
    <s v="카카오 배너"/>
    <m/>
    <m/>
    <m/>
    <m/>
    <m/>
    <m/>
    <n v="611590"/>
    <m/>
    <m/>
    <m/>
    <m/>
    <m/>
  </r>
  <r>
    <x v="261"/>
    <s v="화"/>
    <s v="카카오 배너"/>
    <m/>
    <m/>
    <m/>
    <m/>
    <m/>
    <m/>
    <n v="719600"/>
    <m/>
    <m/>
    <m/>
    <m/>
    <m/>
  </r>
  <r>
    <x v="205"/>
    <s v="화"/>
    <s v="카카오 메시지"/>
    <m/>
    <m/>
    <m/>
    <m/>
    <m/>
    <m/>
    <n v="371369.9999999999"/>
    <m/>
    <m/>
    <m/>
    <m/>
    <m/>
  </r>
  <r>
    <x v="206"/>
    <s v="수"/>
    <s v="카카오 메시지"/>
    <m/>
    <m/>
    <m/>
    <m/>
    <m/>
    <m/>
    <n v="556680"/>
    <m/>
    <m/>
    <m/>
    <m/>
    <m/>
  </r>
  <r>
    <x v="255"/>
    <s v="수"/>
    <s v="카카오 메시지"/>
    <m/>
    <m/>
    <m/>
    <m/>
    <m/>
    <m/>
    <n v="658860"/>
    <m/>
    <m/>
    <m/>
    <m/>
    <m/>
  </r>
  <r>
    <x v="227"/>
    <s v="수"/>
    <s v="유튜브 광고"/>
    <m/>
    <m/>
    <m/>
    <m/>
    <m/>
    <m/>
    <n v="103000"/>
    <m/>
    <m/>
    <m/>
    <m/>
    <m/>
  </r>
  <r>
    <x v="228"/>
    <s v="목"/>
    <s v="유튜브 광고"/>
    <m/>
    <m/>
    <m/>
    <m/>
    <m/>
    <m/>
    <n v="153214"/>
    <m/>
    <m/>
    <m/>
    <m/>
    <m/>
  </r>
  <r>
    <x v="229"/>
    <s v="금"/>
    <s v="유튜브 광고"/>
    <m/>
    <m/>
    <m/>
    <m/>
    <m/>
    <m/>
    <n v="176357"/>
    <m/>
    <m/>
    <m/>
    <m/>
    <m/>
  </r>
  <r>
    <x v="230"/>
    <s v="토"/>
    <s v="유튜브 광고"/>
    <m/>
    <m/>
    <m/>
    <m/>
    <m/>
    <m/>
    <n v="391660"/>
    <m/>
    <m/>
    <m/>
    <m/>
    <m/>
  </r>
  <r>
    <x v="231"/>
    <s v="일"/>
    <s v="유튜브 광고"/>
    <m/>
    <m/>
    <m/>
    <m/>
    <m/>
    <m/>
    <n v="254181"/>
    <m/>
    <m/>
    <m/>
    <m/>
    <m/>
  </r>
  <r>
    <x v="232"/>
    <s v="월"/>
    <s v="유튜브 광고"/>
    <m/>
    <m/>
    <m/>
    <m/>
    <m/>
    <m/>
    <n v="425895"/>
    <m/>
    <m/>
    <m/>
    <m/>
    <m/>
  </r>
  <r>
    <x v="233"/>
    <s v="화"/>
    <s v="유튜브 광고"/>
    <m/>
    <m/>
    <m/>
    <m/>
    <m/>
    <m/>
    <n v="241159"/>
    <m/>
    <m/>
    <m/>
    <m/>
    <m/>
  </r>
  <r>
    <x v="234"/>
    <s v="수"/>
    <s v="유튜브 광고"/>
    <m/>
    <m/>
    <m/>
    <m/>
    <m/>
    <m/>
    <n v="2250454"/>
    <m/>
    <m/>
    <m/>
    <m/>
    <m/>
  </r>
  <r>
    <x v="235"/>
    <s v="목"/>
    <s v="유튜브 광고"/>
    <m/>
    <m/>
    <m/>
    <m/>
    <m/>
    <m/>
    <n v="634289"/>
    <m/>
    <m/>
    <m/>
    <m/>
    <m/>
  </r>
  <r>
    <x v="236"/>
    <s v="금"/>
    <s v="유튜브 광고"/>
    <m/>
    <m/>
    <m/>
    <m/>
    <m/>
    <m/>
    <n v="711620"/>
    <m/>
    <m/>
    <m/>
    <m/>
    <m/>
  </r>
  <r>
    <x v="237"/>
    <s v="토"/>
    <s v="유튜브 광고"/>
    <m/>
    <m/>
    <m/>
    <m/>
    <m/>
    <m/>
    <n v="1040116"/>
    <m/>
    <m/>
    <m/>
    <m/>
    <m/>
  </r>
  <r>
    <x v="238"/>
    <s v="일"/>
    <s v="유튜브 광고"/>
    <m/>
    <m/>
    <m/>
    <m/>
    <m/>
    <m/>
    <n v="1039757"/>
    <m/>
    <m/>
    <m/>
    <m/>
    <m/>
  </r>
  <r>
    <x v="239"/>
    <s v="월"/>
    <s v="유튜브 광고"/>
    <m/>
    <m/>
    <m/>
    <m/>
    <m/>
    <m/>
    <n v="995070"/>
    <m/>
    <m/>
    <m/>
    <m/>
    <m/>
  </r>
  <r>
    <x v="240"/>
    <s v="화"/>
    <s v="유튜브 광고"/>
    <m/>
    <m/>
    <m/>
    <m/>
    <m/>
    <m/>
    <n v="1184823"/>
    <m/>
    <m/>
    <m/>
    <m/>
    <m/>
  </r>
  <r>
    <x v="241"/>
    <s v="수"/>
    <s v="유튜브 광고"/>
    <m/>
    <m/>
    <m/>
    <m/>
    <m/>
    <m/>
    <n v="1124987"/>
    <m/>
    <m/>
    <m/>
    <m/>
    <m/>
  </r>
  <r>
    <x v="242"/>
    <s v="목"/>
    <s v="유튜브 광고"/>
    <m/>
    <m/>
    <m/>
    <m/>
    <m/>
    <m/>
    <n v="998487"/>
    <m/>
    <m/>
    <m/>
    <m/>
    <m/>
  </r>
  <r>
    <x v="243"/>
    <s v="금"/>
    <s v="유튜브 광고"/>
    <m/>
    <m/>
    <m/>
    <m/>
    <m/>
    <m/>
    <n v="1090925"/>
    <m/>
    <m/>
    <m/>
    <m/>
    <m/>
  </r>
  <r>
    <x v="244"/>
    <s v="토"/>
    <s v="유튜브 광고"/>
    <m/>
    <m/>
    <m/>
    <m/>
    <m/>
    <m/>
    <n v="2721234"/>
    <m/>
    <m/>
    <m/>
    <m/>
    <m/>
  </r>
  <r>
    <x v="245"/>
    <s v="일"/>
    <s v="유튜브 광고"/>
    <m/>
    <m/>
    <m/>
    <m/>
    <m/>
    <m/>
    <n v="2278917"/>
    <m/>
    <m/>
    <m/>
    <m/>
    <m/>
  </r>
  <r>
    <x v="246"/>
    <s v="월"/>
    <s v="유튜브 광고"/>
    <m/>
    <m/>
    <m/>
    <m/>
    <m/>
    <m/>
    <n v="1545447"/>
    <m/>
    <m/>
    <m/>
    <m/>
    <m/>
  </r>
  <r>
    <x v="247"/>
    <s v="화"/>
    <s v="유튜브 광고"/>
    <m/>
    <m/>
    <m/>
    <m/>
    <m/>
    <m/>
    <n v="1490986"/>
    <m/>
    <m/>
    <m/>
    <m/>
    <m/>
  </r>
  <r>
    <x v="248"/>
    <s v="수"/>
    <s v="유튜브 광고"/>
    <m/>
    <m/>
    <m/>
    <m/>
    <m/>
    <m/>
    <n v="1554382"/>
    <m/>
    <m/>
    <m/>
    <m/>
    <m/>
  </r>
  <r>
    <x v="249"/>
    <s v="목"/>
    <s v="유튜브 광고"/>
    <m/>
    <m/>
    <m/>
    <m/>
    <m/>
    <m/>
    <n v="1611620"/>
    <m/>
    <m/>
    <m/>
    <m/>
    <m/>
  </r>
  <r>
    <x v="250"/>
    <s v="금"/>
    <s v="유튜브 광고"/>
    <m/>
    <m/>
    <m/>
    <m/>
    <m/>
    <m/>
    <n v="1517415"/>
    <m/>
    <m/>
    <m/>
    <m/>
    <m/>
  </r>
  <r>
    <x v="251"/>
    <s v="토"/>
    <s v="유튜브 광고"/>
    <m/>
    <m/>
    <m/>
    <m/>
    <m/>
    <m/>
    <n v="2105413"/>
    <m/>
    <m/>
    <m/>
    <m/>
    <m/>
  </r>
  <r>
    <x v="252"/>
    <s v="일"/>
    <s v="유튜브 광고"/>
    <m/>
    <m/>
    <m/>
    <m/>
    <m/>
    <m/>
    <n v="2267119"/>
    <m/>
    <m/>
    <m/>
    <m/>
    <m/>
  </r>
  <r>
    <x v="253"/>
    <s v="월"/>
    <s v="유튜브 광고"/>
    <m/>
    <m/>
    <m/>
    <m/>
    <m/>
    <m/>
    <n v="1839049"/>
    <m/>
    <m/>
    <m/>
    <m/>
    <m/>
  </r>
  <r>
    <x v="254"/>
    <s v="화"/>
    <s v="유튜브 광고"/>
    <m/>
    <m/>
    <m/>
    <m/>
    <m/>
    <m/>
    <n v="2112342"/>
    <m/>
    <m/>
    <m/>
    <m/>
    <m/>
  </r>
  <r>
    <x v="255"/>
    <s v="수"/>
    <s v="유튜브 광고"/>
    <m/>
    <m/>
    <m/>
    <m/>
    <m/>
    <m/>
    <n v="2251847"/>
    <m/>
    <m/>
    <m/>
    <m/>
    <m/>
  </r>
  <r>
    <x v="256"/>
    <s v="목"/>
    <s v="유튜브 광고"/>
    <m/>
    <m/>
    <m/>
    <m/>
    <m/>
    <m/>
    <n v="2137117"/>
    <m/>
    <m/>
    <m/>
    <m/>
    <m/>
  </r>
  <r>
    <x v="257"/>
    <s v="금"/>
    <s v="유튜브 광고"/>
    <m/>
    <m/>
    <m/>
    <m/>
    <m/>
    <m/>
    <n v="1917100"/>
    <m/>
    <m/>
    <m/>
    <m/>
    <m/>
  </r>
  <r>
    <x v="258"/>
    <s v="토"/>
    <s v="유튜브 광고"/>
    <m/>
    <m/>
    <m/>
    <m/>
    <m/>
    <m/>
    <n v="1957793"/>
    <m/>
    <m/>
    <m/>
    <m/>
    <m/>
  </r>
  <r>
    <x v="259"/>
    <s v="일"/>
    <s v="유튜브 광고"/>
    <m/>
    <m/>
    <m/>
    <m/>
    <m/>
    <m/>
    <n v="2237102"/>
    <m/>
    <m/>
    <m/>
    <m/>
    <m/>
  </r>
  <r>
    <x v="260"/>
    <s v="월"/>
    <s v="유튜브 광고"/>
    <m/>
    <m/>
    <m/>
    <m/>
    <m/>
    <m/>
    <n v="2052221"/>
    <m/>
    <m/>
    <m/>
    <m/>
    <m/>
  </r>
  <r>
    <x v="261"/>
    <s v="화"/>
    <s v="유튜브 광고"/>
    <m/>
    <m/>
    <m/>
    <m/>
    <m/>
    <m/>
    <n v="2208020"/>
    <m/>
    <m/>
    <m/>
    <m/>
    <m/>
  </r>
  <r>
    <x v="262"/>
    <m/>
    <m/>
    <m/>
    <m/>
    <m/>
    <m/>
    <m/>
    <m/>
    <m/>
    <m/>
    <m/>
    <m/>
    <m/>
    <m/>
  </r>
  <r>
    <x v="262"/>
    <m/>
    <m/>
    <m/>
    <m/>
    <m/>
    <m/>
    <m/>
    <m/>
    <m/>
    <m/>
    <m/>
    <m/>
    <m/>
    <m/>
  </r>
  <r>
    <x v="262"/>
    <m/>
    <m/>
    <m/>
    <m/>
    <m/>
    <m/>
    <m/>
    <m/>
    <m/>
    <m/>
    <m/>
    <m/>
    <m/>
    <m/>
  </r>
  <r>
    <x v="262"/>
    <m/>
    <m/>
    <m/>
    <m/>
    <m/>
    <m/>
    <m/>
    <m/>
    <m/>
    <m/>
    <m/>
    <m/>
    <m/>
    <m/>
  </r>
  <r>
    <x v="262"/>
    <m/>
    <m/>
    <m/>
    <m/>
    <m/>
    <m/>
    <m/>
    <m/>
    <m/>
    <m/>
    <m/>
    <m/>
    <m/>
    <m/>
  </r>
  <r>
    <x v="262"/>
    <m/>
    <m/>
    <m/>
    <m/>
    <m/>
    <m/>
    <m/>
    <m/>
    <m/>
    <m/>
    <m/>
    <m/>
    <m/>
    <m/>
  </r>
  <r>
    <x v="262"/>
    <m/>
    <m/>
    <m/>
    <m/>
    <m/>
    <m/>
    <m/>
    <m/>
    <m/>
    <m/>
    <m/>
    <m/>
    <m/>
    <m/>
  </r>
  <r>
    <x v="262"/>
    <m/>
    <m/>
    <m/>
    <m/>
    <m/>
    <m/>
    <m/>
    <m/>
    <m/>
    <m/>
    <m/>
    <m/>
    <m/>
    <m/>
  </r>
  <r>
    <x v="262"/>
    <m/>
    <m/>
    <m/>
    <m/>
    <m/>
    <m/>
    <m/>
    <m/>
    <m/>
    <m/>
    <m/>
    <m/>
    <m/>
    <m/>
  </r>
  <r>
    <x v="262"/>
    <m/>
    <m/>
    <m/>
    <m/>
    <m/>
    <m/>
    <m/>
    <m/>
    <m/>
    <m/>
    <m/>
    <m/>
    <m/>
    <m/>
  </r>
  <r>
    <x v="262"/>
    <m/>
    <m/>
    <m/>
    <m/>
    <m/>
    <m/>
    <m/>
    <m/>
    <m/>
    <m/>
    <m/>
    <m/>
    <m/>
    <m/>
  </r>
  <r>
    <x v="262"/>
    <m/>
    <m/>
    <m/>
    <m/>
    <m/>
    <m/>
    <m/>
    <m/>
    <m/>
    <m/>
    <m/>
    <m/>
    <m/>
    <m/>
  </r>
  <r>
    <x v="262"/>
    <m/>
    <m/>
    <m/>
    <m/>
    <m/>
    <m/>
    <m/>
    <m/>
    <m/>
    <m/>
    <m/>
    <m/>
    <m/>
    <m/>
  </r>
  <r>
    <x v="262"/>
    <m/>
    <m/>
    <m/>
    <m/>
    <m/>
    <m/>
    <m/>
    <m/>
    <m/>
    <m/>
    <m/>
    <m/>
    <m/>
    <m/>
  </r>
  <r>
    <x v="262"/>
    <m/>
    <m/>
    <m/>
    <m/>
    <m/>
    <m/>
    <m/>
    <m/>
    <m/>
    <m/>
    <m/>
    <m/>
    <m/>
    <m/>
  </r>
  <r>
    <x v="0"/>
    <s v="금"/>
    <m/>
    <s v="카페24"/>
    <m/>
    <n v="2"/>
    <s v="고체향수"/>
    <s v="이그나이트"/>
    <n v="200520"/>
    <m/>
    <n v="76000"/>
    <n v="71554"/>
    <n v="5776"/>
    <n v="69090.90909090909"/>
    <s v="카페24고체향수이그나이트200520"/>
  </r>
  <r>
    <x v="1"/>
    <s v="토"/>
    <m/>
    <s v="카페24"/>
    <m/>
    <n v="1"/>
    <s v="고체향수"/>
    <s v="스테이포에버"/>
    <n v="200520"/>
    <m/>
    <n v="38000"/>
    <n v="35777"/>
    <n v="2783"/>
    <n v="34545.45454545454"/>
    <s v="카페24고체향수스테이포에버200520"/>
  </r>
  <r>
    <x v="2"/>
    <s v="화"/>
    <m/>
    <s v="카페24"/>
    <m/>
    <n v="1"/>
    <s v="고체향수"/>
    <s v="이그나이트"/>
    <n v="200520"/>
    <m/>
    <n v="38000"/>
    <n v="35777"/>
    <n v="2888"/>
    <n v="34545.45454545454"/>
    <s v="카페24고체향수이그나이트200520"/>
  </r>
  <r>
    <x v="2"/>
    <s v="화"/>
    <m/>
    <s v="카페24"/>
    <m/>
    <n v="4"/>
    <s v="고체향수"/>
    <s v="스테이포에버"/>
    <n v="200520"/>
    <m/>
    <n v="152000"/>
    <n v="143108"/>
    <n v="11132"/>
    <n v="138181.8181818182"/>
    <s v="카페24고체향수스테이포에버200520"/>
  </r>
  <r>
    <x v="2"/>
    <s v="화"/>
    <m/>
    <s v="카페24"/>
    <m/>
    <n v="1"/>
    <s v="고체향수"/>
    <s v="이그나이트 + 스테이포에버"/>
    <n v="200520"/>
    <m/>
    <n v="69000"/>
    <n v="64963.5"/>
    <n v="5671"/>
    <n v="62727.27272727272"/>
    <s v="카페24고체향수이그나이트 + 스테이포에버200520"/>
  </r>
  <r>
    <x v="3"/>
    <s v="수"/>
    <m/>
    <s v="카페24"/>
    <m/>
    <n v="2"/>
    <s v="고체향수"/>
    <s v="이그나이트 + 스테이포에버"/>
    <n v="200520"/>
    <m/>
    <n v="138000"/>
    <n v="129927"/>
    <n v="11342"/>
    <n v="125454.5454545454"/>
    <s v="카페24고체향수이그나이트 + 스테이포에버200520"/>
  </r>
  <r>
    <x v="3"/>
    <s v="수"/>
    <m/>
    <s v="카페24"/>
    <m/>
    <n v="2"/>
    <s v="고체향수"/>
    <s v="이그나이트"/>
    <n v="200520"/>
    <m/>
    <n v="76000"/>
    <n v="71554"/>
    <n v="5776"/>
    <n v="69090.90909090909"/>
    <s v="카페24고체향수이그나이트200520"/>
  </r>
  <r>
    <x v="3"/>
    <s v="수"/>
    <m/>
    <s v="카페24"/>
    <m/>
    <n v="7"/>
    <s v="고체향수"/>
    <s v="스테이포에버"/>
    <n v="200520"/>
    <m/>
    <n v="266000"/>
    <n v="250439"/>
    <n v="19481"/>
    <n v="241818.1818181818"/>
    <s v="카페24고체향수스테이포에버200520"/>
  </r>
  <r>
    <x v="4"/>
    <s v="목"/>
    <m/>
    <s v="카페24"/>
    <m/>
    <n v="1"/>
    <s v="고체향수"/>
    <s v="이그나이트"/>
    <n v="200520"/>
    <m/>
    <n v="38000"/>
    <n v="35777"/>
    <n v="2888"/>
    <n v="34545.45454545454"/>
    <s v="카페24고체향수이그나이트200520"/>
  </r>
  <r>
    <x v="4"/>
    <s v="목"/>
    <m/>
    <s v="카페24"/>
    <m/>
    <n v="5"/>
    <s v="고체향수"/>
    <s v="스테이포에버"/>
    <n v="200520"/>
    <m/>
    <n v="190000"/>
    <n v="178885"/>
    <n v="13915"/>
    <n v="172727.2727272727"/>
    <s v="카페24고체향수스테이포에버200520"/>
  </r>
  <r>
    <x v="5"/>
    <s v="금"/>
    <m/>
    <s v="카페24"/>
    <m/>
    <n v="1"/>
    <s v="고체향수"/>
    <s v="이그나이트 + 스테이포에버"/>
    <n v="200520"/>
    <m/>
    <n v="69000"/>
    <n v="64963.5"/>
    <n v="5671"/>
    <n v="62727.27272727272"/>
    <s v="카페24고체향수이그나이트 + 스테이포에버200520"/>
  </r>
  <r>
    <x v="5"/>
    <s v="금"/>
    <m/>
    <s v="카페24"/>
    <m/>
    <n v="1"/>
    <s v="고체향수"/>
    <s v="스테이포에버"/>
    <n v="200520"/>
    <m/>
    <n v="38000"/>
    <n v="35777"/>
    <n v="2783"/>
    <n v="34545.45454545454"/>
    <s v="카페24고체향수스테이포에버200520"/>
  </r>
  <r>
    <x v="6"/>
    <s v="토"/>
    <m/>
    <s v="카페24"/>
    <m/>
    <n v="1"/>
    <s v="고체향수"/>
    <s v="이그나이트"/>
    <n v="200520"/>
    <m/>
    <n v="38000"/>
    <n v="35777"/>
    <n v="2888"/>
    <n v="34545.45454545454"/>
    <s v="카페24고체향수이그나이트200520"/>
  </r>
  <r>
    <x v="6"/>
    <s v="토"/>
    <m/>
    <s v="카페24"/>
    <m/>
    <n v="4"/>
    <s v="고체향수"/>
    <s v="스테이포에버"/>
    <n v="200520"/>
    <m/>
    <n v="152000"/>
    <n v="143108"/>
    <n v="11132"/>
    <n v="138181.8181818182"/>
    <s v="카페24고체향수스테이포에버200520"/>
  </r>
  <r>
    <x v="7"/>
    <s v="일"/>
    <m/>
    <s v="카페24"/>
    <m/>
    <n v="1"/>
    <s v="고체향수"/>
    <s v="이그나이트 + 스테이포에버"/>
    <n v="200520"/>
    <m/>
    <n v="69000"/>
    <n v="64963.5"/>
    <n v="5671"/>
    <n v="62727.27272727272"/>
    <s v="카페24고체향수이그나이트 + 스테이포에버200520"/>
  </r>
  <r>
    <x v="7"/>
    <s v="일"/>
    <m/>
    <s v="카페24"/>
    <m/>
    <n v="2"/>
    <s v="고체향수"/>
    <s v="이그나이트"/>
    <n v="200520"/>
    <m/>
    <n v="76000"/>
    <n v="71554"/>
    <n v="5776"/>
    <n v="69090.90909090909"/>
    <s v="카페24고체향수이그나이트200520"/>
  </r>
  <r>
    <x v="7"/>
    <s v="일"/>
    <m/>
    <s v="카페24"/>
    <m/>
    <n v="1"/>
    <s v="고체향수"/>
    <s v="스테이포에버"/>
    <n v="200520"/>
    <m/>
    <n v="38000"/>
    <n v="35777"/>
    <n v="2783"/>
    <n v="34545.45454545454"/>
    <s v="카페24고체향수스테이포에버200520"/>
  </r>
  <r>
    <x v="8"/>
    <s v="월"/>
    <m/>
    <s v="카페24"/>
    <m/>
    <n v="2"/>
    <s v="고체향수"/>
    <s v="스테이포에버"/>
    <n v="200520"/>
    <m/>
    <n v="76000"/>
    <n v="71554"/>
    <n v="5566"/>
    <n v="69090.90909090909"/>
    <s v="카페24고체향수스테이포에버200520"/>
  </r>
  <r>
    <x v="9"/>
    <s v="화"/>
    <m/>
    <s v="카페24"/>
    <m/>
    <n v="1"/>
    <s v="고체향수"/>
    <s v="이그나이트 + 스테이포에버"/>
    <n v="200520"/>
    <m/>
    <n v="69000"/>
    <n v="64963.5"/>
    <n v="5671"/>
    <n v="62727.27272727272"/>
    <s v="카페24고체향수이그나이트 + 스테이포에버200520"/>
  </r>
  <r>
    <x v="9"/>
    <s v="화"/>
    <m/>
    <s v="카페24"/>
    <m/>
    <n v="2"/>
    <s v="고체향수"/>
    <s v="스테이포에버"/>
    <n v="200520"/>
    <m/>
    <n v="76000"/>
    <n v="71554"/>
    <n v="5566"/>
    <n v="69090.90909090909"/>
    <s v="카페24고체향수스테이포에버200520"/>
  </r>
  <r>
    <x v="9"/>
    <s v="화"/>
    <m/>
    <s v="카페24"/>
    <m/>
    <n v="1"/>
    <s v="쇼핑백"/>
    <s v="유즈쇼핑백"/>
    <n v="200520"/>
    <m/>
    <n v="2000"/>
    <n v="1883"/>
    <n v="1210"/>
    <n v="1818.181818181818"/>
    <s v="카페24쇼핑백유즈쇼핑백200520"/>
  </r>
  <r>
    <x v="10"/>
    <s v="수"/>
    <m/>
    <s v="유즈 CS"/>
    <m/>
    <n v="1"/>
    <s v="고체향수"/>
    <s v="이그나이트 + 스테이포에버"/>
    <n v="200520"/>
    <m/>
    <n v="0"/>
    <n v="0"/>
    <n v="5671"/>
    <n v="0"/>
    <s v="유즈 CS고체향수이그나이트 + 스테이포에버200520"/>
  </r>
  <r>
    <x v="10"/>
    <s v="수"/>
    <m/>
    <s v="카페24"/>
    <m/>
    <n v="2"/>
    <s v="고체향수"/>
    <s v="스테이포에버"/>
    <n v="200520"/>
    <m/>
    <n v="76000"/>
    <n v="71554"/>
    <n v="5566"/>
    <n v="69090.90909090909"/>
    <s v="카페24고체향수스테이포에버200520"/>
  </r>
  <r>
    <x v="10"/>
    <s v="수"/>
    <m/>
    <s v="카페24"/>
    <m/>
    <n v="1"/>
    <s v="고체향수"/>
    <s v="이그나이트"/>
    <n v="200520"/>
    <m/>
    <n v="38000"/>
    <n v="35777"/>
    <n v="2888"/>
    <n v="34545.45454545454"/>
    <s v="카페24고체향수이그나이트200520"/>
  </r>
  <r>
    <x v="11"/>
    <s v="목"/>
    <m/>
    <s v="카페24"/>
    <m/>
    <n v="1"/>
    <s v="고체향수"/>
    <s v="이그나이트 + 스테이포에버"/>
    <n v="200520"/>
    <m/>
    <n v="69000"/>
    <n v="64963.5"/>
    <n v="5671"/>
    <n v="62727.27272727272"/>
    <s v="카페24고체향수이그나이트 + 스테이포에버200520"/>
  </r>
  <r>
    <x v="11"/>
    <s v="목"/>
    <m/>
    <s v="카페24"/>
    <m/>
    <n v="25"/>
    <s v="고체향수"/>
    <s v="스테이포에버"/>
    <n v="200520"/>
    <m/>
    <n v="950000"/>
    <n v="894425"/>
    <n v="69575"/>
    <n v="863636.3636363635"/>
    <s v="카페24고체향수스테이포에버200520"/>
  </r>
  <r>
    <x v="12"/>
    <s v="금"/>
    <m/>
    <s v="카페24"/>
    <m/>
    <n v="12"/>
    <s v="고체향수"/>
    <s v="스테이포에버"/>
    <n v="200520"/>
    <m/>
    <n v="456000"/>
    <n v="429324"/>
    <n v="33396"/>
    <n v="414545.4545454545"/>
    <s v="카페24고체향수스테이포에버200520"/>
  </r>
  <r>
    <x v="12"/>
    <s v="금"/>
    <m/>
    <s v="유즈 CS"/>
    <m/>
    <n v="12"/>
    <s v="고체향수"/>
    <s v="스테이포에버"/>
    <n v="200520"/>
    <m/>
    <n v="0"/>
    <n v="0"/>
    <n v="33396"/>
    <n v="0"/>
    <s v="유즈 CS고체향수스테이포에버200520"/>
  </r>
  <r>
    <x v="12"/>
    <s v="금"/>
    <m/>
    <s v="유즈 CS"/>
    <m/>
    <n v="11"/>
    <s v="고체향수"/>
    <s v="이그나이트"/>
    <n v="200520"/>
    <m/>
    <n v="0"/>
    <n v="0"/>
    <n v="31768"/>
    <n v="0"/>
    <s v="유즈 CS고체향수이그나이트200520"/>
  </r>
  <r>
    <x v="12"/>
    <s v="금"/>
    <m/>
    <s v="유즈 CS"/>
    <m/>
    <n v="1"/>
    <s v="쇼핑백"/>
    <s v="유즈쇼핑백"/>
    <n v="200520"/>
    <m/>
    <n v="0"/>
    <n v="0"/>
    <n v="1210"/>
    <n v="0"/>
    <s v="유즈 CS쇼핑백유즈쇼핑백200520"/>
  </r>
  <r>
    <x v="13"/>
    <s v="토"/>
    <m/>
    <s v="카페24"/>
    <m/>
    <n v="1"/>
    <s v="고체향수"/>
    <s v="이그나이트 + 스테이포에버"/>
    <n v="200520"/>
    <m/>
    <n v="69000"/>
    <n v="64963.5"/>
    <n v="5671"/>
    <n v="62727.27272727272"/>
    <s v="카페24고체향수이그나이트 + 스테이포에버200520"/>
  </r>
  <r>
    <x v="13"/>
    <s v="토"/>
    <m/>
    <s v="카페24"/>
    <m/>
    <n v="9"/>
    <s v="고체향수"/>
    <s v="스테이포에버"/>
    <n v="200520"/>
    <m/>
    <n v="342000"/>
    <n v="321993"/>
    <n v="25047"/>
    <n v="310909.0909090909"/>
    <s v="카페24고체향수스테이포에버200520"/>
  </r>
  <r>
    <x v="14"/>
    <s v="일"/>
    <m/>
    <s v="카페24"/>
    <m/>
    <n v="12"/>
    <s v="고체향수"/>
    <s v="스테이포에버"/>
    <n v="200520"/>
    <m/>
    <n v="456000"/>
    <n v="429324"/>
    <n v="33396"/>
    <n v="414545.4545454545"/>
    <s v="카페24고체향수스테이포에버200520"/>
  </r>
  <r>
    <x v="14"/>
    <s v="일"/>
    <m/>
    <s v="카페24"/>
    <m/>
    <n v="1"/>
    <s v="고체향수"/>
    <s v="이그나이트"/>
    <n v="200520"/>
    <m/>
    <n v="38000"/>
    <n v="35777"/>
    <n v="2888"/>
    <n v="34545.45454545454"/>
    <s v="카페24고체향수이그나이트200520"/>
  </r>
  <r>
    <x v="15"/>
    <s v="월"/>
    <m/>
    <s v="카페24"/>
    <m/>
    <n v="22"/>
    <s v="고체향수"/>
    <s v="스테이포에버"/>
    <n v="200520"/>
    <m/>
    <n v="836000"/>
    <n v="787094"/>
    <n v="61226"/>
    <n v="759999.9999999999"/>
    <s v="카페24고체향수스테이포에버200520"/>
  </r>
  <r>
    <x v="15"/>
    <s v="월"/>
    <m/>
    <s v="카페24"/>
    <m/>
    <n v="1"/>
    <s v="고체향수"/>
    <s v="이그나이트"/>
    <n v="200520"/>
    <m/>
    <n v="38000"/>
    <n v="35777"/>
    <n v="2888"/>
    <n v="34545.45454545454"/>
    <s v="카페24고체향수이그나이트200520"/>
  </r>
  <r>
    <x v="16"/>
    <s v="화"/>
    <m/>
    <s v="카페24"/>
    <m/>
    <n v="1"/>
    <s v="고체향수"/>
    <s v="이그나이트"/>
    <n v="200520"/>
    <m/>
    <n v="38000"/>
    <n v="35777"/>
    <n v="2888"/>
    <n v="34545.45454545454"/>
    <s v="카페24고체향수이그나이트200520"/>
  </r>
  <r>
    <x v="16"/>
    <s v="화"/>
    <m/>
    <s v="카페24"/>
    <m/>
    <n v="20"/>
    <s v="고체향수"/>
    <s v="스테이포에버"/>
    <n v="200520"/>
    <m/>
    <n v="760000"/>
    <n v="715540"/>
    <n v="55660"/>
    <n v="690909.0909090908"/>
    <s v="카페24고체향수스테이포에버200520"/>
  </r>
  <r>
    <x v="17"/>
    <s v="수"/>
    <m/>
    <s v="카페24"/>
    <m/>
    <n v="1"/>
    <s v="고체향수"/>
    <s v="이그나이트 + 스테이포에버 + 쇼핑백2개"/>
    <n v="200520"/>
    <m/>
    <n v="50000"/>
    <n v="47075"/>
    <n v="8091"/>
    <n v="45454.54545454545"/>
    <s v="카페24고체향수이그나이트 + 스테이포에버 + 쇼핑백2개200520"/>
  </r>
  <r>
    <x v="17"/>
    <s v="수"/>
    <m/>
    <s v="카페24"/>
    <m/>
    <n v="1"/>
    <s v="고체향수"/>
    <s v="이그나이트 + 쇼핑백"/>
    <n v="200520"/>
    <m/>
    <n v="28800"/>
    <n v="27115.2"/>
    <n v="4098"/>
    <n v="26181.81818181818"/>
    <s v="카페24고체향수이그나이트 + 쇼핑백200520"/>
  </r>
  <r>
    <x v="17"/>
    <s v="수"/>
    <m/>
    <s v="카페24"/>
    <m/>
    <n v="24"/>
    <s v="고체향수"/>
    <s v="스테이포에버 + 쇼핑백"/>
    <n v="200520"/>
    <m/>
    <n v="691200"/>
    <n v="650764.8"/>
    <n v="95832"/>
    <n v="628363.6363636364"/>
    <s v="카페24고체향수스테이포에버 + 쇼핑백200520"/>
  </r>
  <r>
    <x v="17"/>
    <s v="수"/>
    <m/>
    <s v="카페24"/>
    <m/>
    <n v="5"/>
    <s v="고체향수"/>
    <s v="스테이포에버"/>
    <n v="200520"/>
    <m/>
    <n v="190000"/>
    <n v="178885"/>
    <n v="13915"/>
    <n v="172727.2727272727"/>
    <s v="카페24고체향수스테이포에버200520"/>
  </r>
  <r>
    <x v="17"/>
    <s v="수"/>
    <m/>
    <s v="유즈 CS"/>
    <m/>
    <n v="31"/>
    <s v="고체향수"/>
    <s v="스테이포에버"/>
    <n v="200520"/>
    <m/>
    <n v="0"/>
    <n v="0"/>
    <n v="86273"/>
    <n v="0"/>
    <s v="유즈 CS고체향수스테이포에버200520"/>
  </r>
  <r>
    <x v="17"/>
    <s v="수"/>
    <m/>
    <s v="유즈 CS"/>
    <m/>
    <n v="31"/>
    <s v="고체향수"/>
    <s v="이그나이트"/>
    <n v="200520"/>
    <m/>
    <n v="0"/>
    <n v="0"/>
    <n v="89528"/>
    <n v="0"/>
    <s v="유즈 CS고체향수이그나이트200520"/>
  </r>
  <r>
    <x v="17"/>
    <s v="수"/>
    <m/>
    <s v="유즈 CS"/>
    <m/>
    <n v="1"/>
    <s v="쇼핑백"/>
    <s v="유즈쇼핑백"/>
    <n v="200520"/>
    <m/>
    <n v="0"/>
    <n v="0"/>
    <n v="1210"/>
    <n v="0"/>
    <s v="유즈 CS쇼핑백유즈쇼핑백200520"/>
  </r>
  <r>
    <x v="18"/>
    <s v="목"/>
    <m/>
    <s v="카페24"/>
    <m/>
    <n v="1"/>
    <s v="고체향수"/>
    <s v="이그나이트 + 스테이포에버 + 쇼핑백2개"/>
    <n v="200520"/>
    <m/>
    <n v="50000"/>
    <n v="47075"/>
    <n v="8091"/>
    <n v="45454.54545454545"/>
    <s v="카페24고체향수이그나이트 + 스테이포에버 + 쇼핑백2개200520"/>
  </r>
  <r>
    <x v="18"/>
    <s v="목"/>
    <m/>
    <s v="카페24"/>
    <m/>
    <n v="19"/>
    <s v="고체향수"/>
    <s v="스테이포에버 + 쇼핑백"/>
    <n v="200520"/>
    <m/>
    <n v="547200"/>
    <n v="515188.8"/>
    <n v="75867"/>
    <n v="497454.5454545454"/>
    <s v="카페24고체향수스테이포에버 + 쇼핑백200520"/>
  </r>
  <r>
    <x v="18"/>
    <s v="목"/>
    <m/>
    <s v="유즈 CS"/>
    <m/>
    <n v="1"/>
    <s v="고체향수"/>
    <s v="스테이포에버"/>
    <n v="200520"/>
    <m/>
    <n v="0"/>
    <n v="0"/>
    <n v="2783"/>
    <n v="0"/>
    <s v="유즈 CS고체향수스테이포에버200520"/>
  </r>
  <r>
    <x v="18"/>
    <s v="목"/>
    <m/>
    <s v="유즈 CS"/>
    <m/>
    <n v="1"/>
    <s v="고체향수"/>
    <s v="이그나이트"/>
    <n v="200520"/>
    <m/>
    <n v="0"/>
    <n v="0"/>
    <n v="2888"/>
    <n v="0"/>
    <s v="유즈 CS고체향수이그나이트200520"/>
  </r>
  <r>
    <x v="19"/>
    <s v="금"/>
    <m/>
    <s v="카페24"/>
    <m/>
    <n v="3"/>
    <s v="고체향수"/>
    <s v="스테이포에버 + 쇼핑백"/>
    <n v="200520"/>
    <m/>
    <n v="86400"/>
    <n v="81345.60000000001"/>
    <n v="11979"/>
    <n v="78545.45454545454"/>
    <s v="카페24고체향수스테이포에버 + 쇼핑백200520"/>
  </r>
  <r>
    <x v="19"/>
    <s v="금"/>
    <m/>
    <s v="카페24"/>
    <m/>
    <n v="14"/>
    <s v="고체향수"/>
    <s v="스테이포에버 + 쇼핑백"/>
    <n v="200520"/>
    <m/>
    <n v="403200"/>
    <n v="379612.8"/>
    <n v="55902"/>
    <n v="366545.4545454545"/>
    <s v="카페24고체향수스테이포에버 + 쇼핑백200520"/>
  </r>
  <r>
    <x v="20"/>
    <s v="토"/>
    <m/>
    <s v="카페24"/>
    <m/>
    <n v="1"/>
    <s v="고체향수"/>
    <s v="이그나이트 + 스테이포에버 + 쇼핑백2개"/>
    <n v="200520"/>
    <m/>
    <n v="50000"/>
    <n v="47075"/>
    <n v="8091"/>
    <n v="45454.54545454545"/>
    <s v="카페24고체향수이그나이트 + 스테이포에버 + 쇼핑백2개200520"/>
  </r>
  <r>
    <x v="20"/>
    <s v="토"/>
    <m/>
    <s v="카페24"/>
    <m/>
    <n v="1"/>
    <s v="고체향수"/>
    <s v="스테이포에버 + 쇼핑백"/>
    <n v="200520"/>
    <m/>
    <n v="28800"/>
    <n v="27115.2"/>
    <n v="3993"/>
    <n v="26181.81818181818"/>
    <s v="카페24고체향수스테이포에버 + 쇼핑백200520"/>
  </r>
  <r>
    <x v="20"/>
    <s v="토"/>
    <m/>
    <s v="카페24"/>
    <m/>
    <n v="32"/>
    <s v="고체향수"/>
    <s v="스테이포에버 + 쇼핑백"/>
    <n v="200520"/>
    <m/>
    <n v="921600"/>
    <n v="867686.4"/>
    <n v="127776"/>
    <n v="837818.1818181818"/>
    <s v="카페24고체향수스테이포에버 + 쇼핑백200520"/>
  </r>
  <r>
    <x v="20"/>
    <s v="토"/>
    <m/>
    <s v="카페24"/>
    <m/>
    <n v="3"/>
    <s v="고체향수"/>
    <s v="이그나이트 + 쇼핑백"/>
    <n v="200520"/>
    <m/>
    <n v="86400"/>
    <n v="81345.60000000001"/>
    <n v="12294"/>
    <n v="78545.45454545454"/>
    <s v="카페24고체향수이그나이트 + 쇼핑백200520"/>
  </r>
  <r>
    <x v="21"/>
    <s v="일"/>
    <m/>
    <s v="카페24"/>
    <m/>
    <n v="1"/>
    <s v="고체향수"/>
    <s v="이그나이트 + 스테이포에버 + 쇼핑백2개"/>
    <n v="200520"/>
    <m/>
    <n v="50000"/>
    <n v="47075"/>
    <n v="8091"/>
    <n v="45454.54545454545"/>
    <s v="카페24고체향수이그나이트 + 스테이포에버 + 쇼핑백2개200520"/>
  </r>
  <r>
    <x v="21"/>
    <s v="일"/>
    <m/>
    <s v="카페24"/>
    <m/>
    <n v="25"/>
    <s v="고체향수"/>
    <s v="스테이포에버 + 쇼핑백"/>
    <n v="200520"/>
    <m/>
    <n v="720000"/>
    <n v="677880"/>
    <n v="99825"/>
    <n v="654545.4545454545"/>
    <s v="카페24고체향수스테이포에버 + 쇼핑백200520"/>
  </r>
  <r>
    <x v="22"/>
    <s v="월"/>
    <m/>
    <s v="카페24"/>
    <m/>
    <n v="1"/>
    <s v="고체향수"/>
    <s v="이그나이트 + 스테이포에버 + 쇼핑백2개"/>
    <n v="200520"/>
    <m/>
    <n v="50000"/>
    <n v="47075"/>
    <n v="8091"/>
    <n v="45454.54545454545"/>
    <s v="카페24고체향수이그나이트 + 스테이포에버 + 쇼핑백2개200520"/>
  </r>
  <r>
    <x v="22"/>
    <s v="월"/>
    <m/>
    <s v="카페24"/>
    <m/>
    <n v="24"/>
    <s v="고체향수"/>
    <s v="스테이포에버 + 쇼핑백"/>
    <n v="200520"/>
    <m/>
    <n v="691200"/>
    <n v="650764.8"/>
    <n v="95832"/>
    <n v="628363.6363636364"/>
    <s v="카페24고체향수스테이포에버 + 쇼핑백200520"/>
  </r>
  <r>
    <x v="22"/>
    <s v="월"/>
    <m/>
    <s v="유즈 CS"/>
    <m/>
    <n v="1"/>
    <s v="고체향수"/>
    <s v="이그나이트"/>
    <n v="200520"/>
    <m/>
    <n v="0"/>
    <n v="0"/>
    <n v="2888"/>
    <n v="0"/>
    <s v="유즈 CS고체향수이그나이트200520"/>
  </r>
  <r>
    <x v="22"/>
    <s v="월"/>
    <m/>
    <s v="유즈 CS"/>
    <m/>
    <n v="1"/>
    <s v="고체향수"/>
    <s v="스테이포에버"/>
    <n v="200520"/>
    <m/>
    <n v="0"/>
    <n v="0"/>
    <n v="2783"/>
    <n v="0"/>
    <s v="유즈 CS고체향수스테이포에버200520"/>
  </r>
  <r>
    <x v="23"/>
    <s v="화"/>
    <m/>
    <s v="카페24"/>
    <m/>
    <n v="1"/>
    <s v="고체향수"/>
    <s v="이그나이트 + 스테이포에버 + 쇼핑백2개"/>
    <n v="200520"/>
    <m/>
    <n v="50000"/>
    <n v="47075"/>
    <n v="8091"/>
    <n v="45454.54545454545"/>
    <s v="카페24고체향수이그나이트 + 스테이포에버 + 쇼핑백2개200520"/>
  </r>
  <r>
    <x v="23"/>
    <s v="화"/>
    <m/>
    <s v="카페24"/>
    <m/>
    <n v="23"/>
    <s v="고체향수"/>
    <s v="스테이포에버 + 쇼핑백"/>
    <n v="200520"/>
    <m/>
    <n v="662400"/>
    <n v="623649.6"/>
    <n v="91839"/>
    <n v="602181.8181818181"/>
    <s v="카페24고체향수스테이포에버 + 쇼핑백200520"/>
  </r>
  <r>
    <x v="24"/>
    <s v="수"/>
    <m/>
    <s v="카페24"/>
    <m/>
    <n v="3"/>
    <s v="고체향수"/>
    <s v="이그나이트 + 스테이포에버 + 쇼핑백2개"/>
    <n v="200520"/>
    <m/>
    <n v="150000"/>
    <n v="141225"/>
    <n v="24273"/>
    <n v="136363.6363636364"/>
    <s v="카페24고체향수이그나이트 + 스테이포에버 + 쇼핑백2개200520"/>
  </r>
  <r>
    <x v="24"/>
    <s v="수"/>
    <m/>
    <s v="카페24"/>
    <m/>
    <n v="24"/>
    <s v="고체향수"/>
    <s v="스테이포에버 + 쇼핑백"/>
    <n v="200520"/>
    <m/>
    <n v="691200"/>
    <n v="650764.8"/>
    <n v="95832"/>
    <n v="628363.6363636364"/>
    <s v="카페24고체향수스테이포에버 + 쇼핑백200520"/>
  </r>
  <r>
    <x v="24"/>
    <s v="수"/>
    <m/>
    <s v="카페24"/>
    <m/>
    <n v="3"/>
    <s v="고체향수"/>
    <s v="이그나이트 + 쇼핑백"/>
    <n v="200520"/>
    <m/>
    <n v="86400"/>
    <n v="81345.60000000001"/>
    <n v="12294"/>
    <n v="78545.45454545454"/>
    <s v="카페24고체향수이그나이트 + 쇼핑백200520"/>
  </r>
  <r>
    <x v="25"/>
    <s v="목"/>
    <m/>
    <s v="카페24"/>
    <m/>
    <n v="41"/>
    <s v="고체향수"/>
    <s v="스테이포에버 + 쇼핑백"/>
    <n v="200520"/>
    <m/>
    <n v="1180800"/>
    <n v="1111723.2"/>
    <n v="163713"/>
    <n v="1073454.545454545"/>
    <s v="카페24고체향수스테이포에버 + 쇼핑백200520"/>
  </r>
  <r>
    <x v="25"/>
    <s v="목"/>
    <m/>
    <s v="카페24"/>
    <m/>
    <n v="21"/>
    <s v="고체향수"/>
    <s v="이그나이트 + 쇼핑백"/>
    <n v="200520"/>
    <m/>
    <n v="604800"/>
    <n v="569419.2"/>
    <n v="86058"/>
    <n v="549818.1818181818"/>
    <s v="카페24고체향수이그나이트 + 쇼핑백200520"/>
  </r>
  <r>
    <x v="26"/>
    <s v="금"/>
    <m/>
    <s v="카페24"/>
    <m/>
    <n v="1"/>
    <s v="고체향수"/>
    <s v="이그나이트 + 스테이포에버 + 쇼핑백2개"/>
    <n v="200520"/>
    <m/>
    <n v="50000"/>
    <n v="47075"/>
    <n v="8091"/>
    <n v="45454.54545454545"/>
    <s v="카페24고체향수이그나이트 + 스테이포에버 + 쇼핑백2개200520"/>
  </r>
  <r>
    <x v="26"/>
    <s v="금"/>
    <m/>
    <s v="카페24"/>
    <m/>
    <n v="41"/>
    <s v="고체향수"/>
    <s v="스테이포에버 + 쇼핑백"/>
    <n v="200520"/>
    <m/>
    <n v="1180800"/>
    <n v="1111723.2"/>
    <n v="163713"/>
    <n v="1073454.545454545"/>
    <s v="카페24고체향수스테이포에버 + 쇼핑백200520"/>
  </r>
  <r>
    <x v="26"/>
    <s v="금"/>
    <m/>
    <s v="카페24"/>
    <m/>
    <n v="23"/>
    <s v="고체향수"/>
    <s v="이그나이트 + 쇼핑백"/>
    <n v="200520"/>
    <m/>
    <n v="662400"/>
    <n v="623649.6"/>
    <n v="94254"/>
    <n v="602181.8181818181"/>
    <s v="카페24고체향수이그나이트 + 쇼핑백200520"/>
  </r>
  <r>
    <x v="26"/>
    <s v="금"/>
    <m/>
    <s v="유즈 CS"/>
    <m/>
    <n v="1"/>
    <s v="고체향수"/>
    <s v="스테이포에버"/>
    <n v="200520"/>
    <m/>
    <n v="0"/>
    <n v="0"/>
    <n v="2783"/>
    <n v="0"/>
    <s v="유즈 CS고체향수스테이포에버200520"/>
  </r>
  <r>
    <x v="26"/>
    <s v="금"/>
    <m/>
    <s v="유즈 CS"/>
    <m/>
    <n v="1"/>
    <s v="고체향수"/>
    <s v="이그나이트"/>
    <n v="200520"/>
    <m/>
    <n v="0"/>
    <n v="0"/>
    <n v="2888"/>
    <n v="0"/>
    <s v="유즈 CS고체향수이그나이트200520"/>
  </r>
  <r>
    <x v="26"/>
    <s v="금"/>
    <m/>
    <s v="유즈 CS"/>
    <m/>
    <n v="1"/>
    <s v="쇼핑백"/>
    <s v="유즈쇼핑백"/>
    <n v="200520"/>
    <m/>
    <n v="0"/>
    <n v="0"/>
    <n v="1210"/>
    <n v="0"/>
    <s v="유즈 CS쇼핑백유즈쇼핑백200520"/>
  </r>
  <r>
    <x v="27"/>
    <s v="토"/>
    <m/>
    <s v="카페24"/>
    <m/>
    <n v="9"/>
    <s v="고체향수"/>
    <s v="이그나이트 + 스테이포에버 + 쇼핑백2개"/>
    <n v="200520"/>
    <m/>
    <n v="450000"/>
    <n v="423675"/>
    <n v="72819"/>
    <n v="409090.9090909091"/>
    <s v="카페24고체향수이그나이트 + 스테이포에버 + 쇼핑백2개200520"/>
  </r>
  <r>
    <x v="27"/>
    <s v="토"/>
    <m/>
    <s v="카페24"/>
    <m/>
    <n v="26"/>
    <s v="고체향수"/>
    <s v="이그나이트 + 쇼핑백"/>
    <n v="200520"/>
    <m/>
    <n v="748800"/>
    <n v="704995.2"/>
    <n v="106548"/>
    <n v="680727.2727272727"/>
    <s v="카페24고체향수이그나이트 + 쇼핑백200520"/>
  </r>
  <r>
    <x v="27"/>
    <s v="토"/>
    <m/>
    <s v="카페24"/>
    <m/>
    <n v="57"/>
    <s v="고체향수"/>
    <s v="스테이포에버 + 쇼핑백"/>
    <n v="200520"/>
    <m/>
    <n v="1641600"/>
    <n v="1545566.4"/>
    <n v="227601"/>
    <n v="1492363.636363636"/>
    <s v="카페24고체향수스테이포에버 + 쇼핑백200520"/>
  </r>
  <r>
    <x v="28"/>
    <s v="일"/>
    <m/>
    <s v="카페24"/>
    <m/>
    <n v="24"/>
    <s v="고체향수"/>
    <s v="스테이포에버 + 쇼핑백"/>
    <n v="200520"/>
    <m/>
    <n v="691200"/>
    <n v="650764.8"/>
    <n v="95832"/>
    <n v="628363.6363636364"/>
    <s v="카페24고체향수스테이포에버 + 쇼핑백200520"/>
  </r>
  <r>
    <x v="28"/>
    <s v="일"/>
    <m/>
    <s v="카페24"/>
    <m/>
    <n v="1"/>
    <s v="고체향수"/>
    <s v="이그나이트 + 스테이포에버"/>
    <n v="200520"/>
    <m/>
    <n v="69000"/>
    <n v="64963.5"/>
    <n v="5671"/>
    <n v="62727.27272727272"/>
    <s v="카페24고체향수이그나이트 + 스테이포에버200520"/>
  </r>
  <r>
    <x v="28"/>
    <s v="일"/>
    <m/>
    <s v="카페24"/>
    <m/>
    <n v="17"/>
    <s v="고체향수"/>
    <s v="이그나이트"/>
    <n v="200520"/>
    <m/>
    <n v="646000"/>
    <n v="608209"/>
    <n v="49096"/>
    <n v="587272.7272727272"/>
    <s v="카페24고체향수이그나이트200520"/>
  </r>
  <r>
    <x v="28"/>
    <s v="일"/>
    <m/>
    <s v="카페24"/>
    <m/>
    <n v="46"/>
    <s v="고체향수"/>
    <s v="스테이포에버"/>
    <n v="200520"/>
    <m/>
    <n v="1748000"/>
    <n v="1645742"/>
    <n v="128018"/>
    <n v="1589090.909090909"/>
    <s v="카페24고체향수스테이포에버200520"/>
  </r>
  <r>
    <x v="28"/>
    <s v="일"/>
    <m/>
    <s v="카페24"/>
    <m/>
    <n v="2"/>
    <s v="쇼핑백"/>
    <s v="유즈쇼핑백"/>
    <n v="200520"/>
    <m/>
    <n v="4000"/>
    <n v="3766"/>
    <n v="2420"/>
    <n v="3636.363636363636"/>
    <s v="카페24쇼핑백유즈쇼핑백200520"/>
  </r>
  <r>
    <x v="28"/>
    <s v="일"/>
    <m/>
    <s v="카페24"/>
    <m/>
    <n v="7"/>
    <s v="고체향수"/>
    <s v="이그나이트 + 쇼핑백"/>
    <n v="200520"/>
    <m/>
    <n v="201600"/>
    <n v="189806.4"/>
    <n v="28686"/>
    <n v="183272.7272727273"/>
    <s v="카페24고체향수이그나이트 + 쇼핑백200520"/>
  </r>
  <r>
    <x v="29"/>
    <s v="월"/>
    <m/>
    <s v="카페24"/>
    <m/>
    <n v="17"/>
    <s v="고체향수"/>
    <s v="이그나이트"/>
    <n v="200622"/>
    <m/>
    <n v="578000"/>
    <n v="544187"/>
    <n v="49096"/>
    <n v="525454.5454545454"/>
    <s v="카페24고체향수이그나이트200622"/>
  </r>
  <r>
    <x v="29"/>
    <s v="월"/>
    <m/>
    <s v="카페24"/>
    <m/>
    <n v="57"/>
    <s v="고체향수"/>
    <s v="스테이포에버"/>
    <n v="200622"/>
    <m/>
    <n v="1938000"/>
    <n v="1824627"/>
    <n v="158631"/>
    <n v="1761818.181818182"/>
    <s v="카페24고체향수스테이포에버200622"/>
  </r>
  <r>
    <x v="29"/>
    <s v="월"/>
    <m/>
    <s v="카페24"/>
    <m/>
    <n v="2"/>
    <s v="고체향수"/>
    <s v="이그나이트 + 쇼핑백"/>
    <n v="200520"/>
    <m/>
    <n v="57600"/>
    <n v="54230.4"/>
    <n v="8196"/>
    <n v="52363.63636363636"/>
    <s v="카페24고체향수이그나이트 + 쇼핑백200520"/>
  </r>
  <r>
    <x v="30"/>
    <s v="화"/>
    <m/>
    <s v="카페24"/>
    <m/>
    <n v="1"/>
    <s v="고체향수"/>
    <s v="이그나이트 + 스테이포에버"/>
    <n v="200622"/>
    <m/>
    <n v="65000"/>
    <n v="61197.5"/>
    <n v="5671"/>
    <n v="59090.90909090909"/>
    <s v="카페24고체향수이그나이트 + 스테이포에버200622"/>
  </r>
  <r>
    <x v="30"/>
    <s v="화"/>
    <m/>
    <s v="카페24"/>
    <m/>
    <n v="29"/>
    <s v="고체향수"/>
    <s v="이그나이트"/>
    <n v="200622"/>
    <m/>
    <n v="986000"/>
    <n v="928319"/>
    <n v="83752"/>
    <n v="896363.6363636362"/>
    <s v="카페24고체향수이그나이트200622"/>
  </r>
  <r>
    <x v="30"/>
    <s v="화"/>
    <m/>
    <s v="카페24"/>
    <m/>
    <n v="59"/>
    <s v="고체향수"/>
    <s v="스테이포에버"/>
    <n v="200622"/>
    <m/>
    <n v="2006000"/>
    <n v="1888649"/>
    <n v="164197"/>
    <n v="1823636.363636364"/>
    <s v="카페24고체향수스테이포에버200622"/>
  </r>
  <r>
    <x v="30"/>
    <s v="화"/>
    <m/>
    <s v="카페24"/>
    <m/>
    <n v="2"/>
    <s v="쇼핑백"/>
    <s v="유즈쇼핑백"/>
    <n v="200622"/>
    <m/>
    <n v="4000"/>
    <n v="3766"/>
    <n v="2420"/>
    <n v="3636.363636363636"/>
    <s v="카페24쇼핑백유즈쇼핑백200622"/>
  </r>
  <r>
    <x v="31"/>
    <s v="수"/>
    <m/>
    <s v="카페24"/>
    <m/>
    <n v="4"/>
    <s v="고체향수"/>
    <s v="이그나이트 + 스테이포에버"/>
    <n v="200622"/>
    <m/>
    <n v="260000"/>
    <n v="244790"/>
    <n v="22684"/>
    <n v="236363.6363636364"/>
    <s v="카페24고체향수이그나이트 + 스테이포에버200622"/>
  </r>
  <r>
    <x v="31"/>
    <s v="수"/>
    <m/>
    <s v="카페24"/>
    <m/>
    <n v="30"/>
    <s v="고체향수"/>
    <s v="이그나이트"/>
    <n v="200622"/>
    <m/>
    <n v="1020000"/>
    <n v="960330"/>
    <n v="86640"/>
    <n v="927272.7272727272"/>
    <s v="카페24고체향수이그나이트200622"/>
  </r>
  <r>
    <x v="31"/>
    <s v="수"/>
    <m/>
    <s v="카페24"/>
    <m/>
    <n v="54"/>
    <s v="고체향수"/>
    <s v="스테이포에버"/>
    <n v="200622"/>
    <m/>
    <n v="1836000"/>
    <n v="1728594"/>
    <n v="150282"/>
    <n v="1669090.909090909"/>
    <s v="카페24고체향수스테이포에버200622"/>
  </r>
  <r>
    <x v="32"/>
    <s v="목"/>
    <m/>
    <s v="카페24"/>
    <m/>
    <n v="1"/>
    <s v="고체향수"/>
    <s v="이그나이트 + 스테이포에버"/>
    <n v="200622"/>
    <m/>
    <n v="65000"/>
    <n v="61197.5"/>
    <n v="5671"/>
    <n v="59090.90909090909"/>
    <s v="카페24고체향수이그나이트 + 스테이포에버200622"/>
  </r>
  <r>
    <x v="32"/>
    <s v="목"/>
    <m/>
    <s v="카페24"/>
    <m/>
    <n v="21"/>
    <s v="고체향수"/>
    <s v="이그나이트"/>
    <n v="200622"/>
    <m/>
    <n v="714000"/>
    <n v="672231"/>
    <n v="60648"/>
    <n v="649090.9090909091"/>
    <s v="카페24고체향수이그나이트200622"/>
  </r>
  <r>
    <x v="32"/>
    <s v="목"/>
    <m/>
    <s v="카페24"/>
    <m/>
    <n v="71"/>
    <s v="고체향수"/>
    <s v="스테이포에버"/>
    <n v="200622"/>
    <m/>
    <n v="2414000"/>
    <n v="2272781"/>
    <n v="197593"/>
    <n v="2194545.454545455"/>
    <s v="카페24고체향수스테이포에버200622"/>
  </r>
  <r>
    <x v="32"/>
    <s v="목"/>
    <m/>
    <s v="카페24"/>
    <m/>
    <n v="1"/>
    <s v="쇼핑백"/>
    <s v="유즈쇼핑백"/>
    <n v="200622"/>
    <m/>
    <n v="2000"/>
    <n v="1883"/>
    <n v="1210"/>
    <n v="1818.181818181818"/>
    <s v="카페24쇼핑백유즈쇼핑백200622"/>
  </r>
  <r>
    <x v="33"/>
    <s v="금"/>
    <m/>
    <s v="카페24"/>
    <m/>
    <n v="2"/>
    <s v="고체향수"/>
    <s v="이그나이트 + 스테이포에버"/>
    <n v="200622"/>
    <m/>
    <n v="130000"/>
    <n v="122395"/>
    <n v="11342"/>
    <n v="118181.8181818182"/>
    <s v="카페24고체향수이그나이트 + 스테이포에버200622"/>
  </r>
  <r>
    <x v="33"/>
    <s v="금"/>
    <m/>
    <s v="카페24"/>
    <m/>
    <n v="20"/>
    <s v="고체향수"/>
    <s v="이그나이트"/>
    <n v="200622"/>
    <m/>
    <n v="680000"/>
    <n v="640220"/>
    <n v="57760"/>
    <n v="618181.8181818181"/>
    <s v="카페24고체향수이그나이트200622"/>
  </r>
  <r>
    <x v="33"/>
    <s v="금"/>
    <m/>
    <s v="카페24"/>
    <m/>
    <n v="53"/>
    <s v="고체향수"/>
    <s v="스테이포에버"/>
    <n v="200622"/>
    <m/>
    <n v="1802000"/>
    <n v="1696583"/>
    <n v="147499"/>
    <n v="1638181.818181818"/>
    <s v="카페24고체향수스테이포에버200622"/>
  </r>
  <r>
    <x v="33"/>
    <s v="금"/>
    <m/>
    <s v="카페24"/>
    <m/>
    <n v="2"/>
    <s v="쇼핑백"/>
    <s v="유즈쇼핑백"/>
    <n v="200622"/>
    <m/>
    <n v="4000"/>
    <n v="3766"/>
    <n v="2420"/>
    <n v="3636.363636363636"/>
    <s v="카페24쇼핑백유즈쇼핑백200622"/>
  </r>
  <r>
    <x v="34"/>
    <s v="토"/>
    <m/>
    <s v="카페24"/>
    <m/>
    <n v="21"/>
    <s v="고체향수"/>
    <s v="이그나이트"/>
    <n v="200622"/>
    <m/>
    <n v="714000"/>
    <n v="672231"/>
    <n v="60648"/>
    <n v="649090.9090909091"/>
    <s v="카페24고체향수이그나이트200622"/>
  </r>
  <r>
    <x v="34"/>
    <s v="토"/>
    <m/>
    <s v="카페24"/>
    <m/>
    <n v="48"/>
    <s v="고체향수"/>
    <s v="스테이포에버"/>
    <n v="200622"/>
    <m/>
    <n v="1632000"/>
    <n v="1536528"/>
    <n v="133584"/>
    <n v="1483636.363636364"/>
    <s v="카페24고체향수스테이포에버200622"/>
  </r>
  <r>
    <x v="34"/>
    <s v="토"/>
    <m/>
    <s v="카페24"/>
    <m/>
    <n v="1"/>
    <s v="쇼핑백"/>
    <s v="유즈쇼핑백"/>
    <n v="200622"/>
    <m/>
    <n v="2000"/>
    <n v="1883"/>
    <n v="1210"/>
    <n v="1818.181818181818"/>
    <s v="카페24쇼핑백유즈쇼핑백200622"/>
  </r>
  <r>
    <x v="35"/>
    <s v="일"/>
    <m/>
    <s v="카페24"/>
    <m/>
    <n v="2"/>
    <s v="고체향수"/>
    <s v="이그나이트 + 스테이포에버"/>
    <n v="200622"/>
    <m/>
    <n v="130000"/>
    <n v="122395"/>
    <n v="11342"/>
    <n v="118181.8181818182"/>
    <s v="카페24고체향수이그나이트 + 스테이포에버200622"/>
  </r>
  <r>
    <x v="35"/>
    <s v="일"/>
    <m/>
    <s v="카페24"/>
    <m/>
    <n v="15"/>
    <s v="고체향수"/>
    <s v="이그나이트"/>
    <n v="200622"/>
    <m/>
    <n v="510000"/>
    <n v="480165"/>
    <n v="43320"/>
    <n v="463636.3636363636"/>
    <s v="카페24고체향수이그나이트200622"/>
  </r>
  <r>
    <x v="35"/>
    <s v="일"/>
    <m/>
    <s v="카페24"/>
    <m/>
    <n v="65"/>
    <s v="고체향수"/>
    <s v="스테이포에버"/>
    <n v="200622"/>
    <m/>
    <n v="2210000"/>
    <n v="2080715"/>
    <n v="180895"/>
    <n v="2009090.909090909"/>
    <s v="카페24고체향수스테이포에버200622"/>
  </r>
  <r>
    <x v="35"/>
    <s v="일"/>
    <m/>
    <s v="카페24"/>
    <m/>
    <n v="2"/>
    <s v="쇼핑백"/>
    <s v="유즈쇼핑백"/>
    <n v="200622"/>
    <m/>
    <n v="4000"/>
    <n v="3766"/>
    <n v="2420"/>
    <n v="3636.363636363636"/>
    <s v="카페24쇼핑백유즈쇼핑백200622"/>
  </r>
  <r>
    <x v="36"/>
    <s v="월"/>
    <m/>
    <s v="카페24"/>
    <m/>
    <n v="11"/>
    <s v="고체향수"/>
    <s v="이그나이트"/>
    <n v="200622"/>
    <m/>
    <n v="374000"/>
    <n v="352121"/>
    <n v="31768"/>
    <n v="340000"/>
    <s v="카페24고체향수이그나이트200622"/>
  </r>
  <r>
    <x v="36"/>
    <s v="월"/>
    <m/>
    <s v="카페24"/>
    <m/>
    <n v="48"/>
    <s v="고체향수"/>
    <s v="스테이포에버"/>
    <n v="200622"/>
    <m/>
    <n v="1632000"/>
    <n v="1536528"/>
    <n v="133584"/>
    <n v="1483636.363636364"/>
    <s v="카페24고체향수스테이포에버200622"/>
  </r>
  <r>
    <x v="36"/>
    <s v="월"/>
    <m/>
    <s v="카페24"/>
    <m/>
    <n v="1"/>
    <s v="쇼핑백"/>
    <s v="유즈쇼핑백"/>
    <n v="200622"/>
    <m/>
    <n v="2000"/>
    <n v="1883"/>
    <n v="1210"/>
    <n v="1818.181818181818"/>
    <s v="카페24쇼핑백유즈쇼핑백200622"/>
  </r>
  <r>
    <x v="37"/>
    <s v="화"/>
    <m/>
    <s v="카페24"/>
    <m/>
    <n v="1"/>
    <s v="고체향수"/>
    <s v="이그나이트 + 스테이포에버"/>
    <n v="200622"/>
    <m/>
    <n v="65000"/>
    <n v="61197.5"/>
    <n v="5671"/>
    <n v="59090.90909090909"/>
    <s v="카페24고체향수이그나이트 + 스테이포에버200622"/>
  </r>
  <r>
    <x v="37"/>
    <s v="화"/>
    <m/>
    <s v="카페24"/>
    <m/>
    <n v="13"/>
    <s v="고체향수"/>
    <s v="이그나이트"/>
    <n v="200622"/>
    <m/>
    <n v="442000"/>
    <n v="416143"/>
    <n v="37544"/>
    <n v="401818.1818181818"/>
    <s v="카페24고체향수이그나이트200622"/>
  </r>
  <r>
    <x v="37"/>
    <s v="화"/>
    <m/>
    <s v="카페24"/>
    <m/>
    <n v="49"/>
    <s v="고체향수"/>
    <s v="스테이포에버"/>
    <n v="200622"/>
    <m/>
    <n v="1666000"/>
    <n v="1568539"/>
    <n v="136367"/>
    <n v="1514545.454545454"/>
    <s v="카페24고체향수스테이포에버200622"/>
  </r>
  <r>
    <x v="37"/>
    <s v="화"/>
    <m/>
    <s v="카페24"/>
    <m/>
    <n v="1"/>
    <s v="쇼핑백"/>
    <s v="유즈쇼핑백"/>
    <n v="200622"/>
    <m/>
    <n v="2000"/>
    <n v="1883"/>
    <n v="1210"/>
    <n v="1818.181818181818"/>
    <s v="카페24쇼핑백유즈쇼핑백200622"/>
  </r>
  <r>
    <x v="38"/>
    <s v="수"/>
    <m/>
    <s v="카페24"/>
    <m/>
    <n v="36"/>
    <s v="고체향수"/>
    <s v="스테이포에버"/>
    <n v="200622"/>
    <m/>
    <n v="1224000"/>
    <n v="1152396"/>
    <n v="100188"/>
    <n v="1112727.272727273"/>
    <s v="카페24고체향수스테이포에버200622"/>
  </r>
  <r>
    <x v="38"/>
    <s v="수"/>
    <m/>
    <s v="카페24"/>
    <m/>
    <n v="21"/>
    <s v="고체향수"/>
    <s v="이그나이트"/>
    <n v="200622"/>
    <m/>
    <n v="714000"/>
    <n v="672231"/>
    <n v="60648"/>
    <n v="649090.9090909091"/>
    <s v="카페24고체향수이그나이트200622"/>
  </r>
  <r>
    <x v="39"/>
    <s v="목"/>
    <m/>
    <s v="카페24"/>
    <m/>
    <n v="24"/>
    <s v="고체향수"/>
    <s v="스테이포에버"/>
    <n v="200622"/>
    <m/>
    <n v="816000"/>
    <n v="768264"/>
    <n v="66792"/>
    <n v="741818.1818181818"/>
    <s v="카페24고체향수스테이포에버200622"/>
  </r>
  <r>
    <x v="39"/>
    <s v="목"/>
    <m/>
    <s v="카페24"/>
    <m/>
    <n v="11"/>
    <s v="고체향수"/>
    <s v="이그나이트"/>
    <n v="200622"/>
    <m/>
    <n v="374000"/>
    <n v="352121"/>
    <n v="31768"/>
    <n v="340000"/>
    <s v="카페24고체향수이그나이트200622"/>
  </r>
  <r>
    <x v="39"/>
    <s v="목"/>
    <m/>
    <s v="카페24"/>
    <m/>
    <n v="1"/>
    <s v="쇼핑백"/>
    <s v="유즈쇼핑백"/>
    <n v="200622"/>
    <m/>
    <n v="2000"/>
    <n v="1883"/>
    <n v="1210"/>
    <n v="1818.181818181818"/>
    <s v="카페24쇼핑백유즈쇼핑백200622"/>
  </r>
  <r>
    <x v="40"/>
    <s v="금"/>
    <m/>
    <s v="카페24"/>
    <m/>
    <n v="19"/>
    <s v="고체향수"/>
    <s v="스테이포에버"/>
    <n v="200622"/>
    <m/>
    <n v="646000"/>
    <n v="608209"/>
    <n v="52877"/>
    <n v="587272.7272727272"/>
    <s v="카페24고체향수스테이포에버200622"/>
  </r>
  <r>
    <x v="40"/>
    <s v="금"/>
    <m/>
    <s v="카페24"/>
    <m/>
    <n v="1"/>
    <s v="쇼핑백"/>
    <s v="유즈쇼핑백"/>
    <n v="200622"/>
    <m/>
    <n v="2000"/>
    <n v="1883"/>
    <n v="1210"/>
    <n v="1818.181818181818"/>
    <s v="카페24쇼핑백유즈쇼핑백200622"/>
  </r>
  <r>
    <x v="40"/>
    <s v="금"/>
    <m/>
    <s v="카페24"/>
    <m/>
    <n v="2"/>
    <s v="고체향수"/>
    <s v="이그나이트"/>
    <n v="200622"/>
    <m/>
    <n v="68000"/>
    <n v="64022"/>
    <n v="5776"/>
    <n v="61818.18181818182"/>
    <s v="카페24고체향수이그나이트200622"/>
  </r>
  <r>
    <x v="41"/>
    <s v="토"/>
    <m/>
    <s v="카페24"/>
    <m/>
    <n v="7"/>
    <s v="고체향수"/>
    <s v="스테이포에버"/>
    <n v="200622"/>
    <m/>
    <n v="238000"/>
    <n v="224077"/>
    <n v="19481"/>
    <n v="216363.6363636364"/>
    <s v="카페24고체향수스테이포에버200622"/>
  </r>
  <r>
    <x v="42"/>
    <s v="일"/>
    <m/>
    <s v="카페24"/>
    <m/>
    <n v="2"/>
    <s v="고체향수"/>
    <s v="이그나이트"/>
    <n v="200622"/>
    <m/>
    <n v="68000"/>
    <n v="64022"/>
    <n v="5776"/>
    <n v="61818.18181818182"/>
    <s v="카페24고체향수이그나이트200622"/>
  </r>
  <r>
    <x v="42"/>
    <s v="일"/>
    <m/>
    <s v="카페24"/>
    <m/>
    <n v="13"/>
    <s v="고체향수"/>
    <s v="스테이포에버"/>
    <n v="200622"/>
    <m/>
    <n v="442000"/>
    <n v="416143"/>
    <n v="36179"/>
    <n v="401818.1818181818"/>
    <s v="카페24고체향수스테이포에버200622"/>
  </r>
  <r>
    <x v="42"/>
    <s v="일"/>
    <m/>
    <s v="카페24"/>
    <m/>
    <n v="1"/>
    <s v="쇼핑백"/>
    <s v="유즈쇼핑백"/>
    <n v="200622"/>
    <m/>
    <n v="2000"/>
    <n v="1883"/>
    <n v="1210"/>
    <n v="1818.181818181818"/>
    <s v="카페24쇼핑백유즈쇼핑백200622"/>
  </r>
  <r>
    <x v="43"/>
    <s v="월"/>
    <m/>
    <s v="카페24"/>
    <m/>
    <n v="24"/>
    <s v="고체향수"/>
    <s v="스테이포에버"/>
    <n v="200622"/>
    <m/>
    <n v="816000"/>
    <n v="768264"/>
    <n v="66792"/>
    <n v="741818.1818181818"/>
    <s v="카페24고체향수스테이포에버200622"/>
  </r>
  <r>
    <x v="43"/>
    <s v="월"/>
    <m/>
    <s v="카페24"/>
    <m/>
    <n v="7"/>
    <s v="고체향수"/>
    <s v="이그나이트"/>
    <n v="200622"/>
    <m/>
    <n v="238000"/>
    <n v="224077"/>
    <n v="20216"/>
    <n v="216363.6363636364"/>
    <s v="카페24고체향수이그나이트200622"/>
  </r>
  <r>
    <x v="44"/>
    <s v="화"/>
    <m/>
    <s v="카페24"/>
    <m/>
    <n v="3"/>
    <s v="고체향수"/>
    <s v="이그나이트 + 스테이포에버"/>
    <n v="200622"/>
    <m/>
    <n v="195000"/>
    <n v="183592.5"/>
    <n v="17013"/>
    <n v="177272.7272727273"/>
    <s v="카페24고체향수이그나이트 + 스테이포에버200622"/>
  </r>
  <r>
    <x v="44"/>
    <s v="화"/>
    <m/>
    <s v="카페24"/>
    <m/>
    <n v="36"/>
    <s v="고체향수"/>
    <s v="스테이포에버"/>
    <n v="200622"/>
    <m/>
    <n v="1224000"/>
    <n v="1152396"/>
    <n v="100188"/>
    <n v="1112727.272727273"/>
    <s v="카페24고체향수스테이포에버200622"/>
  </r>
  <r>
    <x v="44"/>
    <s v="화"/>
    <m/>
    <s v="카페24"/>
    <m/>
    <n v="5"/>
    <s v="고체향수"/>
    <s v="이그나이트"/>
    <n v="200622"/>
    <m/>
    <n v="170000"/>
    <n v="160055"/>
    <n v="14440"/>
    <n v="154545.4545454545"/>
    <s v="카페24고체향수이그나이트200622"/>
  </r>
  <r>
    <x v="45"/>
    <s v="수"/>
    <m/>
    <s v="카페24"/>
    <m/>
    <n v="1"/>
    <s v="고체향수"/>
    <s v="이그나이트 + 스테이포에버"/>
    <n v="200622"/>
    <m/>
    <n v="65000"/>
    <n v="61197.5"/>
    <n v="5671"/>
    <n v="59090.90909090909"/>
    <s v="카페24고체향수이그나이트 + 스테이포에버200622"/>
  </r>
  <r>
    <x v="45"/>
    <s v="수"/>
    <m/>
    <s v="카페24"/>
    <m/>
    <n v="27"/>
    <s v="고체향수"/>
    <s v="스테이포에버"/>
    <n v="200622"/>
    <m/>
    <n v="918000"/>
    <n v="864297"/>
    <n v="75141"/>
    <n v="834545.4545454545"/>
    <s v="카페24고체향수스테이포에버200622"/>
  </r>
  <r>
    <x v="45"/>
    <s v="수"/>
    <m/>
    <s v="카페24"/>
    <m/>
    <n v="3"/>
    <s v="고체향수"/>
    <s v="이그나이트"/>
    <n v="200622"/>
    <m/>
    <n v="102000"/>
    <n v="96033"/>
    <n v="8664"/>
    <n v="92727.27272727272"/>
    <s v="카페24고체향수이그나이트200622"/>
  </r>
  <r>
    <x v="45"/>
    <s v="수"/>
    <m/>
    <s v="카페24"/>
    <m/>
    <n v="1"/>
    <s v="쇼핑백"/>
    <s v="유즈쇼핑백"/>
    <n v="200622"/>
    <m/>
    <n v="2000"/>
    <n v="1883"/>
    <n v="1210"/>
    <n v="1818.181818181818"/>
    <s v="카페24쇼핑백유즈쇼핑백200622"/>
  </r>
  <r>
    <x v="46"/>
    <s v="목"/>
    <m/>
    <s v="카페24"/>
    <m/>
    <n v="1"/>
    <s v="고체향수"/>
    <s v="이그나이트 + 스테이포에버"/>
    <n v="200622"/>
    <m/>
    <n v="65000"/>
    <n v="61197.5"/>
    <n v="5671"/>
    <n v="59090.90909090909"/>
    <s v="카페24고체향수이그나이트 + 스테이포에버200622"/>
  </r>
  <r>
    <x v="46"/>
    <s v="목"/>
    <m/>
    <s v="카페24"/>
    <m/>
    <n v="41"/>
    <s v="고체향수"/>
    <s v="스테이포에버"/>
    <n v="200622"/>
    <m/>
    <n v="1394000"/>
    <n v="1312451"/>
    <n v="114103"/>
    <n v="1267272.727272727"/>
    <s v="카페24고체향수스테이포에버200622"/>
  </r>
  <r>
    <x v="47"/>
    <s v="금"/>
    <m/>
    <s v="카페24"/>
    <m/>
    <n v="29"/>
    <s v="고체향수"/>
    <s v="스테이포에버"/>
    <n v="200622"/>
    <m/>
    <n v="986000"/>
    <n v="928319"/>
    <n v="80707"/>
    <n v="896363.6363636362"/>
    <s v="카페24고체향수스테이포에버200622"/>
  </r>
  <r>
    <x v="47"/>
    <s v="금"/>
    <m/>
    <s v="카페24"/>
    <m/>
    <n v="1"/>
    <s v="쇼핑백"/>
    <s v="유즈쇼핑백"/>
    <n v="200622"/>
    <m/>
    <n v="2000"/>
    <n v="1883"/>
    <n v="1210"/>
    <n v="1818.181818181818"/>
    <s v="카페24쇼핑백유즈쇼핑백200622"/>
  </r>
  <r>
    <x v="47"/>
    <s v="금"/>
    <m/>
    <s v="카페24"/>
    <m/>
    <n v="1"/>
    <s v="고체향수"/>
    <s v="이그나이트"/>
    <n v="200622"/>
    <m/>
    <n v="34000"/>
    <n v="32011"/>
    <n v="2888"/>
    <n v="30909.09090909091"/>
    <s v="카페24고체향수이그나이트200622"/>
  </r>
  <r>
    <x v="48"/>
    <s v="토"/>
    <m/>
    <s v="카페24"/>
    <m/>
    <n v="29"/>
    <s v="고체향수"/>
    <s v="스테이포에버"/>
    <n v="200622"/>
    <m/>
    <n v="986000"/>
    <n v="928319"/>
    <n v="80707"/>
    <n v="896363.6363636362"/>
    <s v="카페24고체향수스테이포에버200622"/>
  </r>
  <r>
    <x v="48"/>
    <s v="토"/>
    <m/>
    <s v="카페24"/>
    <m/>
    <n v="1"/>
    <s v="쇼핑백"/>
    <s v="유즈쇼핑백"/>
    <n v="200622"/>
    <m/>
    <n v="2000"/>
    <n v="1883"/>
    <n v="1210"/>
    <n v="1818.181818181818"/>
    <s v="카페24쇼핑백유즈쇼핑백200622"/>
  </r>
  <r>
    <x v="48"/>
    <s v="토"/>
    <m/>
    <s v="카페24"/>
    <m/>
    <n v="7"/>
    <s v="고체향수"/>
    <s v="이그나이트"/>
    <n v="200622"/>
    <m/>
    <n v="238000"/>
    <n v="224077"/>
    <n v="20216"/>
    <n v="216363.6363636364"/>
    <s v="카페24고체향수이그나이트200622"/>
  </r>
  <r>
    <x v="49"/>
    <s v="일"/>
    <m/>
    <s v="카페24"/>
    <m/>
    <n v="3"/>
    <s v="고체향수"/>
    <s v="이그나이트"/>
    <n v="200622"/>
    <m/>
    <n v="102000"/>
    <n v="96033"/>
    <n v="8664"/>
    <n v="92727.27272727272"/>
    <s v="카페24고체향수이그나이트200622"/>
  </r>
  <r>
    <x v="49"/>
    <s v="일"/>
    <m/>
    <s v="카페24"/>
    <m/>
    <n v="65"/>
    <s v="고체향수"/>
    <s v="스테이포에버"/>
    <n v="200622"/>
    <m/>
    <n v="2210000"/>
    <n v="2080715"/>
    <n v="180895"/>
    <n v="2009090.909090909"/>
    <s v="카페24고체향수스테이포에버200622"/>
  </r>
  <r>
    <x v="50"/>
    <s v="월"/>
    <m/>
    <s v="카페24"/>
    <m/>
    <n v="2"/>
    <s v="고체향수"/>
    <s v="이그나이트 + 스테이포에버"/>
    <n v="200622"/>
    <m/>
    <n v="130000"/>
    <n v="122395"/>
    <n v="11342"/>
    <n v="118181.8181818182"/>
    <s v="카페24고체향수이그나이트 + 스테이포에버200622"/>
  </r>
  <r>
    <x v="50"/>
    <s v="월"/>
    <m/>
    <s v="카페24"/>
    <m/>
    <n v="2"/>
    <s v="고체향수"/>
    <s v="이그나이트"/>
    <n v="200622"/>
    <m/>
    <n v="68000"/>
    <n v="64022"/>
    <n v="5776"/>
    <n v="61818.18181818182"/>
    <s v="카페24고체향수이그나이트200622"/>
  </r>
  <r>
    <x v="50"/>
    <s v="월"/>
    <m/>
    <s v="카페24"/>
    <m/>
    <n v="46"/>
    <s v="고체향수"/>
    <s v="스테이포에버"/>
    <n v="200622"/>
    <m/>
    <n v="1564000"/>
    <n v="1472506"/>
    <n v="128018"/>
    <n v="1421818.181818182"/>
    <s v="카페24고체향수스테이포에버200622"/>
  </r>
  <r>
    <x v="51"/>
    <s v="화"/>
    <m/>
    <s v="카페24"/>
    <m/>
    <n v="3"/>
    <s v="고체향수"/>
    <s v="이그나이트 + 스테이포에버"/>
    <n v="200622"/>
    <m/>
    <n v="195000"/>
    <n v="183592.5"/>
    <n v="17013"/>
    <n v="177272.7272727273"/>
    <s v="카페24고체향수이그나이트 + 스테이포에버200622"/>
  </r>
  <r>
    <x v="51"/>
    <s v="화"/>
    <m/>
    <s v="카페24"/>
    <m/>
    <n v="77"/>
    <s v="고체향수"/>
    <s v="스테이포에버"/>
    <n v="200622"/>
    <m/>
    <n v="2618000"/>
    <n v="2464847"/>
    <n v="214291"/>
    <n v="2380000"/>
    <s v="카페24고체향수스테이포에버200622"/>
  </r>
  <r>
    <x v="51"/>
    <s v="화"/>
    <m/>
    <s v="카페24"/>
    <m/>
    <n v="3"/>
    <s v="쇼핑백"/>
    <s v="유즈쇼핑백"/>
    <n v="200622"/>
    <m/>
    <n v="6000"/>
    <n v="5649"/>
    <n v="3630"/>
    <n v="5454.545454545454"/>
    <s v="카페24쇼핑백유즈쇼핑백200622"/>
  </r>
  <r>
    <x v="51"/>
    <s v="화"/>
    <m/>
    <s v="카페24"/>
    <m/>
    <n v="2"/>
    <s v="고체향수"/>
    <s v="이그나이트"/>
    <n v="200622"/>
    <m/>
    <n v="68000"/>
    <n v="64022"/>
    <n v="5776"/>
    <n v="61818.18181818182"/>
    <s v="카페24고체향수이그나이트200622"/>
  </r>
  <r>
    <x v="52"/>
    <s v="수"/>
    <m/>
    <s v="카페24"/>
    <m/>
    <n v="1"/>
    <s v="고체향수"/>
    <s v="이그나이트 + 스테이포에버"/>
    <n v="200622"/>
    <m/>
    <n v="65000"/>
    <n v="61197.5"/>
    <n v="5671"/>
    <n v="59090.90909090909"/>
    <s v="카페24고체향수이그나이트 + 스테이포에버200622"/>
  </r>
  <r>
    <x v="52"/>
    <s v="수"/>
    <m/>
    <s v="카페24"/>
    <m/>
    <n v="112"/>
    <s v="고체향수"/>
    <s v="스테이포에버"/>
    <n v="200622"/>
    <m/>
    <n v="3808000"/>
    <n v="3585232"/>
    <n v="311696"/>
    <n v="3461818.181818182"/>
    <s v="카페24고체향수스테이포에버200622"/>
  </r>
  <r>
    <x v="52"/>
    <s v="수"/>
    <m/>
    <s v="카페24"/>
    <m/>
    <n v="1"/>
    <s v="쇼핑백"/>
    <s v="유즈쇼핑백"/>
    <n v="200622"/>
    <m/>
    <n v="2000"/>
    <n v="1883"/>
    <n v="1210"/>
    <n v="1818.181818181818"/>
    <s v="카페24쇼핑백유즈쇼핑백200622"/>
  </r>
  <r>
    <x v="52"/>
    <s v="수"/>
    <m/>
    <s v="카페24"/>
    <m/>
    <n v="3"/>
    <s v="고체향수"/>
    <s v="이그나이트"/>
    <n v="200622"/>
    <m/>
    <n v="102000"/>
    <n v="96033"/>
    <n v="8664"/>
    <n v="92727.27272727272"/>
    <s v="카페24고체향수이그나이트200622"/>
  </r>
  <r>
    <x v="53"/>
    <s v="목"/>
    <m/>
    <s v="유즈 CS"/>
    <m/>
    <n v="1"/>
    <s v="고체향수"/>
    <s v="이그나이트"/>
    <n v="200520"/>
    <m/>
    <n v="0"/>
    <n v="0"/>
    <n v="2888"/>
    <n v="0"/>
    <s v="유즈 CS고체향수이그나이트200520"/>
  </r>
  <r>
    <x v="53"/>
    <s v="목"/>
    <m/>
    <s v="유즈 CS"/>
    <m/>
    <n v="1"/>
    <s v="쇼핑백"/>
    <s v="유즈쇼핑백"/>
    <n v="200520"/>
    <m/>
    <n v="0"/>
    <n v="0"/>
    <n v="1210"/>
    <n v="0"/>
    <s v="유즈 CS쇼핑백유즈쇼핑백200520"/>
  </r>
  <r>
    <x v="53"/>
    <s v="목"/>
    <m/>
    <s v="카페24"/>
    <m/>
    <n v="51"/>
    <s v="고체향수"/>
    <s v="스테이포에버"/>
    <n v="200622"/>
    <m/>
    <n v="1734000"/>
    <n v="1632561"/>
    <n v="141933"/>
    <n v="1576363.636363636"/>
    <s v="카페24고체향수스테이포에버200622"/>
  </r>
  <r>
    <x v="54"/>
    <s v="금"/>
    <m/>
    <s v="카페24"/>
    <m/>
    <n v="86"/>
    <s v="고체향수"/>
    <s v="스테이포에버"/>
    <n v="200622"/>
    <m/>
    <n v="2924000"/>
    <n v="2752946"/>
    <n v="239338"/>
    <n v="2658181.818181818"/>
    <s v="카페24고체향수스테이포에버200622"/>
  </r>
  <r>
    <x v="54"/>
    <s v="금"/>
    <m/>
    <s v="카페24"/>
    <m/>
    <n v="2"/>
    <s v="쇼핑백"/>
    <s v="유즈쇼핑백"/>
    <n v="200622"/>
    <m/>
    <n v="4000"/>
    <n v="3766"/>
    <n v="2420"/>
    <n v="3636.363636363636"/>
    <s v="카페24쇼핑백유즈쇼핑백200622"/>
  </r>
  <r>
    <x v="54"/>
    <s v="금"/>
    <m/>
    <s v="카페24"/>
    <m/>
    <n v="3"/>
    <s v="고체향수"/>
    <s v="이그나이트"/>
    <n v="200622"/>
    <m/>
    <n v="102000"/>
    <n v="96033"/>
    <n v="8664"/>
    <n v="92727.27272727272"/>
    <s v="카페24고체향수이그나이트200622"/>
  </r>
  <r>
    <x v="55"/>
    <s v="토"/>
    <m/>
    <s v="카페24"/>
    <m/>
    <n v="41"/>
    <s v="고체향수"/>
    <s v="스테이포에버"/>
    <n v="200622"/>
    <m/>
    <n v="1394000"/>
    <n v="1312451"/>
    <n v="114103"/>
    <n v="1267272.727272727"/>
    <s v="카페24고체향수스테이포에버200622"/>
  </r>
  <r>
    <x v="55"/>
    <s v="토"/>
    <m/>
    <s v="카페24"/>
    <m/>
    <n v="1"/>
    <s v="고체향수"/>
    <s v="이그나이트"/>
    <n v="200622"/>
    <m/>
    <n v="34000"/>
    <n v="32011"/>
    <n v="2888"/>
    <n v="30909.09090909091"/>
    <s v="카페24고체향수이그나이트200622"/>
  </r>
  <r>
    <x v="56"/>
    <s v="일"/>
    <m/>
    <s v="카페24"/>
    <m/>
    <n v="46"/>
    <s v="고체향수"/>
    <s v="스테이포에버"/>
    <n v="200622"/>
    <m/>
    <n v="1564000"/>
    <n v="1472506"/>
    <n v="128018"/>
    <n v="1421818.181818182"/>
    <s v="카페24고체향수스테이포에버200622"/>
  </r>
  <r>
    <x v="56"/>
    <s v="일"/>
    <m/>
    <s v="카페24"/>
    <m/>
    <n v="1"/>
    <s v="쇼핑백"/>
    <s v="유즈쇼핑백"/>
    <n v="200622"/>
    <m/>
    <n v="2000"/>
    <n v="1883"/>
    <n v="1210"/>
    <n v="1818.181818181818"/>
    <s v="카페24쇼핑백유즈쇼핑백200622"/>
  </r>
  <r>
    <x v="57"/>
    <s v="월"/>
    <m/>
    <s v="카페24"/>
    <m/>
    <n v="1"/>
    <s v="고체향수"/>
    <s v="이그나이트 + 스테이포에버"/>
    <n v="200622"/>
    <m/>
    <n v="65000"/>
    <n v="61197.5"/>
    <n v="5671"/>
    <n v="59090.90909090909"/>
    <s v="카페24고체향수이그나이트 + 스테이포에버200622"/>
  </r>
  <r>
    <x v="57"/>
    <s v="월"/>
    <m/>
    <s v="카페24"/>
    <m/>
    <n v="3"/>
    <s v="고체향수"/>
    <s v="이그나이트"/>
    <n v="200622"/>
    <m/>
    <n v="102000"/>
    <n v="96033"/>
    <n v="8664"/>
    <n v="92727.27272727272"/>
    <s v="카페24고체향수이그나이트200622"/>
  </r>
  <r>
    <x v="57"/>
    <s v="월"/>
    <m/>
    <s v="카페24"/>
    <m/>
    <n v="59"/>
    <s v="고체향수"/>
    <s v="스테이포에버"/>
    <n v="200622"/>
    <m/>
    <n v="2006000"/>
    <n v="1888649"/>
    <n v="164197"/>
    <n v="1823636.363636364"/>
    <s v="카페24고체향수스테이포에버200622"/>
  </r>
  <r>
    <x v="57"/>
    <s v="월"/>
    <m/>
    <s v="카페24"/>
    <m/>
    <n v="4"/>
    <s v="고체향수"/>
    <s v="스테이포에버 2set"/>
    <n v="200622"/>
    <m/>
    <n v="235200"/>
    <n v="221440.8"/>
    <n v="22264"/>
    <n v="213818.1818181818"/>
    <s v="카페24고체향수스테이포에버 2set200622"/>
  </r>
  <r>
    <x v="58"/>
    <s v="화"/>
    <m/>
    <s v="카페24"/>
    <m/>
    <n v="2"/>
    <s v="고체향수"/>
    <s v="이그나이트 + 스테이포에버"/>
    <n v="200622"/>
    <m/>
    <n v="130000"/>
    <n v="122395"/>
    <n v="11342"/>
    <n v="118181.8181818182"/>
    <s v="카페24고체향수이그나이트 + 스테이포에버200622"/>
  </r>
  <r>
    <x v="58"/>
    <s v="화"/>
    <m/>
    <s v="카페24"/>
    <m/>
    <n v="9"/>
    <s v="고체향수"/>
    <s v="이그나이트"/>
    <n v="200622"/>
    <m/>
    <n v="306000"/>
    <n v="288099"/>
    <n v="25992"/>
    <n v="278181.8181818182"/>
    <s v="카페24고체향수이그나이트200622"/>
  </r>
  <r>
    <x v="58"/>
    <s v="화"/>
    <m/>
    <s v="카페24"/>
    <m/>
    <n v="77"/>
    <s v="고체향수"/>
    <s v="스테이포에버"/>
    <n v="200622"/>
    <m/>
    <n v="2618000"/>
    <n v="2464847"/>
    <n v="214291"/>
    <n v="2380000"/>
    <s v="카페24고체향수스테이포에버200622"/>
  </r>
  <r>
    <x v="58"/>
    <s v="화"/>
    <m/>
    <s v="카페24"/>
    <m/>
    <n v="8"/>
    <s v="고체향수"/>
    <s v="스테이포에버 2set"/>
    <n v="200622"/>
    <m/>
    <n v="470400"/>
    <n v="442881.6"/>
    <n v="44528"/>
    <n v="427636.3636363636"/>
    <s v="카페24고체향수스테이포에버 2set200622"/>
  </r>
  <r>
    <x v="58"/>
    <s v="화"/>
    <m/>
    <s v="카페24"/>
    <m/>
    <n v="2"/>
    <s v="고체향수"/>
    <s v="이그나이트 2set"/>
    <n v="200622"/>
    <m/>
    <n v="117600"/>
    <n v="110720.4"/>
    <n v="11552"/>
    <n v="106909.0909090909"/>
    <s v="카페24고체향수이그나이트 2set200622"/>
  </r>
  <r>
    <x v="58"/>
    <s v="화"/>
    <m/>
    <s v="카페24"/>
    <m/>
    <n v="1"/>
    <s v="쇼핑백"/>
    <s v="유즈쇼핑백"/>
    <n v="200622"/>
    <m/>
    <n v="2000"/>
    <n v="1883"/>
    <n v="1210"/>
    <n v="1818.181818181818"/>
    <s v="카페24쇼핑백유즈쇼핑백200622"/>
  </r>
  <r>
    <x v="59"/>
    <s v="수"/>
    <m/>
    <s v="카페24"/>
    <m/>
    <n v="4"/>
    <s v="고체향수"/>
    <s v="이그나이트 + 스테이포에버"/>
    <n v="200622"/>
    <m/>
    <n v="260000"/>
    <n v="244790"/>
    <n v="22684"/>
    <n v="236363.6363636364"/>
    <s v="카페24고체향수이그나이트 + 스테이포에버200622"/>
  </r>
  <r>
    <x v="59"/>
    <s v="수"/>
    <m/>
    <s v="카페24"/>
    <m/>
    <n v="90"/>
    <s v="고체향수"/>
    <s v="스테이포에버"/>
    <n v="200622"/>
    <m/>
    <n v="3060000"/>
    <n v="2880990"/>
    <n v="250470"/>
    <n v="2781818.181818182"/>
    <s v="카페24고체향수스테이포에버200622"/>
  </r>
  <r>
    <x v="59"/>
    <s v="수"/>
    <m/>
    <s v="카페24"/>
    <m/>
    <n v="10"/>
    <s v="고체향수"/>
    <s v="스테이포에버 2set"/>
    <n v="200622"/>
    <m/>
    <n v="588000"/>
    <n v="553602"/>
    <n v="55660"/>
    <n v="534545.4545454545"/>
    <s v="카페24고체향수스테이포에버 2set200622"/>
  </r>
  <r>
    <x v="59"/>
    <s v="수"/>
    <m/>
    <s v="카페24"/>
    <m/>
    <n v="1"/>
    <s v="쇼핑백"/>
    <s v="유즈쇼핑백"/>
    <n v="200622"/>
    <m/>
    <n v="2000"/>
    <n v="1883"/>
    <n v="1210"/>
    <n v="1818.181818181818"/>
    <s v="카페24쇼핑백유즈쇼핑백200622"/>
  </r>
  <r>
    <x v="59"/>
    <s v="수"/>
    <m/>
    <s v="카페24"/>
    <m/>
    <n v="1"/>
    <s v="고체향수"/>
    <s v="이그나이트"/>
    <n v="200622"/>
    <m/>
    <n v="34000"/>
    <n v="32011"/>
    <n v="2888"/>
    <n v="30909.09090909091"/>
    <s v="카페24고체향수이그나이트200622"/>
  </r>
  <r>
    <x v="60"/>
    <s v="목"/>
    <m/>
    <s v="카페24"/>
    <m/>
    <n v="1"/>
    <s v="고체향수"/>
    <s v="이그나이트 + 스테이포에버"/>
    <n v="200622"/>
    <m/>
    <n v="65000"/>
    <n v="61197.5"/>
    <n v="5671"/>
    <n v="59090.90909090909"/>
    <s v="카페24고체향수이그나이트 + 스테이포에버200622"/>
  </r>
  <r>
    <x v="60"/>
    <s v="목"/>
    <m/>
    <s v="카페24"/>
    <m/>
    <n v="2"/>
    <s v="고체향수"/>
    <s v="이그나이트"/>
    <n v="200622"/>
    <m/>
    <n v="68000"/>
    <n v="64022"/>
    <n v="5776"/>
    <n v="61818.18181818182"/>
    <s v="카페24고체향수이그나이트200622"/>
  </r>
  <r>
    <x v="60"/>
    <s v="목"/>
    <m/>
    <s v="카페24"/>
    <m/>
    <n v="16"/>
    <s v="고체향수"/>
    <s v="스테이포에버 2set"/>
    <n v="200622"/>
    <m/>
    <n v="940800"/>
    <n v="885763.2"/>
    <n v="89056"/>
    <n v="855272.7272727272"/>
    <s v="카페24고체향수스테이포에버 2set200622"/>
  </r>
  <r>
    <x v="60"/>
    <s v="목"/>
    <m/>
    <s v="카페24"/>
    <m/>
    <n v="97"/>
    <s v="고체향수"/>
    <s v="스테이포에버"/>
    <n v="200622"/>
    <m/>
    <n v="3298000"/>
    <n v="3105067"/>
    <n v="269951"/>
    <n v="2998181.818181818"/>
    <s v="카페24고체향수스테이포에버200622"/>
  </r>
  <r>
    <x v="60"/>
    <s v="목"/>
    <m/>
    <s v="카페24"/>
    <m/>
    <n v="3"/>
    <s v="쇼핑백"/>
    <s v="유즈쇼핑백"/>
    <n v="200622"/>
    <m/>
    <n v="6000"/>
    <n v="5649"/>
    <n v="3630"/>
    <n v="5454.545454545454"/>
    <s v="카페24쇼핑백유즈쇼핑백200622"/>
  </r>
  <r>
    <x v="61"/>
    <s v="금"/>
    <m/>
    <s v="카페24"/>
    <m/>
    <n v="2"/>
    <s v="고체향수"/>
    <s v="이그나이트 + 스테이포에버"/>
    <n v="200622"/>
    <m/>
    <n v="130000"/>
    <n v="122395"/>
    <n v="11342"/>
    <n v="118181.8181818182"/>
    <s v="카페24고체향수이그나이트 + 스테이포에버200622"/>
  </r>
  <r>
    <x v="61"/>
    <s v="금"/>
    <m/>
    <s v="카페24"/>
    <m/>
    <n v="108"/>
    <s v="고체향수"/>
    <s v="스테이포에버"/>
    <n v="200622"/>
    <m/>
    <n v="3672000"/>
    <n v="3457188"/>
    <n v="300564"/>
    <n v="3338181.818181818"/>
    <s v="카페24고체향수스테이포에버200622"/>
  </r>
  <r>
    <x v="61"/>
    <s v="금"/>
    <m/>
    <s v="카페24"/>
    <m/>
    <n v="12"/>
    <s v="고체향수"/>
    <s v="스테이포에버 2set"/>
    <n v="200622"/>
    <m/>
    <n v="705600"/>
    <n v="664322.4"/>
    <n v="66792"/>
    <n v="641454.5454545454"/>
    <s v="카페24고체향수스테이포에버 2set200622"/>
  </r>
  <r>
    <x v="61"/>
    <s v="금"/>
    <m/>
    <s v="카페24"/>
    <m/>
    <n v="2"/>
    <s v="쇼핑백"/>
    <s v="유즈쇼핑백"/>
    <n v="200622"/>
    <m/>
    <n v="4000"/>
    <n v="3766"/>
    <n v="2420"/>
    <n v="3636.363636363636"/>
    <s v="카페24쇼핑백유즈쇼핑백200622"/>
  </r>
  <r>
    <x v="61"/>
    <s v="금"/>
    <m/>
    <s v="카페24"/>
    <m/>
    <n v="5"/>
    <s v="고체향수"/>
    <s v="이그나이트"/>
    <n v="200622"/>
    <m/>
    <n v="170000"/>
    <n v="160055"/>
    <n v="14440"/>
    <n v="154545.4545454545"/>
    <s v="카페24고체향수이그나이트200622"/>
  </r>
  <r>
    <x v="62"/>
    <s v="토"/>
    <m/>
    <s v="카페24"/>
    <m/>
    <n v="3"/>
    <s v="고체향수"/>
    <s v="이그나이트 + 스테이포에버"/>
    <n v="200622"/>
    <m/>
    <n v="195000"/>
    <n v="183592.5"/>
    <n v="17013"/>
    <n v="177272.7272727273"/>
    <s v="카페24고체향수이그나이트 + 스테이포에버200622"/>
  </r>
  <r>
    <x v="62"/>
    <s v="토"/>
    <m/>
    <s v="카페24"/>
    <m/>
    <n v="88"/>
    <s v="고체향수"/>
    <s v="스테이포에버"/>
    <n v="200622"/>
    <m/>
    <n v="2992000"/>
    <n v="2816968"/>
    <n v="244904"/>
    <n v="2720000"/>
    <s v="카페24고체향수스테이포에버200622"/>
  </r>
  <r>
    <x v="62"/>
    <s v="토"/>
    <m/>
    <s v="카페24"/>
    <m/>
    <n v="15"/>
    <s v="고체향수"/>
    <s v="스테이포에버 2set"/>
    <n v="200622"/>
    <m/>
    <n v="882000"/>
    <n v="830403"/>
    <n v="83490"/>
    <n v="801818.1818181818"/>
    <s v="카페24고체향수스테이포에버 2set200622"/>
  </r>
  <r>
    <x v="62"/>
    <s v="토"/>
    <m/>
    <s v="카페24"/>
    <m/>
    <n v="2"/>
    <s v="쇼핑백"/>
    <s v="유즈쇼핑백"/>
    <n v="200622"/>
    <m/>
    <n v="4000"/>
    <n v="3766"/>
    <n v="2420"/>
    <n v="3636.363636363636"/>
    <s v="카페24쇼핑백유즈쇼핑백200622"/>
  </r>
  <r>
    <x v="62"/>
    <s v="토"/>
    <m/>
    <s v="카페24"/>
    <m/>
    <n v="1"/>
    <s v="고체향수"/>
    <s v="이그나이트"/>
    <n v="200622"/>
    <m/>
    <n v="34000"/>
    <n v="32011"/>
    <n v="2888"/>
    <n v="30909.09090909091"/>
    <s v="카페24고체향수이그나이트200622"/>
  </r>
  <r>
    <x v="63"/>
    <s v="일"/>
    <m/>
    <s v="카페24"/>
    <m/>
    <n v="3"/>
    <s v="고체향수"/>
    <s v="이그나이트 + 스테이포에버"/>
    <n v="200622"/>
    <m/>
    <n v="195000"/>
    <n v="183592.5"/>
    <n v="17013"/>
    <n v="177272.7272727273"/>
    <s v="카페24고체향수이그나이트 + 스테이포에버200622"/>
  </r>
  <r>
    <x v="63"/>
    <s v="일"/>
    <m/>
    <s v="카페24"/>
    <m/>
    <n v="124"/>
    <s v="고체향수"/>
    <s v="스테이포에버"/>
    <n v="200622"/>
    <m/>
    <n v="4216000"/>
    <n v="3969364"/>
    <n v="345092"/>
    <n v="3832727.272727272"/>
    <s v="카페24고체향수스테이포에버200622"/>
  </r>
  <r>
    <x v="63"/>
    <s v="일"/>
    <m/>
    <s v="카페24"/>
    <m/>
    <n v="21"/>
    <s v="고체향수"/>
    <s v="스테이포에버 2set"/>
    <n v="200622"/>
    <m/>
    <n v="1234800"/>
    <n v="1162564.2"/>
    <n v="116886"/>
    <n v="1122545.454545454"/>
    <s v="카페24고체향수스테이포에버 2set200622"/>
  </r>
  <r>
    <x v="63"/>
    <s v="일"/>
    <m/>
    <s v="카페24"/>
    <m/>
    <n v="1"/>
    <s v="쇼핑백"/>
    <s v="유즈쇼핑백"/>
    <n v="200622"/>
    <m/>
    <n v="2000"/>
    <n v="1883"/>
    <n v="1210"/>
    <n v="1818.181818181818"/>
    <s v="카페24쇼핑백유즈쇼핑백200622"/>
  </r>
  <r>
    <x v="63"/>
    <s v="일"/>
    <m/>
    <s v="카페24"/>
    <m/>
    <n v="4"/>
    <s v="고체향수"/>
    <s v="이그나이트"/>
    <n v="200622"/>
    <m/>
    <n v="136000"/>
    <n v="128044"/>
    <n v="11552"/>
    <n v="123636.3636363636"/>
    <s v="카페24고체향수이그나이트200622"/>
  </r>
  <r>
    <x v="64"/>
    <s v="월"/>
    <m/>
    <s v="카페24"/>
    <m/>
    <n v="3"/>
    <s v="고체향수"/>
    <s v="이그나이트 + 스테이포에버"/>
    <n v="200622"/>
    <m/>
    <n v="195000"/>
    <n v="183592.5"/>
    <n v="17013"/>
    <n v="177272.7272727273"/>
    <s v="카페24고체향수이그나이트 + 스테이포에버200622"/>
  </r>
  <r>
    <x v="64"/>
    <s v="월"/>
    <m/>
    <s v="카페24"/>
    <m/>
    <n v="84"/>
    <s v="고체향수"/>
    <s v="스테이포에버"/>
    <n v="200622"/>
    <m/>
    <n v="2856000"/>
    <n v="2688924"/>
    <n v="233772"/>
    <n v="2596363.636363636"/>
    <s v="카페24고체향수스테이포에버200622"/>
  </r>
  <r>
    <x v="64"/>
    <s v="월"/>
    <m/>
    <s v="카페24"/>
    <m/>
    <n v="17"/>
    <s v="고체향수"/>
    <s v="스테이포에버 2set"/>
    <n v="200622"/>
    <m/>
    <n v="999600"/>
    <n v="941123.4"/>
    <n v="94622"/>
    <n v="908727.2727272727"/>
    <s v="카페24고체향수스테이포에버 2set200622"/>
  </r>
  <r>
    <x v="64"/>
    <s v="월"/>
    <m/>
    <s v="카페24"/>
    <m/>
    <n v="1"/>
    <s v="쇼핑백"/>
    <s v="유즈쇼핑백"/>
    <n v="200622"/>
    <m/>
    <n v="2000"/>
    <n v="1883"/>
    <n v="1210"/>
    <n v="1818.181818181818"/>
    <s v="카페24쇼핑백유즈쇼핑백200622"/>
  </r>
  <r>
    <x v="64"/>
    <s v="월"/>
    <m/>
    <s v="카페24"/>
    <m/>
    <n v="6"/>
    <s v="고체향수"/>
    <s v="이그나이트"/>
    <n v="200622"/>
    <m/>
    <n v="204000"/>
    <n v="192066"/>
    <n v="17328"/>
    <n v="185454.5454545454"/>
    <s v="카페24고체향수이그나이트200622"/>
  </r>
  <r>
    <x v="65"/>
    <s v="화"/>
    <m/>
    <s v="카페24"/>
    <m/>
    <n v="103"/>
    <s v="고체향수"/>
    <s v="스테이포에버"/>
    <n v="200622"/>
    <m/>
    <n v="3502000"/>
    <n v="3297133"/>
    <n v="286649"/>
    <n v="3183636.363636363"/>
    <s v="카페24고체향수스테이포에버200622"/>
  </r>
  <r>
    <x v="65"/>
    <s v="화"/>
    <m/>
    <s v="카페24"/>
    <m/>
    <n v="17"/>
    <s v="고체향수"/>
    <s v="스테이포에버 2set"/>
    <n v="200622"/>
    <m/>
    <n v="999600"/>
    <n v="941123.4"/>
    <n v="94622"/>
    <n v="908727.2727272727"/>
    <s v="카페24고체향수스테이포에버 2set200622"/>
  </r>
  <r>
    <x v="65"/>
    <s v="화"/>
    <m/>
    <s v="카페24"/>
    <m/>
    <n v="5"/>
    <s v="고체향수"/>
    <s v="이그나이트"/>
    <n v="200622"/>
    <m/>
    <n v="170000"/>
    <n v="160055"/>
    <n v="14440"/>
    <n v="154545.4545454545"/>
    <s v="카페24고체향수이그나이트200622"/>
  </r>
  <r>
    <x v="65"/>
    <s v="화"/>
    <m/>
    <s v="카페24"/>
    <m/>
    <n v="1"/>
    <s v="고체향수"/>
    <s v="이그나이트 2set"/>
    <n v="200622"/>
    <m/>
    <n v="58800"/>
    <n v="55360.2"/>
    <n v="5776"/>
    <n v="53454.54545454545"/>
    <s v="카페24고체향수이그나이트 2set200622"/>
  </r>
  <r>
    <x v="65"/>
    <s v="화"/>
    <m/>
    <s v="카페24"/>
    <m/>
    <n v="2"/>
    <s v="쇼핑백"/>
    <s v="유즈쇼핑백"/>
    <n v="200622"/>
    <m/>
    <n v="4000"/>
    <n v="3766"/>
    <n v="2420"/>
    <n v="3636.363636363636"/>
    <s v="카페24쇼핑백유즈쇼핑백200622"/>
  </r>
  <r>
    <x v="66"/>
    <s v="수"/>
    <m/>
    <s v="카페24"/>
    <m/>
    <n v="3"/>
    <s v="고체향수"/>
    <s v="이그나이트 + 스테이포에버"/>
    <n v="200622"/>
    <m/>
    <n v="195000"/>
    <n v="183592.5"/>
    <n v="17013"/>
    <n v="177272.7272727273"/>
    <s v="카페24고체향수이그나이트 + 스테이포에버200622"/>
  </r>
  <r>
    <x v="66"/>
    <s v="수"/>
    <m/>
    <s v="카페24"/>
    <m/>
    <n v="85"/>
    <s v="고체향수"/>
    <s v="스테이포에버"/>
    <n v="200622"/>
    <m/>
    <n v="2890000"/>
    <n v="2720935"/>
    <n v="236555"/>
    <n v="2627272.727272727"/>
    <s v="카페24고체향수스테이포에버200622"/>
  </r>
  <r>
    <x v="66"/>
    <s v="수"/>
    <m/>
    <s v="카페24"/>
    <m/>
    <n v="11"/>
    <s v="고체향수"/>
    <s v="스테이포에버 2set"/>
    <n v="200622"/>
    <m/>
    <n v="646800"/>
    <n v="608962.2"/>
    <n v="61226"/>
    <n v="588000"/>
    <s v="카페24고체향수스테이포에버 2set200622"/>
  </r>
  <r>
    <x v="66"/>
    <s v="수"/>
    <m/>
    <s v="카페24"/>
    <m/>
    <n v="4"/>
    <s v="고체향수"/>
    <s v="이그나이트"/>
    <n v="200622"/>
    <m/>
    <n v="136000"/>
    <n v="128044"/>
    <n v="11552"/>
    <n v="123636.3636363636"/>
    <s v="카페24고체향수이그나이트200622"/>
  </r>
  <r>
    <x v="66"/>
    <s v="수"/>
    <m/>
    <s v="카페24"/>
    <m/>
    <n v="1"/>
    <s v="쇼핑백"/>
    <s v="유즈쇼핑백"/>
    <n v="200622"/>
    <m/>
    <n v="2000"/>
    <n v="1883"/>
    <n v="1210"/>
    <n v="1818.181818181818"/>
    <s v="카페24쇼핑백유즈쇼핑백200622"/>
  </r>
  <r>
    <x v="67"/>
    <s v="목"/>
    <m/>
    <s v="카페24"/>
    <m/>
    <n v="2"/>
    <s v="고체향수"/>
    <s v="이그나이트 + 스테이포에버"/>
    <n v="200622"/>
    <m/>
    <n v="130000"/>
    <n v="122395"/>
    <n v="11342"/>
    <n v="118181.8181818182"/>
    <s v="카페24고체향수이그나이트 + 스테이포에버200622"/>
  </r>
  <r>
    <x v="67"/>
    <s v="목"/>
    <m/>
    <s v="카페24"/>
    <m/>
    <n v="49"/>
    <s v="고체향수"/>
    <s v="스테이포에버"/>
    <n v="200622"/>
    <m/>
    <n v="1666000"/>
    <n v="1568539"/>
    <n v="136367"/>
    <n v="1514545.454545454"/>
    <s v="카페24고체향수스테이포에버200622"/>
  </r>
  <r>
    <x v="67"/>
    <s v="목"/>
    <m/>
    <s v="카페24"/>
    <m/>
    <n v="9"/>
    <s v="고체향수"/>
    <s v="스테이포에버 2set"/>
    <n v="200622"/>
    <m/>
    <n v="529200"/>
    <n v="498241.8"/>
    <n v="50094"/>
    <n v="481090.9090909091"/>
    <s v="카페24고체향수스테이포에버 2set200622"/>
  </r>
  <r>
    <x v="67"/>
    <s v="목"/>
    <m/>
    <s v="카페24"/>
    <m/>
    <n v="5"/>
    <s v="고체향수"/>
    <s v="이그나이트"/>
    <n v="200622"/>
    <m/>
    <n v="170000"/>
    <n v="160055"/>
    <n v="14440"/>
    <n v="154545.4545454545"/>
    <s v="카페24고체향수이그나이트200622"/>
  </r>
  <r>
    <x v="67"/>
    <s v="목"/>
    <m/>
    <s v="카페24"/>
    <m/>
    <n v="1"/>
    <s v="고체향수"/>
    <s v="이그나이트 2set"/>
    <n v="200622"/>
    <m/>
    <n v="58800"/>
    <n v="55360.2"/>
    <n v="5776"/>
    <n v="53454.54545454545"/>
    <s v="카페24고체향수이그나이트 2set200622"/>
  </r>
  <r>
    <x v="68"/>
    <s v="금"/>
    <m/>
    <s v="카페24"/>
    <m/>
    <n v="52"/>
    <s v="고체향수"/>
    <s v="스테이포에버"/>
    <n v="200622"/>
    <m/>
    <n v="1768000"/>
    <n v="1664572"/>
    <n v="144716"/>
    <n v="1607272.727272727"/>
    <s v="카페24고체향수스테이포에버200622"/>
  </r>
  <r>
    <x v="68"/>
    <s v="금"/>
    <m/>
    <s v="카페24"/>
    <m/>
    <n v="8"/>
    <s v="고체향수"/>
    <s v="스테이포에버 2set"/>
    <n v="200622"/>
    <m/>
    <n v="470400"/>
    <n v="442881.6"/>
    <n v="44528"/>
    <n v="427636.3636363636"/>
    <s v="카페24고체향수스테이포에버 2set200622"/>
  </r>
  <r>
    <x v="68"/>
    <s v="금"/>
    <m/>
    <s v="카페24"/>
    <m/>
    <n v="3"/>
    <s v="고체향수"/>
    <s v="이그나이트"/>
    <n v="200622"/>
    <m/>
    <n v="102000"/>
    <n v="96033"/>
    <n v="8664"/>
    <n v="92727.27272727272"/>
    <s v="카페24고체향수이그나이트200622"/>
  </r>
  <r>
    <x v="69"/>
    <s v="토"/>
    <m/>
    <s v="카페24"/>
    <m/>
    <n v="50"/>
    <s v="고체향수"/>
    <s v="스테이포에버"/>
    <n v="200720"/>
    <m/>
    <n v="1700000"/>
    <n v="1600550"/>
    <n v="139150"/>
    <n v="1545454.545454545"/>
    <s v="카페24고체향수스테이포에버200720"/>
  </r>
  <r>
    <x v="69"/>
    <s v="토"/>
    <m/>
    <s v="카페24"/>
    <m/>
    <n v="11"/>
    <s v="고체향수"/>
    <s v="스테이포에버 2set"/>
    <n v="200720"/>
    <m/>
    <n v="646800"/>
    <n v="608962.2"/>
    <n v="61226"/>
    <n v="588000"/>
    <s v="카페24고체향수스테이포에버 2set200720"/>
  </r>
  <r>
    <x v="69"/>
    <s v="토"/>
    <m/>
    <s v="카페24"/>
    <m/>
    <n v="2"/>
    <s v="고체향수"/>
    <s v="이그나이트"/>
    <n v="200720"/>
    <m/>
    <n v="68000"/>
    <n v="64022"/>
    <n v="5776"/>
    <n v="61818.18181818182"/>
    <s v="카페24고체향수이그나이트200720"/>
  </r>
  <r>
    <x v="69"/>
    <s v="토"/>
    <m/>
    <s v="카페24"/>
    <m/>
    <n v="2"/>
    <s v="고체향수"/>
    <s v="이그나이트 2set"/>
    <n v="200720"/>
    <m/>
    <n v="117600"/>
    <n v="110720.4"/>
    <n v="11552"/>
    <n v="106909.0909090909"/>
    <s v="카페24고체향수이그나이트 2set200720"/>
  </r>
  <r>
    <x v="70"/>
    <s v="일"/>
    <m/>
    <s v="카페24"/>
    <m/>
    <n v="55"/>
    <s v="고체향수"/>
    <s v="스테이포에버"/>
    <n v="200720"/>
    <m/>
    <n v="1870000"/>
    <n v="1760605"/>
    <n v="153065"/>
    <n v="1700000"/>
    <s v="카페24고체향수스테이포에버200720"/>
  </r>
  <r>
    <x v="70"/>
    <s v="일"/>
    <m/>
    <s v="카페24"/>
    <m/>
    <n v="9"/>
    <s v="고체향수"/>
    <s v="스테이포에버 2set"/>
    <n v="200720"/>
    <m/>
    <n v="529200"/>
    <n v="498241.8"/>
    <n v="50094"/>
    <n v="481090.9090909091"/>
    <s v="카페24고체향수스테이포에버 2set200720"/>
  </r>
  <r>
    <x v="70"/>
    <s v="일"/>
    <m/>
    <s v="카페24"/>
    <m/>
    <n v="2"/>
    <s v="고체향수"/>
    <s v="이그나이트"/>
    <n v="200720"/>
    <m/>
    <n v="68000"/>
    <n v="64022"/>
    <n v="5776"/>
    <n v="61818.18181818182"/>
    <s v="카페24고체향수이그나이트200720"/>
  </r>
  <r>
    <x v="70"/>
    <s v="일"/>
    <m/>
    <s v="카페24"/>
    <m/>
    <n v="1"/>
    <s v="쇼핑백"/>
    <s v="유즈쇼핑백"/>
    <n v="200720"/>
    <m/>
    <n v="2000"/>
    <n v="1883"/>
    <n v="1210"/>
    <n v="1818.181818181818"/>
    <s v="카페24쇼핑백유즈쇼핑백200720"/>
  </r>
  <r>
    <x v="71"/>
    <s v="월"/>
    <m/>
    <s v="카페24"/>
    <m/>
    <n v="2"/>
    <s v="고체향수"/>
    <s v="이그나이트 + 스테이포에버"/>
    <n v="200720"/>
    <m/>
    <n v="117600"/>
    <n v="110720.4"/>
    <n v="11342"/>
    <n v="106909.0909090909"/>
    <s v="카페24고체향수이그나이트 + 스테이포에버200720"/>
  </r>
  <r>
    <x v="71"/>
    <s v="월"/>
    <m/>
    <s v="카페24"/>
    <m/>
    <n v="61"/>
    <s v="고체향수"/>
    <s v="스테이포에버"/>
    <n v="200720"/>
    <m/>
    <n v="2074000"/>
    <n v="1952671"/>
    <n v="169763"/>
    <n v="1885454.545454545"/>
    <s v="카페24고체향수스테이포에버200720"/>
  </r>
  <r>
    <x v="71"/>
    <s v="월"/>
    <m/>
    <s v="카페24"/>
    <m/>
    <n v="14"/>
    <s v="고체향수"/>
    <s v="스테이포에버 2set"/>
    <n v="200720"/>
    <m/>
    <n v="823200"/>
    <n v="775042.8"/>
    <n v="77924"/>
    <n v="748363.6363636364"/>
    <s v="카페24고체향수스테이포에버 2set200720"/>
  </r>
  <r>
    <x v="71"/>
    <s v="월"/>
    <m/>
    <s v="카페24"/>
    <m/>
    <n v="5"/>
    <s v="고체향수"/>
    <s v="이그나이트"/>
    <n v="200720"/>
    <m/>
    <n v="170000"/>
    <n v="160055"/>
    <n v="14440"/>
    <n v="154545.4545454545"/>
    <s v="카페24고체향수이그나이트200720"/>
  </r>
  <r>
    <x v="72"/>
    <s v="화"/>
    <m/>
    <s v="카페24"/>
    <m/>
    <n v="4"/>
    <s v="고체향수"/>
    <s v="이그나이트 + 스테이포에버"/>
    <n v="200720"/>
    <m/>
    <n v="235200"/>
    <n v="221440.8"/>
    <n v="22684"/>
    <n v="213818.1818181818"/>
    <s v="카페24고체향수이그나이트 + 스테이포에버200720"/>
  </r>
  <r>
    <x v="72"/>
    <s v="화"/>
    <m/>
    <s v="카페24"/>
    <m/>
    <n v="69"/>
    <s v="고체향수"/>
    <s v="스테이포에버"/>
    <n v="200720"/>
    <m/>
    <n v="2346000"/>
    <n v="2208759"/>
    <n v="192027"/>
    <n v="2132727.272727272"/>
    <s v="카페24고체향수스테이포에버200720"/>
  </r>
  <r>
    <x v="72"/>
    <s v="화"/>
    <m/>
    <s v="카페24"/>
    <m/>
    <n v="12"/>
    <s v="고체향수"/>
    <s v="스테이포에버 2set"/>
    <n v="200720"/>
    <m/>
    <n v="705600"/>
    <n v="664322.4"/>
    <n v="66792"/>
    <n v="641454.5454545454"/>
    <s v="카페24고체향수스테이포에버 2set200720"/>
  </r>
  <r>
    <x v="72"/>
    <s v="화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72"/>
    <s v="화"/>
    <m/>
    <s v="카페24"/>
    <m/>
    <n v="1"/>
    <s v="쇼핑백"/>
    <s v="유즈쇼핑백"/>
    <n v="200720"/>
    <m/>
    <n v="2000"/>
    <n v="1883"/>
    <n v="1210"/>
    <n v="1818.181818181818"/>
    <s v="카페24쇼핑백유즈쇼핑백200720"/>
  </r>
  <r>
    <x v="73"/>
    <s v="수"/>
    <m/>
    <s v="카페24"/>
    <m/>
    <n v="2"/>
    <s v="고체향수"/>
    <s v="이그나이트 + 스테이포에버"/>
    <n v="200720"/>
    <m/>
    <n v="117600"/>
    <n v="110720.4"/>
    <n v="11342"/>
    <n v="106909.0909090909"/>
    <s v="카페24고체향수이그나이트 + 스테이포에버200720"/>
  </r>
  <r>
    <x v="73"/>
    <s v="수"/>
    <m/>
    <s v="카페24"/>
    <m/>
    <n v="70"/>
    <s v="고체향수"/>
    <s v="스테이포에버"/>
    <n v="200720"/>
    <m/>
    <n v="2380000"/>
    <n v="2240770"/>
    <n v="194810"/>
    <n v="2163636.363636363"/>
    <s v="카페24고체향수스테이포에버200720"/>
  </r>
  <r>
    <x v="73"/>
    <s v="수"/>
    <m/>
    <s v="카페24"/>
    <m/>
    <n v="6"/>
    <s v="고체향수"/>
    <s v="스테이포에버 2set"/>
    <n v="200720"/>
    <m/>
    <n v="352800"/>
    <n v="332161.2"/>
    <n v="33396"/>
    <n v="320727.2727272727"/>
    <s v="카페24고체향수스테이포에버 2set200720"/>
  </r>
  <r>
    <x v="73"/>
    <s v="수"/>
    <m/>
    <s v="카페24"/>
    <m/>
    <n v="2"/>
    <s v="고체향수"/>
    <s v="이그나이트"/>
    <n v="200720"/>
    <m/>
    <n v="68000"/>
    <n v="64022"/>
    <n v="5776"/>
    <n v="61818.18181818182"/>
    <s v="카페24고체향수이그나이트200720"/>
  </r>
  <r>
    <x v="73"/>
    <s v="수"/>
    <m/>
    <s v="카페24"/>
    <m/>
    <n v="3"/>
    <s v="쇼핑백"/>
    <s v="유즈쇼핑백"/>
    <n v="200720"/>
    <m/>
    <n v="6000"/>
    <n v="5649"/>
    <n v="3630"/>
    <n v="5454.545454545454"/>
    <s v="카페24쇼핑백유즈쇼핑백200720"/>
  </r>
  <r>
    <x v="74"/>
    <s v="목"/>
    <m/>
    <s v="카페24"/>
    <m/>
    <n v="2"/>
    <s v="고체향수"/>
    <s v="이그나이트 + 스테이포에버"/>
    <n v="200720"/>
    <m/>
    <n v="117600"/>
    <n v="110720.4"/>
    <n v="11342"/>
    <n v="106909.0909090909"/>
    <s v="카페24고체향수이그나이트 + 스테이포에버200720"/>
  </r>
  <r>
    <x v="74"/>
    <s v="목"/>
    <m/>
    <s v="카페24"/>
    <m/>
    <n v="54"/>
    <s v="고체향수"/>
    <s v="스테이포에버"/>
    <n v="200720"/>
    <m/>
    <n v="1836000"/>
    <n v="1728594"/>
    <n v="150282"/>
    <n v="1669090.909090909"/>
    <s v="카페24고체향수스테이포에버200720"/>
  </r>
  <r>
    <x v="74"/>
    <s v="목"/>
    <m/>
    <s v="카페24"/>
    <m/>
    <n v="11"/>
    <s v="고체향수"/>
    <s v="스테이포에버 2set"/>
    <n v="200720"/>
    <m/>
    <n v="646800"/>
    <n v="608962.2"/>
    <n v="61226"/>
    <n v="588000"/>
    <s v="카페24고체향수스테이포에버 2set200720"/>
  </r>
  <r>
    <x v="74"/>
    <s v="목"/>
    <m/>
    <s v="카페24"/>
    <m/>
    <n v="2"/>
    <s v="쇼핑백"/>
    <s v="유즈쇼핑백"/>
    <n v="200720"/>
    <m/>
    <n v="4000"/>
    <n v="3766"/>
    <n v="2420"/>
    <n v="3636.363636363636"/>
    <s v="카페24쇼핑백유즈쇼핑백200720"/>
  </r>
  <r>
    <x v="75"/>
    <s v="금"/>
    <m/>
    <s v="카페24"/>
    <m/>
    <n v="2"/>
    <s v="고체향수"/>
    <s v="이그나이트 + 스테이포에버"/>
    <n v="200720"/>
    <m/>
    <n v="117600"/>
    <n v="110720.4"/>
    <n v="11342"/>
    <n v="106909.0909090909"/>
    <s v="카페24고체향수이그나이트 + 스테이포에버200720"/>
  </r>
  <r>
    <x v="75"/>
    <s v="금"/>
    <m/>
    <s v="카페24"/>
    <m/>
    <n v="68"/>
    <s v="고체향수"/>
    <s v="스테이포에버"/>
    <n v="200720"/>
    <m/>
    <n v="2312000"/>
    <n v="2176748"/>
    <n v="189244"/>
    <n v="2101818.181818182"/>
    <s v="카페24고체향수스테이포에버200720"/>
  </r>
  <r>
    <x v="75"/>
    <s v="금"/>
    <m/>
    <s v="카페24"/>
    <m/>
    <n v="8"/>
    <s v="고체향수"/>
    <s v="스테이포에버 2set"/>
    <n v="200720"/>
    <m/>
    <n v="470400"/>
    <n v="442881.6"/>
    <n v="44528"/>
    <n v="427636.3636363636"/>
    <s v="카페24고체향수스테이포에버 2set200720"/>
  </r>
  <r>
    <x v="75"/>
    <s v="금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75"/>
    <s v="금"/>
    <m/>
    <s v="카페24"/>
    <m/>
    <n v="1"/>
    <s v="쇼핑백"/>
    <s v="유즈쇼핑백"/>
    <n v="200720"/>
    <m/>
    <n v="2000"/>
    <n v="1883"/>
    <n v="1210"/>
    <n v="1818.181818181818"/>
    <s v="카페24쇼핑백유즈쇼핑백200720"/>
  </r>
  <r>
    <x v="76"/>
    <s v="토"/>
    <m/>
    <s v="카페24"/>
    <m/>
    <n v="2"/>
    <s v="고체향수"/>
    <s v="이그나이트 + 스테이포에버"/>
    <n v="200720"/>
    <m/>
    <n v="117600"/>
    <n v="110720.4"/>
    <n v="11342"/>
    <n v="106909.0909090909"/>
    <s v="카페24고체향수이그나이트 + 스테이포에버200720"/>
  </r>
  <r>
    <x v="76"/>
    <s v="토"/>
    <m/>
    <s v="카페24"/>
    <m/>
    <n v="65"/>
    <s v="고체향수"/>
    <s v="스테이포에버"/>
    <n v="200720"/>
    <m/>
    <n v="2210000"/>
    <n v="2080715"/>
    <n v="180895"/>
    <n v="2009090.909090909"/>
    <s v="카페24고체향수스테이포에버200720"/>
  </r>
  <r>
    <x v="76"/>
    <s v="토"/>
    <m/>
    <s v="카페24"/>
    <m/>
    <n v="8"/>
    <s v="고체향수"/>
    <s v="스테이포에버 2set"/>
    <n v="200720"/>
    <m/>
    <n v="470400"/>
    <n v="442881.6"/>
    <n v="44528"/>
    <n v="427636.3636363636"/>
    <s v="카페24고체향수스테이포에버 2set200720"/>
  </r>
  <r>
    <x v="76"/>
    <s v="토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77"/>
    <s v="일"/>
    <m/>
    <s v="카페24"/>
    <m/>
    <n v="2"/>
    <s v="고체향수"/>
    <s v="이그나이트 + 스테이포에버"/>
    <n v="200720"/>
    <m/>
    <n v="117600"/>
    <n v="110720.4"/>
    <n v="11342"/>
    <n v="106909.0909090909"/>
    <s v="카페24고체향수이그나이트 + 스테이포에버200720"/>
  </r>
  <r>
    <x v="77"/>
    <s v="일"/>
    <m/>
    <s v="카페24"/>
    <m/>
    <n v="76"/>
    <s v="고체향수"/>
    <s v="스테이포에버"/>
    <n v="200720"/>
    <m/>
    <n v="2584000"/>
    <n v="2432836"/>
    <n v="211508"/>
    <n v="2349090.909090909"/>
    <s v="카페24고체향수스테이포에버200720"/>
  </r>
  <r>
    <x v="77"/>
    <s v="일"/>
    <m/>
    <s v="카페24"/>
    <m/>
    <n v="12"/>
    <s v="고체향수"/>
    <s v="스테이포에버 2set"/>
    <n v="200720"/>
    <m/>
    <n v="705600"/>
    <n v="664322.4"/>
    <n v="66792"/>
    <n v="641454.5454545454"/>
    <s v="카페24고체향수스테이포에버 2set200720"/>
  </r>
  <r>
    <x v="77"/>
    <s v="일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78"/>
    <s v="월"/>
    <m/>
    <s v="카페24"/>
    <m/>
    <n v="2"/>
    <s v="고체향수"/>
    <s v="이그나이트 + 스테이포에버"/>
    <n v="200720"/>
    <m/>
    <n v="117600"/>
    <n v="110720.4"/>
    <n v="11342"/>
    <n v="106909.0909090909"/>
    <s v="카페24고체향수이그나이트 + 스테이포에버200720"/>
  </r>
  <r>
    <x v="78"/>
    <s v="월"/>
    <m/>
    <s v="카페24"/>
    <m/>
    <n v="69"/>
    <s v="고체향수"/>
    <s v="스테이포에버"/>
    <n v="200720"/>
    <m/>
    <n v="2346000"/>
    <n v="2208759"/>
    <n v="192027"/>
    <n v="2132727.272727272"/>
    <s v="카페24고체향수스테이포에버200720"/>
  </r>
  <r>
    <x v="78"/>
    <s v="월"/>
    <m/>
    <s v="카페24"/>
    <m/>
    <n v="14"/>
    <s v="고체향수"/>
    <s v="스테이포에버 2set"/>
    <n v="200720"/>
    <m/>
    <n v="823200"/>
    <n v="775042.8"/>
    <n v="77924"/>
    <n v="748363.6363636364"/>
    <s v="카페24고체향수스테이포에버 2set200720"/>
  </r>
  <r>
    <x v="78"/>
    <s v="월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78"/>
    <s v="월"/>
    <m/>
    <s v="카페24"/>
    <m/>
    <n v="1"/>
    <s v="쇼핑백"/>
    <s v="유즈쇼핑백"/>
    <n v="200720"/>
    <m/>
    <n v="2000"/>
    <n v="1883"/>
    <n v="1210"/>
    <n v="1818.181818181818"/>
    <s v="카페24쇼핑백유즈쇼핑백200720"/>
  </r>
  <r>
    <x v="79"/>
    <s v="화"/>
    <m/>
    <s v="유즈 CS"/>
    <m/>
    <n v="1"/>
    <s v="고체향수"/>
    <s v="이그나이트"/>
    <n v="200520"/>
    <m/>
    <n v="0"/>
    <n v="0"/>
    <n v="2888"/>
    <n v="0"/>
    <s v="유즈 CS고체향수이그나이트200520"/>
  </r>
  <r>
    <x v="79"/>
    <s v="화"/>
    <m/>
    <s v="카페24"/>
    <m/>
    <n v="2"/>
    <s v="고체향수"/>
    <s v="이그나이트 + 스테이포에버"/>
    <n v="200720"/>
    <m/>
    <n v="117600"/>
    <n v="110720.4"/>
    <n v="11342"/>
    <n v="106909.0909090909"/>
    <s v="카페24고체향수이그나이트 + 스테이포에버200720"/>
  </r>
  <r>
    <x v="79"/>
    <s v="화"/>
    <m/>
    <s v="카페24"/>
    <m/>
    <n v="64"/>
    <s v="고체향수"/>
    <s v="스테이포에버"/>
    <n v="200720"/>
    <m/>
    <n v="2176000"/>
    <n v="2048704"/>
    <n v="178112"/>
    <n v="1978181.818181818"/>
    <s v="카페24고체향수스테이포에버200720"/>
  </r>
  <r>
    <x v="79"/>
    <s v="화"/>
    <m/>
    <s v="카페24"/>
    <m/>
    <n v="7"/>
    <s v="고체향수"/>
    <s v="스테이포에버 2set"/>
    <n v="200720"/>
    <m/>
    <n v="411600"/>
    <n v="387521.4"/>
    <n v="38962"/>
    <n v="374181.8181818182"/>
    <s v="카페24고체향수스테이포에버 2set200720"/>
  </r>
  <r>
    <x v="79"/>
    <s v="화"/>
    <m/>
    <s v="카페24"/>
    <m/>
    <n v="2"/>
    <s v="쇼핑백"/>
    <s v="유즈쇼핑백"/>
    <n v="200720"/>
    <m/>
    <n v="4000"/>
    <n v="3766"/>
    <n v="2420"/>
    <n v="3636.363636363636"/>
    <s v="카페24쇼핑백유즈쇼핑백200720"/>
  </r>
  <r>
    <x v="80"/>
    <s v="수"/>
    <m/>
    <s v="카페24"/>
    <m/>
    <n v="7"/>
    <s v="고체향수"/>
    <s v="이그나이트 + 스테이포에버"/>
    <n v="200720"/>
    <m/>
    <n v="411600"/>
    <n v="387521.4"/>
    <n v="39697"/>
    <n v="374181.8181818182"/>
    <s v="카페24고체향수이그나이트 + 스테이포에버200720"/>
  </r>
  <r>
    <x v="80"/>
    <s v="수"/>
    <m/>
    <s v="카페24"/>
    <m/>
    <n v="59"/>
    <s v="고체향수"/>
    <s v="스테이포에버"/>
    <n v="200720"/>
    <m/>
    <n v="2006000"/>
    <n v="1888649"/>
    <n v="164197"/>
    <n v="1823636.363636364"/>
    <s v="카페24고체향수스테이포에버200720"/>
  </r>
  <r>
    <x v="80"/>
    <s v="수"/>
    <m/>
    <s v="카페24"/>
    <m/>
    <n v="8"/>
    <s v="고체향수"/>
    <s v="스테이포에버 2set"/>
    <n v="200720"/>
    <m/>
    <n v="470400"/>
    <n v="442881.6"/>
    <n v="44528"/>
    <n v="427636.3636363636"/>
    <s v="카페24고체향수스테이포에버 2set200720"/>
  </r>
  <r>
    <x v="80"/>
    <s v="수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80"/>
    <s v="수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80"/>
    <s v="수"/>
    <m/>
    <s v="카페24"/>
    <m/>
    <n v="2"/>
    <s v="쇼핑백"/>
    <s v="유즈쇼핑백"/>
    <n v="200720"/>
    <m/>
    <n v="4000"/>
    <n v="3766"/>
    <n v="2420"/>
    <n v="3636.363636363636"/>
    <s v="카페24쇼핑백유즈쇼핑백200720"/>
  </r>
  <r>
    <x v="81"/>
    <s v="목"/>
    <m/>
    <s v="카페24"/>
    <m/>
    <n v="2"/>
    <s v="고체향수"/>
    <s v="이그나이트 + 스테이포에버"/>
    <n v="200720"/>
    <m/>
    <n v="117600"/>
    <n v="110720.4"/>
    <n v="11342"/>
    <n v="106909.0909090909"/>
    <s v="카페24고체향수이그나이트 + 스테이포에버200720"/>
  </r>
  <r>
    <x v="81"/>
    <s v="목"/>
    <m/>
    <s v="카페24"/>
    <m/>
    <n v="49"/>
    <s v="고체향수"/>
    <s v="스테이포에버"/>
    <n v="200720"/>
    <m/>
    <n v="1666000"/>
    <n v="1568539"/>
    <n v="136367"/>
    <n v="1514545.454545454"/>
    <s v="카페24고체향수스테이포에버200720"/>
  </r>
  <r>
    <x v="81"/>
    <s v="목"/>
    <m/>
    <s v="카페24"/>
    <m/>
    <n v="10"/>
    <s v="고체향수"/>
    <s v="스테이포에버 2set"/>
    <n v="200720"/>
    <m/>
    <n v="588000"/>
    <n v="553602"/>
    <n v="55660"/>
    <n v="534545.4545454545"/>
    <s v="카페24고체향수스테이포에버 2set200720"/>
  </r>
  <r>
    <x v="81"/>
    <s v="목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82"/>
    <s v="금"/>
    <m/>
    <s v="카페24"/>
    <m/>
    <n v="3"/>
    <s v="고체향수"/>
    <s v="이그나이트 + 스테이포에버"/>
    <n v="200720"/>
    <m/>
    <n v="176400"/>
    <n v="166080.6"/>
    <n v="17013"/>
    <n v="160363.6363636364"/>
    <s v="카페24고체향수이그나이트 + 스테이포에버200720"/>
  </r>
  <r>
    <x v="82"/>
    <s v="금"/>
    <m/>
    <s v="카페24"/>
    <m/>
    <n v="37"/>
    <s v="고체향수"/>
    <s v="스테이포에버"/>
    <n v="200720"/>
    <m/>
    <n v="1258000"/>
    <n v="1184407"/>
    <n v="102971"/>
    <n v="1143636.363636364"/>
    <s v="카페24고체향수스테이포에버200720"/>
  </r>
  <r>
    <x v="82"/>
    <s v="금"/>
    <m/>
    <s v="카페24"/>
    <m/>
    <n v="10"/>
    <s v="고체향수"/>
    <s v="스테이포에버 2set"/>
    <n v="200720"/>
    <m/>
    <n v="588000"/>
    <n v="553602"/>
    <n v="55660"/>
    <n v="534545.4545454545"/>
    <s v="카페24고체향수스테이포에버 2set200720"/>
  </r>
  <r>
    <x v="82"/>
    <s v="금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82"/>
    <s v="금"/>
    <m/>
    <s v="카페24"/>
    <m/>
    <n v="3"/>
    <s v="쇼핑백"/>
    <s v="유즈쇼핑백"/>
    <n v="200720"/>
    <m/>
    <n v="6000"/>
    <n v="5649"/>
    <n v="3630"/>
    <n v="5454.545454545454"/>
    <s v="카페24쇼핑백유즈쇼핑백200720"/>
  </r>
  <r>
    <x v="83"/>
    <s v="토"/>
    <m/>
    <s v="카페24"/>
    <m/>
    <n v="6"/>
    <s v="고체향수"/>
    <s v="이그나이트 + 스테이포에버"/>
    <n v="200720"/>
    <m/>
    <n v="352800"/>
    <n v="332161.2"/>
    <n v="34026"/>
    <n v="320727.2727272727"/>
    <s v="카페24고체향수이그나이트 + 스테이포에버200720"/>
  </r>
  <r>
    <x v="83"/>
    <s v="토"/>
    <m/>
    <s v="카페24"/>
    <m/>
    <n v="35"/>
    <s v="고체향수"/>
    <s v="스테이포에버"/>
    <n v="200720"/>
    <m/>
    <n v="1190000"/>
    <n v="1120385"/>
    <n v="97405"/>
    <n v="1081818.181818182"/>
    <s v="카페24고체향수스테이포에버200720"/>
  </r>
  <r>
    <x v="83"/>
    <s v="토"/>
    <m/>
    <s v="카페24"/>
    <m/>
    <n v="3"/>
    <s v="고체향수"/>
    <s v="스테이포에버 2set"/>
    <n v="200720"/>
    <m/>
    <n v="176400"/>
    <n v="166080.6"/>
    <n v="16698"/>
    <n v="160363.6363636364"/>
    <s v="카페24고체향수스테이포에버 2set200720"/>
  </r>
  <r>
    <x v="83"/>
    <s v="토"/>
    <m/>
    <s v="카페24"/>
    <m/>
    <n v="2"/>
    <s v="쇼핑백"/>
    <s v="유즈쇼핑백"/>
    <n v="200720"/>
    <m/>
    <n v="4000"/>
    <n v="3766"/>
    <n v="2420"/>
    <n v="3636.363636363636"/>
    <s v="카페24쇼핑백유즈쇼핑백200720"/>
  </r>
  <r>
    <x v="84"/>
    <s v="일"/>
    <m/>
    <s v="카페24"/>
    <m/>
    <n v="1"/>
    <s v="고체향수"/>
    <s v="이그나이트 + 스테이포에버"/>
    <n v="200720"/>
    <m/>
    <n v="58800"/>
    <n v="55360.2"/>
    <n v="5671"/>
    <n v="53454.54545454545"/>
    <s v="카페24고체향수이그나이트 + 스테이포에버200720"/>
  </r>
  <r>
    <x v="84"/>
    <s v="일"/>
    <m/>
    <s v="카페24"/>
    <m/>
    <n v="38"/>
    <s v="고체향수"/>
    <s v="스테이포에버"/>
    <n v="200720"/>
    <m/>
    <n v="1292000"/>
    <n v="1216418"/>
    <n v="105754"/>
    <n v="1174545.454545454"/>
    <s v="카페24고체향수스테이포에버200720"/>
  </r>
  <r>
    <x v="84"/>
    <s v="일"/>
    <m/>
    <s v="카페24"/>
    <m/>
    <n v="7"/>
    <s v="고체향수"/>
    <s v="스테이포에버 2set"/>
    <n v="200720"/>
    <m/>
    <n v="411600"/>
    <n v="387521.4"/>
    <n v="38962"/>
    <n v="374181.8181818182"/>
    <s v="카페24고체향수스테이포에버 2set200720"/>
  </r>
  <r>
    <x v="84"/>
    <s v="일"/>
    <m/>
    <s v="카페24"/>
    <m/>
    <n v="2"/>
    <s v="고체향수"/>
    <s v="이그나이트"/>
    <n v="200720"/>
    <m/>
    <n v="68000"/>
    <n v="64022"/>
    <n v="5776"/>
    <n v="61818.18181818182"/>
    <s v="카페24고체향수이그나이트200720"/>
  </r>
  <r>
    <x v="84"/>
    <s v="일"/>
    <m/>
    <s v="카페24"/>
    <m/>
    <n v="2"/>
    <s v="쇼핑백"/>
    <s v="유즈쇼핑백"/>
    <n v="200720"/>
    <m/>
    <n v="4000"/>
    <n v="3766"/>
    <n v="2420"/>
    <n v="3636.363636363636"/>
    <s v="카페24쇼핑백유즈쇼핑백200720"/>
  </r>
  <r>
    <x v="85"/>
    <s v="월"/>
    <m/>
    <s v="카페24"/>
    <m/>
    <n v="51"/>
    <s v="고체향수"/>
    <s v="스테이포에버"/>
    <n v="200720"/>
    <m/>
    <n v="1734000"/>
    <n v="1632561"/>
    <n v="141933"/>
    <n v="1576363.636363636"/>
    <s v="카페24고체향수스테이포에버200720"/>
  </r>
  <r>
    <x v="85"/>
    <s v="월"/>
    <m/>
    <s v="카페24"/>
    <m/>
    <n v="9"/>
    <s v="고체향수"/>
    <s v="스테이포에버 2set"/>
    <n v="200720"/>
    <m/>
    <n v="529200"/>
    <n v="498241.8"/>
    <n v="50094"/>
    <n v="481090.9090909091"/>
    <s v="카페24고체향수스테이포에버 2set200720"/>
  </r>
  <r>
    <x v="85"/>
    <s v="월"/>
    <m/>
    <s v="카페24"/>
    <m/>
    <n v="2"/>
    <s v="고체향수"/>
    <s v="이그나이트"/>
    <n v="200720"/>
    <m/>
    <n v="68000"/>
    <n v="64022"/>
    <n v="5776"/>
    <n v="61818.18181818182"/>
    <s v="카페24고체향수이그나이트200720"/>
  </r>
  <r>
    <x v="85"/>
    <s v="월"/>
    <m/>
    <s v="카페24"/>
    <m/>
    <n v="5"/>
    <s v="쇼핑백"/>
    <s v="유즈쇼핑백"/>
    <n v="200720"/>
    <m/>
    <n v="10000"/>
    <n v="9415"/>
    <n v="6050"/>
    <n v="9090.90909090909"/>
    <s v="카페24쇼핑백유즈쇼핑백200720"/>
  </r>
  <r>
    <x v="86"/>
    <s v="화"/>
    <m/>
    <s v="카페24"/>
    <m/>
    <n v="60"/>
    <s v="고체향수"/>
    <s v="스테이포에버"/>
    <n v="200720"/>
    <m/>
    <n v="2040000"/>
    <n v="1920660"/>
    <n v="166980"/>
    <n v="1854545.454545454"/>
    <s v="카페24고체향수스테이포에버200720"/>
  </r>
  <r>
    <x v="86"/>
    <s v="화"/>
    <m/>
    <s v="카페24"/>
    <m/>
    <n v="13"/>
    <s v="고체향수"/>
    <s v="스테이포에버 2set"/>
    <n v="200720"/>
    <m/>
    <n v="764400"/>
    <n v="719682.6"/>
    <n v="72358"/>
    <n v="694909.0909090908"/>
    <s v="카페24고체향수스테이포에버 2set200720"/>
  </r>
  <r>
    <x v="86"/>
    <s v="화"/>
    <m/>
    <s v="카페24"/>
    <m/>
    <n v="2"/>
    <s v="고체향수"/>
    <s v="이그나이트"/>
    <n v="200720"/>
    <m/>
    <n v="68000"/>
    <n v="64022"/>
    <n v="5776"/>
    <n v="61818.18181818182"/>
    <s v="카페24고체향수이그나이트200720"/>
  </r>
  <r>
    <x v="86"/>
    <s v="화"/>
    <m/>
    <s v="카페24"/>
    <m/>
    <n v="1"/>
    <s v="쇼핑백"/>
    <s v="유즈쇼핑백"/>
    <n v="200720"/>
    <m/>
    <n v="2000"/>
    <n v="1883"/>
    <n v="1210"/>
    <n v="1818.181818181818"/>
    <s v="카페24쇼핑백유즈쇼핑백200720"/>
  </r>
  <r>
    <x v="87"/>
    <s v="수"/>
    <m/>
    <s v="카페24"/>
    <m/>
    <n v="3"/>
    <s v="고체향수"/>
    <s v="이그나이트 + 스테이포에버"/>
    <n v="200720"/>
    <m/>
    <n v="176400"/>
    <n v="166080.6"/>
    <n v="17013"/>
    <n v="160363.6363636364"/>
    <s v="카페24고체향수이그나이트 + 스테이포에버200720"/>
  </r>
  <r>
    <x v="87"/>
    <s v="수"/>
    <m/>
    <s v="카페24"/>
    <m/>
    <n v="65"/>
    <s v="고체향수"/>
    <s v="스테이포에버"/>
    <n v="200720"/>
    <m/>
    <n v="2210000"/>
    <n v="2080715"/>
    <n v="180895"/>
    <n v="2009090.909090909"/>
    <s v="카페24고체향수스테이포에버200720"/>
  </r>
  <r>
    <x v="87"/>
    <s v="수"/>
    <m/>
    <s v="카페24"/>
    <m/>
    <n v="14"/>
    <s v="고체향수"/>
    <s v="스테이포에버 2set"/>
    <n v="200720"/>
    <m/>
    <n v="823200"/>
    <n v="775042.8"/>
    <n v="77924"/>
    <n v="748363.6363636364"/>
    <s v="카페24고체향수스테이포에버 2set200720"/>
  </r>
  <r>
    <x v="87"/>
    <s v="수"/>
    <m/>
    <s v="카페24"/>
    <m/>
    <n v="4"/>
    <s v="고체향수"/>
    <s v="이그나이트"/>
    <n v="200720"/>
    <m/>
    <n v="136000"/>
    <n v="128044"/>
    <n v="11552"/>
    <n v="123636.3636363636"/>
    <s v="카페24고체향수이그나이트200720"/>
  </r>
  <r>
    <x v="87"/>
    <s v="수"/>
    <m/>
    <s v="카페24"/>
    <m/>
    <n v="1"/>
    <s v="쇼핑백"/>
    <s v="유즈쇼핑백"/>
    <n v="200720"/>
    <m/>
    <n v="2000"/>
    <n v="1883"/>
    <n v="1210"/>
    <n v="1818.181818181818"/>
    <s v="카페24쇼핑백유즈쇼핑백200720"/>
  </r>
  <r>
    <x v="88"/>
    <s v="목"/>
    <m/>
    <s v="카페24"/>
    <m/>
    <n v="2"/>
    <s v="고체향수"/>
    <s v="이그나이트 + 스테이포에버"/>
    <n v="200720"/>
    <m/>
    <n v="117600"/>
    <n v="110720.4"/>
    <n v="11342"/>
    <n v="106909.0909090909"/>
    <s v="카페24고체향수이그나이트 + 스테이포에버200720"/>
  </r>
  <r>
    <x v="88"/>
    <s v="목"/>
    <m/>
    <s v="카페24"/>
    <m/>
    <n v="69"/>
    <s v="고체향수"/>
    <s v="스테이포에버"/>
    <n v="200720"/>
    <m/>
    <n v="2346000"/>
    <n v="2208759"/>
    <n v="192027"/>
    <n v="2132727.272727272"/>
    <s v="카페24고체향수스테이포에버200720"/>
  </r>
  <r>
    <x v="88"/>
    <s v="목"/>
    <m/>
    <s v="카페24"/>
    <m/>
    <n v="11"/>
    <s v="고체향수"/>
    <s v="스테이포에버 2set"/>
    <n v="200720"/>
    <m/>
    <n v="646800"/>
    <n v="608962.2"/>
    <n v="61226"/>
    <n v="588000"/>
    <s v="카페24고체향수스테이포에버 2set200720"/>
  </r>
  <r>
    <x v="88"/>
    <s v="목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88"/>
    <s v="목"/>
    <m/>
    <s v="카페24"/>
    <m/>
    <n v="1"/>
    <s v="쇼핑백"/>
    <s v="유즈쇼핑백"/>
    <n v="200720"/>
    <m/>
    <n v="2000"/>
    <n v="1883"/>
    <n v="1210"/>
    <n v="1818.181818181818"/>
    <s v="카페24쇼핑백유즈쇼핑백200720"/>
  </r>
  <r>
    <x v="89"/>
    <s v="금"/>
    <m/>
    <s v="카페24"/>
    <m/>
    <n v="1"/>
    <s v="고체향수"/>
    <s v="이그나이트 + 스테이포에버"/>
    <n v="200720"/>
    <m/>
    <n v="58800"/>
    <n v="55360.2"/>
    <n v="5671"/>
    <n v="53454.54545454545"/>
    <s v="카페24고체향수이그나이트 + 스테이포에버200720"/>
  </r>
  <r>
    <x v="89"/>
    <s v="금"/>
    <m/>
    <s v="카페24"/>
    <m/>
    <n v="54"/>
    <s v="고체향수"/>
    <s v="스테이포에버"/>
    <n v="200720"/>
    <m/>
    <n v="1836000"/>
    <n v="1728594"/>
    <n v="150282"/>
    <n v="1669090.909090909"/>
    <s v="카페24고체향수스테이포에버200720"/>
  </r>
  <r>
    <x v="89"/>
    <s v="금"/>
    <m/>
    <s v="카페24"/>
    <m/>
    <n v="10"/>
    <s v="고체향수"/>
    <s v="스테이포에버 2set"/>
    <n v="200720"/>
    <m/>
    <n v="588000"/>
    <n v="553602"/>
    <n v="55660"/>
    <n v="534545.4545454545"/>
    <s v="카페24고체향수스테이포에버 2set200720"/>
  </r>
  <r>
    <x v="89"/>
    <s v="금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89"/>
    <s v="금"/>
    <m/>
    <s v="카페24"/>
    <m/>
    <n v="3"/>
    <s v="쇼핑백"/>
    <s v="유즈쇼핑백"/>
    <n v="200720"/>
    <m/>
    <n v="6000"/>
    <n v="5649"/>
    <n v="3630"/>
    <n v="5454.545454545454"/>
    <s v="카페24쇼핑백유즈쇼핑백200720"/>
  </r>
  <r>
    <x v="90"/>
    <s v="토"/>
    <m/>
    <s v="카페24"/>
    <m/>
    <n v="2"/>
    <s v="고체향수"/>
    <s v="이그나이트 + 스테이포에버"/>
    <n v="200720"/>
    <m/>
    <n v="117600"/>
    <n v="110720.4"/>
    <n v="11342"/>
    <n v="106909.0909090909"/>
    <s v="카페24고체향수이그나이트 + 스테이포에버200720"/>
  </r>
  <r>
    <x v="90"/>
    <s v="토"/>
    <m/>
    <s v="카페24"/>
    <m/>
    <n v="49"/>
    <s v="고체향수"/>
    <s v="스테이포에버"/>
    <n v="200720"/>
    <m/>
    <n v="1666000"/>
    <n v="1568539"/>
    <n v="136367"/>
    <n v="1514545.454545454"/>
    <s v="카페24고체향수스테이포에버200720"/>
  </r>
  <r>
    <x v="90"/>
    <s v="토"/>
    <m/>
    <s v="카페24"/>
    <m/>
    <n v="13"/>
    <s v="고체향수"/>
    <s v="스테이포에버 2set"/>
    <n v="200720"/>
    <m/>
    <n v="764400"/>
    <n v="719682.6"/>
    <n v="72358"/>
    <n v="694909.0909090908"/>
    <s v="카페24고체향수스테이포에버 2set200720"/>
  </r>
  <r>
    <x v="90"/>
    <s v="토"/>
    <m/>
    <s v="카페24"/>
    <m/>
    <n v="3"/>
    <s v="고체향수"/>
    <s v="이그나이트"/>
    <n v="200720"/>
    <m/>
    <n v="102000"/>
    <n v="96033"/>
    <n v="8664"/>
    <n v="92727.27272727272"/>
    <s v="카페24고체향수이그나이트200720"/>
  </r>
  <r>
    <x v="90"/>
    <s v="토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90"/>
    <s v="토"/>
    <m/>
    <s v="카페24"/>
    <m/>
    <n v="2"/>
    <s v="쇼핑백"/>
    <s v="유즈쇼핑백"/>
    <n v="200720"/>
    <m/>
    <n v="4000"/>
    <n v="3766"/>
    <n v="2420"/>
    <n v="3636.363636363636"/>
    <s v="카페24쇼핑백유즈쇼핑백200720"/>
  </r>
  <r>
    <x v="91"/>
    <s v="일"/>
    <m/>
    <s v="카페24"/>
    <m/>
    <n v="1"/>
    <s v="고체향수"/>
    <s v="이그나이트 + 스테이포에버"/>
    <n v="200720"/>
    <m/>
    <n v="58800"/>
    <n v="55360.2"/>
    <n v="5671"/>
    <n v="53454.54545454545"/>
    <s v="카페24고체향수이그나이트 + 스테이포에버200720"/>
  </r>
  <r>
    <x v="91"/>
    <s v="일"/>
    <m/>
    <s v="카페24"/>
    <m/>
    <n v="68"/>
    <s v="고체향수"/>
    <s v="스테이포에버"/>
    <n v="200720"/>
    <m/>
    <n v="2312000"/>
    <n v="2176748"/>
    <n v="189244"/>
    <n v="2101818.181818182"/>
    <s v="카페24고체향수스테이포에버200720"/>
  </r>
  <r>
    <x v="91"/>
    <s v="일"/>
    <m/>
    <s v="카페24"/>
    <m/>
    <n v="21"/>
    <s v="고체향수"/>
    <s v="스테이포에버 2set"/>
    <n v="200720"/>
    <m/>
    <n v="1234800"/>
    <n v="1162564.2"/>
    <n v="116886"/>
    <n v="1122545.454545454"/>
    <s v="카페24고체향수스테이포에버 2set200720"/>
  </r>
  <r>
    <x v="91"/>
    <s v="일"/>
    <m/>
    <s v="카페24"/>
    <m/>
    <n v="2"/>
    <s v="고체향수"/>
    <s v="이그나이트"/>
    <n v="200720"/>
    <m/>
    <n v="68000"/>
    <n v="64022"/>
    <n v="5776"/>
    <n v="61818.18181818182"/>
    <s v="카페24고체향수이그나이트200720"/>
  </r>
  <r>
    <x v="91"/>
    <s v="일"/>
    <m/>
    <s v="카페24"/>
    <m/>
    <n v="1"/>
    <s v="쇼핑백"/>
    <s v="유즈쇼핑백"/>
    <n v="200720"/>
    <m/>
    <n v="2000"/>
    <n v="1883"/>
    <n v="1210"/>
    <n v="1818.181818181818"/>
    <s v="카페24쇼핑백유즈쇼핑백200720"/>
  </r>
  <r>
    <x v="92"/>
    <s v="월"/>
    <m/>
    <s v="카페24"/>
    <m/>
    <n v="4"/>
    <s v="고체향수"/>
    <s v="이그나이트 + 스테이포에버"/>
    <n v="200720"/>
    <m/>
    <n v="235200"/>
    <n v="221440.8"/>
    <n v="22684"/>
    <n v="213818.1818181818"/>
    <s v="카페24고체향수이그나이트 + 스테이포에버200720"/>
  </r>
  <r>
    <x v="92"/>
    <s v="월"/>
    <m/>
    <s v="카페24"/>
    <m/>
    <n v="58"/>
    <s v="고체향수"/>
    <s v="스테이포에버"/>
    <n v="200720"/>
    <m/>
    <n v="1972000"/>
    <n v="1856638"/>
    <n v="161414"/>
    <n v="1792727.272727272"/>
    <s v="카페24고체향수스테이포에버200720"/>
  </r>
  <r>
    <x v="92"/>
    <s v="월"/>
    <m/>
    <s v="카페24"/>
    <m/>
    <n v="13"/>
    <s v="고체향수"/>
    <s v="스테이포에버 2set"/>
    <n v="200720"/>
    <m/>
    <n v="764400"/>
    <n v="719682.6"/>
    <n v="72358"/>
    <n v="694909.0909090908"/>
    <s v="카페24고체향수스테이포에버 2set200720"/>
  </r>
  <r>
    <x v="92"/>
    <s v="월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92"/>
    <s v="월"/>
    <m/>
    <s v="카페24"/>
    <m/>
    <n v="2"/>
    <s v="쇼핑백"/>
    <s v="유즈쇼핑백"/>
    <n v="200720"/>
    <m/>
    <n v="4000"/>
    <n v="3766"/>
    <n v="2420"/>
    <n v="3636.363636363636"/>
    <s v="카페24쇼핑백유즈쇼핑백200720"/>
  </r>
  <r>
    <x v="93"/>
    <s v="화"/>
    <m/>
    <s v="카페24"/>
    <m/>
    <n v="1"/>
    <s v="고체향수"/>
    <s v="이그나이트 + 스테이포에버"/>
    <n v="200720"/>
    <m/>
    <n v="58800"/>
    <n v="55360.2"/>
    <n v="5671"/>
    <n v="53454.54545454545"/>
    <s v="카페24고체향수이그나이트 + 스테이포에버200720"/>
  </r>
  <r>
    <x v="93"/>
    <s v="화"/>
    <m/>
    <s v="카페24"/>
    <m/>
    <n v="66"/>
    <s v="고체향수"/>
    <s v="스테이포에버"/>
    <n v="200720"/>
    <m/>
    <n v="2244000"/>
    <n v="2112726"/>
    <n v="183678"/>
    <n v="2040000"/>
    <s v="카페24고체향수스테이포에버200720"/>
  </r>
  <r>
    <x v="93"/>
    <s v="화"/>
    <m/>
    <s v="카페24"/>
    <m/>
    <n v="7"/>
    <s v="고체향수"/>
    <s v="스테이포에버 2set"/>
    <n v="200720"/>
    <m/>
    <n v="411600"/>
    <n v="387521.4"/>
    <n v="38962"/>
    <n v="374181.8181818182"/>
    <s v="카페24고체향수스테이포에버 2set200720"/>
  </r>
  <r>
    <x v="93"/>
    <s v="화"/>
    <m/>
    <s v="카페24"/>
    <m/>
    <n v="3"/>
    <s v="쇼핑백"/>
    <s v="유즈쇼핑백"/>
    <n v="200720"/>
    <m/>
    <n v="6000"/>
    <n v="5649"/>
    <n v="3630"/>
    <n v="5454.545454545454"/>
    <s v="카페24쇼핑백유즈쇼핑백200720"/>
  </r>
  <r>
    <x v="94"/>
    <s v="수"/>
    <m/>
    <s v="카페24"/>
    <m/>
    <n v="3"/>
    <s v="고체향수"/>
    <s v="이그나이트 + 스테이포에버"/>
    <n v="200720"/>
    <m/>
    <n v="176400"/>
    <n v="166080.6"/>
    <n v="17013"/>
    <n v="160363.6363636364"/>
    <s v="카페24고체향수이그나이트 + 스테이포에버200720"/>
  </r>
  <r>
    <x v="94"/>
    <s v="수"/>
    <m/>
    <s v="카페24"/>
    <m/>
    <n v="71"/>
    <s v="고체향수"/>
    <s v="스테이포에버"/>
    <n v="200720"/>
    <m/>
    <n v="2414000"/>
    <n v="2272781"/>
    <n v="197593"/>
    <n v="2194545.454545455"/>
    <s v="카페24고체향수스테이포에버200720"/>
  </r>
  <r>
    <x v="94"/>
    <s v="수"/>
    <m/>
    <s v="카페24"/>
    <m/>
    <n v="13"/>
    <s v="고체향수"/>
    <s v="스테이포에버 2set"/>
    <n v="200720"/>
    <m/>
    <n v="764400"/>
    <n v="719682.6"/>
    <n v="72358"/>
    <n v="694909.0909090908"/>
    <s v="카페24고체향수스테이포에버 2set200720"/>
  </r>
  <r>
    <x v="94"/>
    <s v="수"/>
    <m/>
    <s v="카페24"/>
    <m/>
    <n v="2"/>
    <s v="고체향수"/>
    <s v="이그나이트"/>
    <n v="200720"/>
    <m/>
    <n v="68000"/>
    <n v="64022"/>
    <n v="5776"/>
    <n v="61818.18181818182"/>
    <s v="카페24고체향수이그나이트200720"/>
  </r>
  <r>
    <x v="94"/>
    <s v="수"/>
    <m/>
    <s v="카페24"/>
    <m/>
    <n v="1"/>
    <s v="쇼핑백"/>
    <s v="유즈쇼핑백"/>
    <n v="200720"/>
    <m/>
    <n v="2000"/>
    <n v="1883"/>
    <n v="1210"/>
    <n v="1818.181818181818"/>
    <s v="카페24쇼핑백유즈쇼핑백200720"/>
  </r>
  <r>
    <x v="95"/>
    <s v="목"/>
    <m/>
    <s v="카페24"/>
    <m/>
    <n v="75"/>
    <s v="고체향수"/>
    <s v="스테이포에버"/>
    <n v="200720"/>
    <m/>
    <n v="2550000"/>
    <n v="2400825"/>
    <n v="208725"/>
    <n v="2318181.818181818"/>
    <s v="카페24고체향수스테이포에버200720"/>
  </r>
  <r>
    <x v="95"/>
    <s v="목"/>
    <m/>
    <s v="카페24"/>
    <m/>
    <n v="18"/>
    <s v="고체향수"/>
    <s v="스테이포에버 2set"/>
    <n v="200720"/>
    <m/>
    <n v="1058400"/>
    <n v="996483.6"/>
    <n v="100188"/>
    <n v="962181.8181818181"/>
    <s v="카페24고체향수스테이포에버 2set200720"/>
  </r>
  <r>
    <x v="95"/>
    <s v="목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95"/>
    <s v="목"/>
    <m/>
    <s v="카페24"/>
    <m/>
    <n v="1"/>
    <s v="쇼핑백"/>
    <s v="유즈쇼핑백"/>
    <n v="200720"/>
    <m/>
    <n v="2000"/>
    <n v="1883"/>
    <n v="1210"/>
    <n v="1818.181818181818"/>
    <s v="카페24쇼핑백유즈쇼핑백200720"/>
  </r>
  <r>
    <x v="96"/>
    <s v="금"/>
    <m/>
    <s v="유즈 CS"/>
    <m/>
    <n v="50"/>
    <s v="쇼핑백"/>
    <s v="유즈쇼핑백"/>
    <n v="200520"/>
    <m/>
    <n v="0"/>
    <n v="0"/>
    <n v="60500"/>
    <n v="0"/>
    <s v="유즈 CS쇼핑백유즈쇼핑백200520"/>
  </r>
  <r>
    <x v="96"/>
    <s v="금"/>
    <m/>
    <s v="카페24"/>
    <m/>
    <n v="1"/>
    <s v="고체향수"/>
    <s v="이그나이트 + 스테이포에버"/>
    <n v="200720"/>
    <m/>
    <n v="58800"/>
    <n v="55360.2"/>
    <n v="5671"/>
    <n v="53454.54545454545"/>
    <s v="카페24고체향수이그나이트 + 스테이포에버200720"/>
  </r>
  <r>
    <x v="96"/>
    <s v="금"/>
    <m/>
    <s v="카페24"/>
    <m/>
    <n v="62"/>
    <s v="고체향수"/>
    <s v="스테이포에버"/>
    <n v="200720"/>
    <m/>
    <n v="2108000"/>
    <n v="1984682"/>
    <n v="172546"/>
    <n v="1916363.636363636"/>
    <s v="카페24고체향수스테이포에버200720"/>
  </r>
  <r>
    <x v="96"/>
    <s v="금"/>
    <m/>
    <s v="카페24"/>
    <m/>
    <n v="16"/>
    <s v="고체향수"/>
    <s v="스테이포에버 2set"/>
    <n v="200720"/>
    <m/>
    <n v="940800"/>
    <n v="885763.2"/>
    <n v="89056"/>
    <n v="855272.7272727272"/>
    <s v="카페24고체향수스테이포에버 2set200720"/>
  </r>
  <r>
    <x v="96"/>
    <s v="금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97"/>
    <s v="토"/>
    <m/>
    <s v="카페24"/>
    <m/>
    <n v="1"/>
    <s v="고체향수"/>
    <s v="이그나이트 + 스테이포에버"/>
    <n v="200720"/>
    <m/>
    <n v="58800"/>
    <n v="55360.2"/>
    <n v="5671"/>
    <n v="53454.54545454545"/>
    <s v="카페24고체향수이그나이트 + 스테이포에버200720"/>
  </r>
  <r>
    <x v="97"/>
    <s v="토"/>
    <m/>
    <s v="카페24"/>
    <m/>
    <n v="68"/>
    <s v="고체향수"/>
    <s v="스테이포에버"/>
    <n v="200720"/>
    <m/>
    <n v="2312000"/>
    <n v="2176748"/>
    <n v="189244"/>
    <n v="2101818.181818182"/>
    <s v="카페24고체향수스테이포에버200720"/>
  </r>
  <r>
    <x v="97"/>
    <s v="토"/>
    <m/>
    <s v="카페24"/>
    <m/>
    <n v="11"/>
    <s v="고체향수"/>
    <s v="스테이포에버 2set"/>
    <n v="200720"/>
    <m/>
    <n v="646800"/>
    <n v="608962.2"/>
    <n v="61226"/>
    <n v="588000"/>
    <s v="카페24고체향수스테이포에버 2set200720"/>
  </r>
  <r>
    <x v="97"/>
    <s v="토"/>
    <m/>
    <s v="카페24"/>
    <m/>
    <n v="1"/>
    <s v="쇼핑백"/>
    <s v="유즈쇼핑백"/>
    <n v="200720"/>
    <m/>
    <n v="2000"/>
    <n v="1883"/>
    <n v="1210"/>
    <n v="1818.181818181818"/>
    <s v="카페24쇼핑백유즈쇼핑백200720"/>
  </r>
  <r>
    <x v="98"/>
    <s v="일"/>
    <m/>
    <s v="카페24"/>
    <m/>
    <n v="4"/>
    <s v="고체향수"/>
    <s v="이그나이트 + 스테이포에버"/>
    <n v="200720"/>
    <m/>
    <n v="235200"/>
    <n v="221440.8"/>
    <n v="22684"/>
    <n v="213818.1818181818"/>
    <s v="카페24고체향수이그나이트 + 스테이포에버200720"/>
  </r>
  <r>
    <x v="98"/>
    <s v="일"/>
    <m/>
    <s v="카페24"/>
    <m/>
    <n v="74"/>
    <s v="고체향수"/>
    <s v="스테이포에버"/>
    <n v="200720"/>
    <m/>
    <n v="2516000"/>
    <n v="2368814"/>
    <n v="205942"/>
    <n v="2287272.727272727"/>
    <s v="카페24고체향수스테이포에버200720"/>
  </r>
  <r>
    <x v="98"/>
    <s v="일"/>
    <m/>
    <s v="카페24"/>
    <m/>
    <n v="15"/>
    <s v="고체향수"/>
    <s v="스테이포에버 2set"/>
    <n v="200720"/>
    <m/>
    <n v="882000"/>
    <n v="830403"/>
    <n v="83490"/>
    <n v="801818.1818181818"/>
    <s v="카페24고체향수스테이포에버 2set200720"/>
  </r>
  <r>
    <x v="98"/>
    <s v="일"/>
    <m/>
    <s v="카페24"/>
    <m/>
    <n v="2"/>
    <s v="고체향수"/>
    <s v="이그나이트"/>
    <n v="200720"/>
    <m/>
    <n v="68000"/>
    <n v="64022"/>
    <n v="5776"/>
    <n v="61818.18181818182"/>
    <s v="카페24고체향수이그나이트200720"/>
  </r>
  <r>
    <x v="98"/>
    <s v="일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98"/>
    <s v="일"/>
    <m/>
    <s v="카페24"/>
    <m/>
    <n v="2"/>
    <s v="쇼핑백"/>
    <s v="유즈쇼핑백"/>
    <n v="200720"/>
    <m/>
    <n v="4000"/>
    <n v="3766"/>
    <n v="2420"/>
    <n v="3636.363636363636"/>
    <s v="카페24쇼핑백유즈쇼핑백200720"/>
  </r>
  <r>
    <x v="99"/>
    <s v="월"/>
    <m/>
    <s v="카페24"/>
    <m/>
    <n v="2"/>
    <s v="고체향수"/>
    <s v="이그나이트 + 스테이포에버"/>
    <n v="200720"/>
    <m/>
    <n v="117600"/>
    <n v="110720.4"/>
    <n v="11342"/>
    <n v="106909.0909090909"/>
    <s v="카페24고체향수이그나이트 + 스테이포에버200720"/>
  </r>
  <r>
    <x v="99"/>
    <s v="월"/>
    <m/>
    <s v="카페24"/>
    <m/>
    <n v="83"/>
    <s v="고체향수"/>
    <s v="스테이포에버"/>
    <n v="200720"/>
    <m/>
    <n v="2822000"/>
    <n v="2656913"/>
    <n v="230989"/>
    <n v="2565454.545454545"/>
    <s v="카페24고체향수스테이포에버200720"/>
  </r>
  <r>
    <x v="99"/>
    <s v="월"/>
    <m/>
    <s v="카페24"/>
    <m/>
    <n v="10"/>
    <s v="고체향수"/>
    <s v="스테이포에버 2set"/>
    <n v="200720"/>
    <m/>
    <n v="588000"/>
    <n v="553602"/>
    <n v="55660"/>
    <n v="534545.4545454545"/>
    <s v="카페24고체향수스테이포에버 2set200720"/>
  </r>
  <r>
    <x v="99"/>
    <s v="월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99"/>
    <s v="월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99"/>
    <s v="월"/>
    <m/>
    <s v="카페24"/>
    <m/>
    <n v="1"/>
    <s v="쇼핑백"/>
    <s v="유즈쇼핑백"/>
    <n v="200720"/>
    <m/>
    <n v="2000"/>
    <n v="1883"/>
    <n v="1210"/>
    <n v="1818.181818181818"/>
    <s v="카페24쇼핑백유즈쇼핑백200720"/>
  </r>
  <r>
    <x v="100"/>
    <s v="화"/>
    <m/>
    <s v="카페24"/>
    <m/>
    <n v="1"/>
    <s v="고체향수"/>
    <s v="이그나이트 + 스테이포에버"/>
    <n v="200720"/>
    <m/>
    <n v="58800"/>
    <n v="55360.2"/>
    <n v="5671"/>
    <n v="53454.54545454545"/>
    <s v="카페24고체향수이그나이트 + 스테이포에버200720"/>
  </r>
  <r>
    <x v="100"/>
    <s v="화"/>
    <m/>
    <s v="카페24"/>
    <m/>
    <n v="85"/>
    <s v="고체향수"/>
    <s v="스테이포에버"/>
    <n v="200720"/>
    <m/>
    <n v="2890000"/>
    <n v="2720935"/>
    <n v="236555"/>
    <n v="2627272.727272727"/>
    <s v="카페24고체향수스테이포에버200720"/>
  </r>
  <r>
    <x v="100"/>
    <s v="화"/>
    <m/>
    <s v="카페24"/>
    <m/>
    <n v="17"/>
    <s v="고체향수"/>
    <s v="스테이포에버 2set"/>
    <n v="200720"/>
    <m/>
    <n v="999600"/>
    <n v="941123.4"/>
    <n v="94622"/>
    <n v="908727.2727272727"/>
    <s v="카페24고체향수스테이포에버 2set200720"/>
  </r>
  <r>
    <x v="100"/>
    <s v="화"/>
    <m/>
    <s v="카페24"/>
    <m/>
    <n v="5"/>
    <s v="고체향수"/>
    <s v="이그나이트"/>
    <n v="200720"/>
    <m/>
    <n v="170000"/>
    <n v="160055"/>
    <n v="14440"/>
    <n v="154545.4545454545"/>
    <s v="카페24고체향수이그나이트200720"/>
  </r>
  <r>
    <x v="100"/>
    <s v="화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100"/>
    <s v="화"/>
    <m/>
    <s v="카페24"/>
    <m/>
    <n v="2"/>
    <s v="쇼핑백"/>
    <s v="유즈쇼핑백"/>
    <n v="200720"/>
    <m/>
    <n v="4000"/>
    <n v="3766"/>
    <n v="2420"/>
    <n v="3636.363636363636"/>
    <s v="카페24쇼핑백유즈쇼핑백200720"/>
  </r>
  <r>
    <x v="101"/>
    <s v="수"/>
    <m/>
    <s v="카페24"/>
    <m/>
    <n v="3"/>
    <s v="고체향수"/>
    <s v="이그나이트 + 스테이포에버"/>
    <n v="200720"/>
    <m/>
    <n v="176400"/>
    <n v="166080.6"/>
    <n v="17013"/>
    <n v="160363.6363636364"/>
    <s v="카페24고체향수이그나이트 + 스테이포에버200720"/>
  </r>
  <r>
    <x v="101"/>
    <s v="수"/>
    <m/>
    <s v="카페24"/>
    <m/>
    <n v="88"/>
    <s v="고체향수"/>
    <s v="스테이포에버"/>
    <n v="200720"/>
    <m/>
    <n v="2992000"/>
    <n v="2816968"/>
    <n v="244904"/>
    <n v="2720000"/>
    <s v="카페24고체향수스테이포에버200720"/>
  </r>
  <r>
    <x v="101"/>
    <s v="수"/>
    <m/>
    <s v="카페24"/>
    <m/>
    <n v="10"/>
    <s v="고체향수"/>
    <s v="스테이포에버 2set"/>
    <n v="200720"/>
    <m/>
    <n v="588000"/>
    <n v="553602"/>
    <n v="55660"/>
    <n v="534545.4545454545"/>
    <s v="카페24고체향수스테이포에버 2set200720"/>
  </r>
  <r>
    <x v="101"/>
    <s v="수"/>
    <m/>
    <s v="카페24"/>
    <m/>
    <n v="2"/>
    <s v="고체향수"/>
    <s v="이그나이트"/>
    <n v="200720"/>
    <m/>
    <n v="68000"/>
    <n v="64022"/>
    <n v="5776"/>
    <n v="61818.18181818182"/>
    <s v="카페24고체향수이그나이트200720"/>
  </r>
  <r>
    <x v="101"/>
    <s v="수"/>
    <m/>
    <s v="카페24"/>
    <m/>
    <n v="3"/>
    <s v="고체향수"/>
    <s v="이그나이트 2set"/>
    <n v="200720"/>
    <m/>
    <n v="176400"/>
    <n v="166080.6"/>
    <n v="17328"/>
    <n v="160363.6363636364"/>
    <s v="카페24고체향수이그나이트 2set200720"/>
  </r>
  <r>
    <x v="101"/>
    <s v="수"/>
    <m/>
    <s v="카페24"/>
    <m/>
    <n v="3"/>
    <s v="쇼핑백"/>
    <s v="유즈쇼핑백"/>
    <n v="200720"/>
    <m/>
    <n v="6000"/>
    <n v="5649"/>
    <n v="3630"/>
    <n v="5454.545454545454"/>
    <s v="카페24쇼핑백유즈쇼핑백200720"/>
  </r>
  <r>
    <x v="102"/>
    <s v="목"/>
    <m/>
    <s v="카페24"/>
    <m/>
    <n v="3"/>
    <s v="고체향수"/>
    <s v="이그나이트 + 스테이포에버"/>
    <n v="200720"/>
    <m/>
    <n v="176400"/>
    <n v="166080.6"/>
    <n v="17013"/>
    <n v="160363.6363636364"/>
    <s v="카페24고체향수이그나이트 + 스테이포에버200720"/>
  </r>
  <r>
    <x v="102"/>
    <s v="목"/>
    <m/>
    <s v="카페24"/>
    <m/>
    <n v="66"/>
    <s v="고체향수"/>
    <s v="스테이포에버"/>
    <n v="200720"/>
    <m/>
    <n v="2244000"/>
    <n v="2112726"/>
    <n v="183678"/>
    <n v="2040000"/>
    <s v="카페24고체향수스테이포에버200720"/>
  </r>
  <r>
    <x v="102"/>
    <s v="목"/>
    <m/>
    <s v="카페24"/>
    <m/>
    <n v="16"/>
    <s v="고체향수"/>
    <s v="스테이포에버 2set"/>
    <n v="200720"/>
    <m/>
    <n v="940800"/>
    <n v="885763.2"/>
    <n v="89056"/>
    <n v="855272.7272727272"/>
    <s v="카페24고체향수스테이포에버 2set200720"/>
  </r>
  <r>
    <x v="102"/>
    <s v="목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102"/>
    <s v="목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102"/>
    <s v="목"/>
    <m/>
    <s v="카페24"/>
    <m/>
    <n v="2"/>
    <s v="쇼핑백"/>
    <s v="유즈쇼핑백"/>
    <n v="200720"/>
    <m/>
    <n v="4000"/>
    <n v="3766"/>
    <n v="2420"/>
    <n v="3636.363636363636"/>
    <s v="카페24쇼핑백유즈쇼핑백200720"/>
  </r>
  <r>
    <x v="103"/>
    <s v="금"/>
    <m/>
    <s v="카페24"/>
    <m/>
    <n v="4"/>
    <s v="고체향수"/>
    <s v="이그나이트 + 스테이포에버"/>
    <n v="200720"/>
    <m/>
    <n v="235200"/>
    <n v="221440.8"/>
    <n v="22684"/>
    <n v="213818.1818181818"/>
    <s v="카페24고체향수이그나이트 + 스테이포에버200720"/>
  </r>
  <r>
    <x v="103"/>
    <s v="금"/>
    <m/>
    <s v="카페24"/>
    <m/>
    <n v="79"/>
    <s v="고체향수"/>
    <s v="스테이포에버"/>
    <n v="200720"/>
    <m/>
    <n v="2686000"/>
    <n v="2528869"/>
    <n v="219857"/>
    <n v="2441818.181818182"/>
    <s v="카페24고체향수스테이포에버200720"/>
  </r>
  <r>
    <x v="103"/>
    <s v="금"/>
    <m/>
    <s v="카페24"/>
    <m/>
    <n v="13"/>
    <s v="고체향수"/>
    <s v="스테이포에버 2set"/>
    <n v="200720"/>
    <m/>
    <n v="764400"/>
    <n v="719682.6"/>
    <n v="72358"/>
    <n v="694909.0909090908"/>
    <s v="카페24고체향수스테이포에버 2set200720"/>
  </r>
  <r>
    <x v="103"/>
    <s v="금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104"/>
    <s v="토"/>
    <m/>
    <s v="카페24"/>
    <m/>
    <n v="4"/>
    <s v="고체향수"/>
    <s v="이그나이트 + 스테이포에버"/>
    <n v="200720"/>
    <m/>
    <n v="235200"/>
    <n v="221440.8"/>
    <n v="22684"/>
    <n v="213818.1818181818"/>
    <s v="카페24고체향수이그나이트 + 스테이포에버200720"/>
  </r>
  <r>
    <x v="104"/>
    <s v="토"/>
    <m/>
    <s v="카페24"/>
    <m/>
    <n v="67"/>
    <s v="고체향수"/>
    <s v="스테이포에버"/>
    <n v="200720"/>
    <m/>
    <n v="2278000"/>
    <n v="2144737"/>
    <n v="186461"/>
    <n v="2070909.090909091"/>
    <s v="카페24고체향수스테이포에버200720"/>
  </r>
  <r>
    <x v="104"/>
    <s v="토"/>
    <m/>
    <s v="카페24"/>
    <m/>
    <n v="9"/>
    <s v="고체향수"/>
    <s v="스테이포에버 2set"/>
    <n v="200720"/>
    <m/>
    <n v="529200"/>
    <n v="498241.8"/>
    <n v="50094"/>
    <n v="481090.9090909091"/>
    <s v="카페24고체향수스테이포에버 2set200720"/>
  </r>
  <r>
    <x v="104"/>
    <s v="토"/>
    <m/>
    <s v="카페24"/>
    <m/>
    <n v="2"/>
    <s v="쇼핑백"/>
    <s v="유즈쇼핑백"/>
    <n v="200720"/>
    <m/>
    <n v="4000"/>
    <n v="3766"/>
    <n v="2420"/>
    <n v="3636.363636363636"/>
    <s v="카페24쇼핑백유즈쇼핑백200720"/>
  </r>
  <r>
    <x v="105"/>
    <s v="일"/>
    <m/>
    <s v="카페24"/>
    <m/>
    <n v="3"/>
    <s v="고체향수"/>
    <s v="이그나이트 + 스테이포에버"/>
    <n v="200720"/>
    <m/>
    <n v="176400"/>
    <n v="166080.6"/>
    <n v="17013"/>
    <n v="160363.6363636364"/>
    <s v="카페24고체향수이그나이트 + 스테이포에버200720"/>
  </r>
  <r>
    <x v="105"/>
    <s v="일"/>
    <m/>
    <s v="카페24"/>
    <m/>
    <n v="1"/>
    <s v="고체향수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05"/>
    <s v="일"/>
    <m/>
    <s v="카페24"/>
    <m/>
    <n v="72"/>
    <s v="고체향수"/>
    <s v="스테이포에버"/>
    <n v="200720"/>
    <m/>
    <n v="2448000"/>
    <n v="2304792"/>
    <n v="200376"/>
    <n v="2225454.545454545"/>
    <s v="카페24고체향수스테이포에버200720"/>
  </r>
  <r>
    <x v="105"/>
    <s v="일"/>
    <m/>
    <s v="카페24"/>
    <m/>
    <n v="7"/>
    <s v="고체향수"/>
    <s v="스테이포에버 2set"/>
    <n v="200720"/>
    <m/>
    <n v="411600"/>
    <n v="387521.4"/>
    <n v="38962"/>
    <n v="374181.8181818182"/>
    <s v="카페24고체향수스테이포에버 2set200720"/>
  </r>
  <r>
    <x v="105"/>
    <s v="일"/>
    <m/>
    <s v="카페24"/>
    <m/>
    <n v="1"/>
    <s v="쇼핑백"/>
    <s v="유즈쇼핑백"/>
    <n v="200720"/>
    <m/>
    <n v="2000"/>
    <n v="1883"/>
    <n v="1210"/>
    <n v="1818.181818181818"/>
    <s v="카페24쇼핑백유즈쇼핑백200720"/>
  </r>
  <r>
    <x v="106"/>
    <s v="월"/>
    <m/>
    <s v="유즈 CS"/>
    <m/>
    <n v="1"/>
    <s v="고체향수"/>
    <s v="스테이포에버"/>
    <n v="200520"/>
    <m/>
    <n v="0"/>
    <n v="0"/>
    <n v="2783"/>
    <n v="0"/>
    <s v="유즈 CS고체향수스테이포에버200520"/>
  </r>
  <r>
    <x v="106"/>
    <s v="월"/>
    <m/>
    <s v="카페24"/>
    <m/>
    <n v="3"/>
    <s v="고체향수"/>
    <s v="이그나이트 + 스테이포에버"/>
    <n v="200720"/>
    <m/>
    <n v="176400"/>
    <n v="166080.6"/>
    <n v="17013"/>
    <n v="160363.6363636364"/>
    <s v="카페24고체향수이그나이트 + 스테이포에버200720"/>
  </r>
  <r>
    <x v="106"/>
    <s v="월"/>
    <m/>
    <s v="카페24"/>
    <m/>
    <n v="71"/>
    <s v="고체향수"/>
    <s v="스테이포에버"/>
    <n v="200720"/>
    <m/>
    <n v="2414000"/>
    <n v="2272781"/>
    <n v="197593"/>
    <n v="2194545.454545455"/>
    <s v="카페24고체향수스테이포에버200720"/>
  </r>
  <r>
    <x v="106"/>
    <s v="월"/>
    <m/>
    <s v="카페24"/>
    <m/>
    <n v="8"/>
    <s v="고체향수"/>
    <s v="스테이포에버 2set"/>
    <n v="200720"/>
    <m/>
    <n v="470400"/>
    <n v="442881.6"/>
    <n v="44528"/>
    <n v="427636.3636363636"/>
    <s v="카페24고체향수스테이포에버 2set200720"/>
  </r>
  <r>
    <x v="106"/>
    <s v="월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106"/>
    <s v="월"/>
    <m/>
    <s v="카페24"/>
    <m/>
    <n v="4"/>
    <s v="쇼핑백"/>
    <s v="유즈쇼핑백"/>
    <n v="200720"/>
    <m/>
    <n v="8000"/>
    <n v="7532"/>
    <n v="4840"/>
    <n v="7272.727272727272"/>
    <s v="카페24쇼핑백유즈쇼핑백200720"/>
  </r>
  <r>
    <x v="107"/>
    <s v="화"/>
    <m/>
    <s v="유즈 CS"/>
    <m/>
    <n v="3"/>
    <s v="고체향수"/>
    <s v="스테이포에버"/>
    <n v="200520"/>
    <m/>
    <n v="0"/>
    <n v="0"/>
    <n v="8349"/>
    <n v="0"/>
    <s v="유즈 CS고체향수스테이포에버200520"/>
  </r>
  <r>
    <x v="107"/>
    <s v="화"/>
    <m/>
    <s v="유즈 CS"/>
    <m/>
    <n v="3"/>
    <s v="고체향수"/>
    <s v="이그나이트"/>
    <n v="200520"/>
    <m/>
    <n v="0"/>
    <n v="0"/>
    <n v="8664"/>
    <n v="0"/>
    <s v="유즈 CS고체향수이그나이트200520"/>
  </r>
  <r>
    <x v="107"/>
    <s v="화"/>
    <m/>
    <s v="카페24"/>
    <m/>
    <n v="9"/>
    <s v="고체향수"/>
    <s v="이그나이트 + 스테이포에버"/>
    <n v="200720"/>
    <m/>
    <n v="529200"/>
    <n v="498241.8"/>
    <n v="51039"/>
    <n v="481090.9090909091"/>
    <s v="카페24고체향수이그나이트 + 스테이포에버200720"/>
  </r>
  <r>
    <x v="107"/>
    <s v="화"/>
    <m/>
    <s v="카페24"/>
    <m/>
    <n v="60"/>
    <s v="고체향수"/>
    <s v="스테이포에버"/>
    <n v="200720"/>
    <m/>
    <n v="2040000"/>
    <n v="1920660"/>
    <n v="166980"/>
    <n v="1854545.454545454"/>
    <s v="카페24고체향수스테이포에버200720"/>
  </r>
  <r>
    <x v="107"/>
    <s v="화"/>
    <m/>
    <s v="카페24"/>
    <m/>
    <n v="8"/>
    <s v="고체향수"/>
    <s v="스테이포에버 2set"/>
    <n v="200720"/>
    <m/>
    <n v="470400"/>
    <n v="442881.6"/>
    <n v="44528"/>
    <n v="427636.3636363636"/>
    <s v="카페24고체향수스테이포에버 2set200720"/>
  </r>
  <r>
    <x v="107"/>
    <s v="화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107"/>
    <s v="화"/>
    <m/>
    <s v="카페24"/>
    <m/>
    <n v="7"/>
    <s v="쇼핑백"/>
    <s v="유즈쇼핑백"/>
    <n v="200720"/>
    <m/>
    <n v="14000"/>
    <n v="13181"/>
    <n v="8470"/>
    <n v="12727.27272727273"/>
    <s v="카페24쇼핑백유즈쇼핑백200720"/>
  </r>
  <r>
    <x v="108"/>
    <s v="수"/>
    <m/>
    <s v="유즈 CS"/>
    <m/>
    <n v="11"/>
    <s v="고체향수"/>
    <s v="스테이포에버"/>
    <n v="200520"/>
    <m/>
    <n v="0"/>
    <n v="0"/>
    <n v="30613"/>
    <n v="0"/>
    <s v="유즈 CS고체향수스테이포에버200520"/>
  </r>
  <r>
    <x v="108"/>
    <s v="수"/>
    <m/>
    <s v="유즈 CS"/>
    <m/>
    <n v="1"/>
    <s v="고체향수"/>
    <s v="이그나이트"/>
    <n v="200520"/>
    <m/>
    <n v="0"/>
    <n v="0"/>
    <n v="2888"/>
    <n v="0"/>
    <s v="유즈 CS고체향수이그나이트200520"/>
  </r>
  <r>
    <x v="108"/>
    <s v="수"/>
    <m/>
    <s v="카페24"/>
    <m/>
    <n v="6"/>
    <s v="고체향수"/>
    <s v="이그나이트 + 스테이포에버"/>
    <n v="200720"/>
    <m/>
    <n v="352800"/>
    <n v="332161.2"/>
    <n v="34026"/>
    <n v="320727.2727272727"/>
    <s v="카페24고체향수이그나이트 + 스테이포에버200720"/>
  </r>
  <r>
    <x v="108"/>
    <s v="수"/>
    <m/>
    <s v="카페24"/>
    <m/>
    <n v="69"/>
    <s v="고체향수"/>
    <s v="스테이포에버"/>
    <n v="200720"/>
    <m/>
    <n v="2346000"/>
    <n v="2208759"/>
    <n v="192027"/>
    <n v="2132727.272727272"/>
    <s v="카페24고체향수스테이포에버200720"/>
  </r>
  <r>
    <x v="108"/>
    <s v="수"/>
    <m/>
    <s v="카페24"/>
    <m/>
    <n v="13"/>
    <s v="고체향수"/>
    <s v="스테이포에버 2set"/>
    <n v="200720"/>
    <m/>
    <n v="764400"/>
    <n v="719682.6"/>
    <n v="72358"/>
    <n v="694909.0909090908"/>
    <s v="카페24고체향수스테이포에버 2set200720"/>
  </r>
  <r>
    <x v="108"/>
    <s v="수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108"/>
    <s v="수"/>
    <m/>
    <s v="카페24"/>
    <m/>
    <n v="2"/>
    <s v="쇼핑백"/>
    <s v="유즈쇼핑백"/>
    <n v="200720"/>
    <m/>
    <n v="4000"/>
    <n v="3766"/>
    <n v="2420"/>
    <n v="3636.363636363636"/>
    <s v="카페24쇼핑백유즈쇼핑백200720"/>
  </r>
  <r>
    <x v="109"/>
    <s v="목"/>
    <m/>
    <s v="유즈 CS"/>
    <m/>
    <n v="9"/>
    <s v="고체향수"/>
    <s v="스테이포에버"/>
    <n v="200520"/>
    <m/>
    <n v="0"/>
    <n v="0"/>
    <n v="25047"/>
    <n v="0"/>
    <s v="유즈 CS고체향수스테이포에버200520"/>
  </r>
  <r>
    <x v="109"/>
    <s v="목"/>
    <m/>
    <s v="유즈 CS"/>
    <m/>
    <n v="1"/>
    <s v="고체향수"/>
    <s v="이그나이트"/>
    <n v="200520"/>
    <m/>
    <n v="0"/>
    <n v="0"/>
    <n v="2888"/>
    <n v="0"/>
    <s v="유즈 CS고체향수이그나이트200520"/>
  </r>
  <r>
    <x v="109"/>
    <s v="목"/>
    <m/>
    <s v="카페24"/>
    <m/>
    <n v="3"/>
    <s v="고체향수"/>
    <s v="이그나이트 + 스테이포에버"/>
    <n v="200720"/>
    <m/>
    <n v="176400"/>
    <n v="166080.6"/>
    <n v="17013"/>
    <n v="160363.6363636364"/>
    <s v="카페24고체향수이그나이트 + 스테이포에버200720"/>
  </r>
  <r>
    <x v="109"/>
    <s v="목"/>
    <m/>
    <s v="카페24"/>
    <m/>
    <n v="66"/>
    <s v="고체향수"/>
    <s v="스테이포에버"/>
    <n v="200720"/>
    <m/>
    <n v="2244000"/>
    <n v="2112726"/>
    <n v="183678"/>
    <n v="2040000"/>
    <s v="카페24고체향수스테이포에버200720"/>
  </r>
  <r>
    <x v="109"/>
    <s v="목"/>
    <m/>
    <s v="카페24"/>
    <m/>
    <n v="8"/>
    <s v="고체향수"/>
    <s v="스테이포에버 2set"/>
    <n v="200720"/>
    <m/>
    <n v="470400"/>
    <n v="442881.6"/>
    <n v="44528"/>
    <n v="427636.3636363636"/>
    <s v="카페24고체향수스테이포에버 2set200720"/>
  </r>
  <r>
    <x v="109"/>
    <s v="목"/>
    <m/>
    <s v="카페24"/>
    <m/>
    <n v="3"/>
    <s v="고체향수"/>
    <s v="이그나이트"/>
    <n v="200720"/>
    <m/>
    <n v="102000"/>
    <n v="96033"/>
    <n v="8664"/>
    <n v="92727.27272727272"/>
    <s v="카페24고체향수이그나이트200720"/>
  </r>
  <r>
    <x v="109"/>
    <s v="목"/>
    <m/>
    <s v="카페24"/>
    <m/>
    <n v="1"/>
    <s v="쇼핑백"/>
    <s v="유즈쇼핑백"/>
    <n v="200720"/>
    <m/>
    <n v="2000"/>
    <n v="1883"/>
    <n v="1210"/>
    <n v="1818.181818181818"/>
    <s v="카페24쇼핑백유즈쇼핑백200720"/>
  </r>
  <r>
    <x v="110"/>
    <s v="금"/>
    <m/>
    <s v="카페24"/>
    <m/>
    <n v="5"/>
    <s v="고체향수"/>
    <s v="이그나이트 + 스테이포에버"/>
    <n v="200720"/>
    <m/>
    <n v="294000"/>
    <n v="276801"/>
    <n v="28355"/>
    <n v="267272.7272727272"/>
    <s v="카페24고체향수이그나이트 + 스테이포에버200720"/>
  </r>
  <r>
    <x v="110"/>
    <s v="금"/>
    <m/>
    <s v="카페24"/>
    <m/>
    <n v="66"/>
    <s v="고체향수"/>
    <s v="스테이포에버"/>
    <n v="200720"/>
    <m/>
    <n v="2244000"/>
    <n v="2112726"/>
    <n v="183678"/>
    <n v="2040000"/>
    <s v="카페24고체향수스테이포에버200720"/>
  </r>
  <r>
    <x v="110"/>
    <s v="금"/>
    <m/>
    <s v="카페24"/>
    <m/>
    <n v="15"/>
    <s v="고체향수"/>
    <s v="스테이포에버 2set"/>
    <n v="200720"/>
    <m/>
    <n v="882000"/>
    <n v="830403"/>
    <n v="83490"/>
    <n v="801818.1818181818"/>
    <s v="카페24고체향수스테이포에버 2set200720"/>
  </r>
  <r>
    <x v="110"/>
    <s v="금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110"/>
    <s v="금"/>
    <m/>
    <s v="카페24"/>
    <m/>
    <n v="3"/>
    <s v="쇼핑백"/>
    <s v="유즈쇼핑백"/>
    <n v="200720"/>
    <m/>
    <n v="6000"/>
    <n v="5649"/>
    <n v="3630"/>
    <n v="5454.545454545454"/>
    <s v="카페24쇼핑백유즈쇼핑백200720"/>
  </r>
  <r>
    <x v="111"/>
    <s v="토"/>
    <m/>
    <s v="카페24"/>
    <m/>
    <n v="5"/>
    <s v="고체향수"/>
    <s v="이그나이트 + 스테이포에버"/>
    <n v="200720"/>
    <m/>
    <n v="294000"/>
    <n v="276801"/>
    <n v="28355"/>
    <n v="267272.7272727272"/>
    <s v="카페24고체향수이그나이트 + 스테이포에버200720"/>
  </r>
  <r>
    <x v="111"/>
    <s v="토"/>
    <m/>
    <s v="카페24"/>
    <m/>
    <n v="64"/>
    <s v="고체향수"/>
    <s v="스테이포에버"/>
    <n v="200720"/>
    <m/>
    <n v="2176000"/>
    <n v="2048704"/>
    <n v="178112"/>
    <n v="1978181.818181818"/>
    <s v="카페24고체향수스테이포에버200720"/>
  </r>
  <r>
    <x v="111"/>
    <s v="토"/>
    <m/>
    <s v="카페24"/>
    <m/>
    <n v="8"/>
    <s v="고체향수"/>
    <s v="스테이포에버 2set"/>
    <n v="200720"/>
    <m/>
    <n v="470400"/>
    <n v="442881.6"/>
    <n v="44528"/>
    <n v="427636.3636363636"/>
    <s v="카페24고체향수스테이포에버 2set200720"/>
  </r>
  <r>
    <x v="111"/>
    <s v="토"/>
    <m/>
    <s v="카페24"/>
    <m/>
    <n v="2"/>
    <s v="쇼핑백"/>
    <s v="유즈쇼핑백"/>
    <n v="200720"/>
    <m/>
    <n v="4000"/>
    <n v="3766"/>
    <n v="2420"/>
    <n v="3636.363636363636"/>
    <s v="카페24쇼핑백유즈쇼핑백200720"/>
  </r>
  <r>
    <x v="112"/>
    <s v="일"/>
    <m/>
    <s v="카페24"/>
    <m/>
    <n v="4"/>
    <s v="고체향수"/>
    <s v="이그나이트 + 스테이포에버"/>
    <n v="200720"/>
    <m/>
    <n v="235200"/>
    <n v="221440.8"/>
    <n v="22684"/>
    <n v="213818.1818181818"/>
    <s v="카페24고체향수이그나이트 + 스테이포에버200720"/>
  </r>
  <r>
    <x v="112"/>
    <s v="일"/>
    <m/>
    <s v="카페24"/>
    <m/>
    <n v="59"/>
    <s v="고체향수"/>
    <s v="스테이포에버"/>
    <n v="200720"/>
    <m/>
    <n v="2006000"/>
    <n v="1888649"/>
    <n v="164197"/>
    <n v="1823636.363636364"/>
    <s v="카페24고체향수스테이포에버200720"/>
  </r>
  <r>
    <x v="112"/>
    <s v="일"/>
    <m/>
    <s v="카페24"/>
    <m/>
    <n v="16"/>
    <s v="고체향수"/>
    <s v="스테이포에버 2set"/>
    <n v="200720"/>
    <m/>
    <n v="940800"/>
    <n v="885763.2"/>
    <n v="89056"/>
    <n v="855272.7272727272"/>
    <s v="카페24고체향수스테이포에버 2set200720"/>
  </r>
  <r>
    <x v="112"/>
    <s v="일"/>
    <m/>
    <s v="카페24"/>
    <m/>
    <n v="3"/>
    <s v="고체향수"/>
    <s v="이그나이트"/>
    <n v="200720"/>
    <m/>
    <n v="102000"/>
    <n v="96033"/>
    <n v="8664"/>
    <n v="92727.27272727272"/>
    <s v="카페24고체향수이그나이트200720"/>
  </r>
  <r>
    <x v="112"/>
    <s v="일"/>
    <m/>
    <s v="카페24"/>
    <m/>
    <n v="3"/>
    <s v="쇼핑백"/>
    <s v="유즈쇼핑백"/>
    <n v="200720"/>
    <m/>
    <n v="6000"/>
    <n v="5649"/>
    <n v="3630"/>
    <n v="5454.545454545454"/>
    <s v="카페24쇼핑백유즈쇼핑백200720"/>
  </r>
  <r>
    <x v="113"/>
    <s v="월"/>
    <m/>
    <s v="유즈 CS"/>
    <m/>
    <n v="4"/>
    <s v="고체향수"/>
    <s v="스테이포에버"/>
    <n v="200520"/>
    <m/>
    <n v="0"/>
    <n v="0"/>
    <n v="11132"/>
    <n v="0"/>
    <s v="유즈 CS고체향수스테이포에버200520"/>
  </r>
  <r>
    <x v="113"/>
    <s v="월"/>
    <m/>
    <s v="카페24"/>
    <m/>
    <n v="4"/>
    <s v="고체향수"/>
    <s v="이그나이트 + 스테이포에버"/>
    <n v="200720"/>
    <m/>
    <n v="235200"/>
    <n v="221440.8"/>
    <n v="22684"/>
    <n v="213818.1818181818"/>
    <s v="카페24고체향수이그나이트 + 스테이포에버200720"/>
  </r>
  <r>
    <x v="113"/>
    <s v="월"/>
    <m/>
    <s v="카페24"/>
    <m/>
    <n v="1"/>
    <s v="고체향수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13"/>
    <s v="월"/>
    <m/>
    <s v="카페24"/>
    <m/>
    <n v="73"/>
    <s v="고체향수"/>
    <s v="스테이포에버"/>
    <n v="200720"/>
    <m/>
    <n v="2482000"/>
    <n v="2336803"/>
    <n v="203159"/>
    <n v="2256363.636363636"/>
    <s v="카페24고체향수스테이포에버200720"/>
  </r>
  <r>
    <x v="113"/>
    <s v="월"/>
    <m/>
    <s v="카페24"/>
    <m/>
    <n v="13"/>
    <s v="고체향수"/>
    <s v="스테이포에버 2set"/>
    <n v="200720"/>
    <m/>
    <n v="764400"/>
    <n v="719682.6"/>
    <n v="72358"/>
    <n v="694909.0909090908"/>
    <s v="카페24고체향수스테이포에버 2set200720"/>
  </r>
  <r>
    <x v="113"/>
    <s v="월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113"/>
    <s v="월"/>
    <m/>
    <s v="카페24"/>
    <m/>
    <n v="3"/>
    <s v="쇼핑백"/>
    <s v="유즈쇼핑백"/>
    <n v="200720"/>
    <m/>
    <n v="6000"/>
    <n v="5649"/>
    <n v="3630"/>
    <n v="5454.545454545454"/>
    <s v="카페24쇼핑백유즈쇼핑백200720"/>
  </r>
  <r>
    <x v="114"/>
    <s v="화"/>
    <m/>
    <s v="카페24"/>
    <m/>
    <n v="5"/>
    <s v="고체향수"/>
    <s v="이그나이트 + 스테이포에버"/>
    <n v="200720"/>
    <m/>
    <n v="294000"/>
    <n v="276801"/>
    <n v="28355"/>
    <n v="267272.7272727272"/>
    <s v="카페24고체향수이그나이트 + 스테이포에버200720"/>
  </r>
  <r>
    <x v="114"/>
    <s v="화"/>
    <m/>
    <s v="카페24"/>
    <m/>
    <n v="72"/>
    <s v="고체향수"/>
    <s v="스테이포에버"/>
    <n v="200720"/>
    <m/>
    <n v="2448000"/>
    <n v="2304792"/>
    <n v="200376"/>
    <n v="2225454.545454545"/>
    <s v="카페24고체향수스테이포에버200720"/>
  </r>
  <r>
    <x v="114"/>
    <s v="화"/>
    <m/>
    <s v="카페24"/>
    <m/>
    <n v="18"/>
    <s v="고체향수"/>
    <s v="스테이포에버 2set"/>
    <n v="200720"/>
    <m/>
    <n v="1058400"/>
    <n v="996483.6"/>
    <n v="100188"/>
    <n v="962181.8181818181"/>
    <s v="카페24고체향수스테이포에버 2set200720"/>
  </r>
  <r>
    <x v="114"/>
    <s v="화"/>
    <m/>
    <s v="카페24"/>
    <m/>
    <n v="3"/>
    <s v="고체향수"/>
    <s v="이그나이트"/>
    <n v="200720"/>
    <m/>
    <n v="102000"/>
    <n v="96033"/>
    <n v="8664"/>
    <n v="92727.27272727272"/>
    <s v="카페24고체향수이그나이트200720"/>
  </r>
  <r>
    <x v="114"/>
    <s v="화"/>
    <m/>
    <s v="카페24"/>
    <m/>
    <n v="1"/>
    <s v="쇼핑백"/>
    <s v="유즈쇼핑백"/>
    <n v="200720"/>
    <m/>
    <n v="2000"/>
    <n v="1883"/>
    <n v="1210"/>
    <n v="1818.181818181818"/>
    <s v="카페24쇼핑백유즈쇼핑백200720"/>
  </r>
  <r>
    <x v="115"/>
    <s v="수"/>
    <m/>
    <s v="카페24"/>
    <m/>
    <n v="1"/>
    <s v="고체향수"/>
    <s v="이그나이트 + 스테이포에버"/>
    <n v="200720"/>
    <m/>
    <n v="58800"/>
    <n v="55360.2"/>
    <n v="5671"/>
    <n v="53454.54545454545"/>
    <s v="카페24고체향수이그나이트 + 스테이포에버200720"/>
  </r>
  <r>
    <x v="115"/>
    <s v="수"/>
    <m/>
    <s v="카페24"/>
    <m/>
    <n v="63"/>
    <s v="고체향수"/>
    <s v="스테이포에버"/>
    <n v="200720"/>
    <m/>
    <n v="2142000"/>
    <n v="2016693"/>
    <n v="175329"/>
    <n v="1947272.727272727"/>
    <s v="카페24고체향수스테이포에버200720"/>
  </r>
  <r>
    <x v="115"/>
    <s v="수"/>
    <m/>
    <s v="카페24"/>
    <m/>
    <n v="12"/>
    <s v="고체향수"/>
    <s v="스테이포에버 2set"/>
    <n v="200720"/>
    <m/>
    <n v="705600"/>
    <n v="664322.4"/>
    <n v="66792"/>
    <n v="641454.5454545454"/>
    <s v="카페24고체향수스테이포에버 2set200720"/>
  </r>
  <r>
    <x v="115"/>
    <s v="수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115"/>
    <s v="수"/>
    <m/>
    <s v="카페24"/>
    <m/>
    <n v="1"/>
    <s v="쇼핑백"/>
    <s v="유즈쇼핑백"/>
    <n v="200720"/>
    <m/>
    <n v="2000"/>
    <n v="1883"/>
    <n v="1210"/>
    <n v="1818.181818181818"/>
    <s v="카페24쇼핑백유즈쇼핑백200720"/>
  </r>
  <r>
    <x v="116"/>
    <s v="목"/>
    <m/>
    <s v="카페24"/>
    <m/>
    <n v="5"/>
    <s v="고체향수"/>
    <s v="이그나이트 + 스테이포에버"/>
    <n v="200720"/>
    <m/>
    <n v="294000"/>
    <n v="276801"/>
    <n v="28355"/>
    <n v="267272.7272727272"/>
    <s v="카페24고체향수이그나이트 + 스테이포에버200720"/>
  </r>
  <r>
    <x v="116"/>
    <s v="목"/>
    <m/>
    <s v="카페24"/>
    <m/>
    <n v="69"/>
    <s v="고체향수"/>
    <s v="스테이포에버"/>
    <n v="200720"/>
    <m/>
    <n v="2346000"/>
    <n v="2208759"/>
    <n v="192027"/>
    <n v="2132727.272727272"/>
    <s v="카페24고체향수스테이포에버200720"/>
  </r>
  <r>
    <x v="116"/>
    <s v="목"/>
    <m/>
    <s v="카페24"/>
    <m/>
    <n v="13"/>
    <s v="고체향수"/>
    <s v="스테이포에버 2set"/>
    <n v="200720"/>
    <m/>
    <n v="764400"/>
    <n v="719682.6"/>
    <n v="72358"/>
    <n v="694909.0909090908"/>
    <s v="카페24고체향수스테이포에버 2set200720"/>
  </r>
  <r>
    <x v="116"/>
    <s v="목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116"/>
    <s v="목"/>
    <m/>
    <s v="카페24"/>
    <m/>
    <n v="1"/>
    <s v="쇼핑백"/>
    <s v="유즈쇼핑백"/>
    <n v="200720"/>
    <m/>
    <n v="2000"/>
    <n v="1883"/>
    <n v="1210"/>
    <n v="1818.181818181818"/>
    <s v="카페24쇼핑백유즈쇼핑백200720"/>
  </r>
  <r>
    <x v="117"/>
    <s v="금"/>
    <m/>
    <s v="카페24"/>
    <m/>
    <n v="3"/>
    <s v="고체향수"/>
    <s v="이그나이트 + 스테이포에버"/>
    <n v="200720"/>
    <m/>
    <n v="176400"/>
    <n v="166080.6"/>
    <n v="17013"/>
    <n v="160363.6363636364"/>
    <s v="카페24고체향수이그나이트 + 스테이포에버200720"/>
  </r>
  <r>
    <x v="117"/>
    <s v="금"/>
    <m/>
    <s v="카페24"/>
    <m/>
    <n v="57"/>
    <s v="고체향수"/>
    <s v="스테이포에버"/>
    <n v="200720"/>
    <m/>
    <n v="1938000"/>
    <n v="1824627"/>
    <n v="158631"/>
    <n v="1761818.181818182"/>
    <s v="카페24고체향수스테이포에버200720"/>
  </r>
  <r>
    <x v="117"/>
    <s v="금"/>
    <m/>
    <s v="카페24"/>
    <m/>
    <n v="23"/>
    <s v="고체향수"/>
    <s v="스테이포에버 2set"/>
    <n v="200720"/>
    <m/>
    <n v="1352400"/>
    <n v="1273284.6"/>
    <n v="128018"/>
    <n v="1229454.545454545"/>
    <s v="카페24고체향수스테이포에버 2set200720"/>
  </r>
  <r>
    <x v="117"/>
    <s v="금"/>
    <m/>
    <s v="카페24"/>
    <m/>
    <n v="3"/>
    <s v="고체향수"/>
    <s v="이그나이트"/>
    <n v="200720"/>
    <m/>
    <n v="102000"/>
    <n v="96033"/>
    <n v="8664"/>
    <n v="92727.27272727272"/>
    <s v="카페24고체향수이그나이트200720"/>
  </r>
  <r>
    <x v="118"/>
    <s v="토"/>
    <m/>
    <s v="카페24"/>
    <m/>
    <n v="6"/>
    <s v="고체향수"/>
    <s v="이그나이트 + 스테이포에버"/>
    <n v="200720"/>
    <m/>
    <n v="352800"/>
    <n v="332161.2"/>
    <n v="34026"/>
    <n v="320727.2727272727"/>
    <s v="카페24고체향수이그나이트 + 스테이포에버200720"/>
  </r>
  <r>
    <x v="118"/>
    <s v="토"/>
    <m/>
    <s v="카페24"/>
    <m/>
    <n v="60"/>
    <s v="고체향수"/>
    <s v="스테이포에버"/>
    <n v="200720"/>
    <m/>
    <n v="2040000"/>
    <n v="1920660"/>
    <n v="166980"/>
    <n v="1854545.454545454"/>
    <s v="카페24고체향수스테이포에버200720"/>
  </r>
  <r>
    <x v="118"/>
    <s v="토"/>
    <m/>
    <s v="카페24"/>
    <m/>
    <n v="17"/>
    <s v="고체향수"/>
    <s v="스테이포에버 2set"/>
    <n v="200720"/>
    <m/>
    <n v="999600"/>
    <n v="941123.4"/>
    <n v="94622"/>
    <n v="908727.2727272727"/>
    <s v="카페24고체향수스테이포에버 2set200720"/>
  </r>
  <r>
    <x v="118"/>
    <s v="토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118"/>
    <s v="토"/>
    <m/>
    <s v="카페24"/>
    <m/>
    <n v="4"/>
    <s v="쇼핑백"/>
    <s v="유즈쇼핑백"/>
    <n v="200720"/>
    <m/>
    <n v="8000"/>
    <n v="7532"/>
    <n v="4840"/>
    <n v="7272.727272727272"/>
    <s v="카페24쇼핑백유즈쇼핑백200720"/>
  </r>
  <r>
    <x v="119"/>
    <s v="일"/>
    <m/>
    <s v="카페24"/>
    <m/>
    <n v="5"/>
    <s v="고체향수"/>
    <s v="이그나이트 + 스테이포에버"/>
    <n v="200720"/>
    <m/>
    <n v="294000"/>
    <n v="276801"/>
    <n v="28355"/>
    <n v="267272.7272727272"/>
    <s v="카페24고체향수이그나이트 + 스테이포에버200720"/>
  </r>
  <r>
    <x v="119"/>
    <s v="일"/>
    <m/>
    <s v="카페24"/>
    <m/>
    <n v="81"/>
    <s v="고체향수"/>
    <s v="스테이포에버"/>
    <n v="200720"/>
    <m/>
    <n v="2754000"/>
    <n v="2592891"/>
    <n v="225423"/>
    <n v="2503636.363636363"/>
    <s v="카페24고체향수스테이포에버200720"/>
  </r>
  <r>
    <x v="119"/>
    <s v="일"/>
    <m/>
    <s v="카페24"/>
    <m/>
    <n v="13"/>
    <s v="고체향수"/>
    <s v="스테이포에버 2set"/>
    <n v="200720"/>
    <m/>
    <n v="764400"/>
    <n v="719682.6"/>
    <n v="72358"/>
    <n v="694909.0909090908"/>
    <s v="카페24고체향수스테이포에버 2set200720"/>
  </r>
  <r>
    <x v="119"/>
    <s v="일"/>
    <m/>
    <s v="카페24"/>
    <m/>
    <n v="2"/>
    <s v="고체향수"/>
    <s v="이그나이트"/>
    <n v="200720"/>
    <m/>
    <n v="68000"/>
    <n v="64022"/>
    <n v="5776"/>
    <n v="61818.18181818182"/>
    <s v="카페24고체향수이그나이트200720"/>
  </r>
  <r>
    <x v="119"/>
    <s v="일"/>
    <m/>
    <s v="카페24"/>
    <m/>
    <n v="2"/>
    <s v="쇼핑백"/>
    <s v="유즈쇼핑백"/>
    <n v="200720"/>
    <m/>
    <n v="4000"/>
    <n v="3766"/>
    <n v="2420"/>
    <n v="3636.363636363636"/>
    <s v="카페24쇼핑백유즈쇼핑백200720"/>
  </r>
  <r>
    <x v="120"/>
    <s v="월"/>
    <m/>
    <s v="카페24"/>
    <m/>
    <n v="9"/>
    <s v="고체향수"/>
    <s v="이그나이트 + 스테이포에버"/>
    <n v="200720"/>
    <m/>
    <n v="529200"/>
    <n v="498241.8"/>
    <n v="51039"/>
    <n v="481090.9090909091"/>
    <s v="카페24고체향수이그나이트 + 스테이포에버200720"/>
  </r>
  <r>
    <x v="120"/>
    <s v="월"/>
    <m/>
    <s v="카페24"/>
    <m/>
    <n v="63"/>
    <s v="고체향수"/>
    <s v="스테이포에버"/>
    <n v="200720"/>
    <m/>
    <n v="2142000"/>
    <n v="2016693"/>
    <n v="175329"/>
    <n v="1947272.727272727"/>
    <s v="카페24고체향수스테이포에버200720"/>
  </r>
  <r>
    <x v="120"/>
    <s v="월"/>
    <m/>
    <s v="카페24"/>
    <m/>
    <n v="12"/>
    <s v="고체향수"/>
    <s v="스테이포에버 2set"/>
    <n v="200720"/>
    <m/>
    <n v="705600"/>
    <n v="664322.4"/>
    <n v="66792"/>
    <n v="641454.5454545454"/>
    <s v="카페24고체향수스테이포에버 2set200720"/>
  </r>
  <r>
    <x v="120"/>
    <s v="월"/>
    <m/>
    <s v="카페24"/>
    <m/>
    <n v="5"/>
    <s v="고체향수"/>
    <s v="이그나이트"/>
    <n v="200720"/>
    <m/>
    <n v="170000"/>
    <n v="160055"/>
    <n v="14440"/>
    <n v="154545.4545454545"/>
    <s v="카페24고체향수이그나이트200720"/>
  </r>
  <r>
    <x v="120"/>
    <s v="월"/>
    <m/>
    <s v="카페24"/>
    <m/>
    <n v="2"/>
    <s v="쇼핑백"/>
    <s v="유즈쇼핑백"/>
    <n v="200720"/>
    <m/>
    <n v="4000"/>
    <n v="3766"/>
    <n v="2420"/>
    <n v="3636.363636363636"/>
    <s v="카페24쇼핑백유즈쇼핑백200720"/>
  </r>
  <r>
    <x v="120"/>
    <s v="월"/>
    <m/>
    <s v="유즈 CS"/>
    <m/>
    <n v="1"/>
    <s v="고체향수"/>
    <s v="스테이포에버"/>
    <n v="200520"/>
    <m/>
    <n v="0"/>
    <n v="0"/>
    <n v="2783"/>
    <n v="0"/>
    <s v="유즈 CS고체향수스테이포에버200520"/>
  </r>
  <r>
    <x v="121"/>
    <s v="화"/>
    <m/>
    <s v="카페24"/>
    <m/>
    <n v="5"/>
    <s v="고체향수"/>
    <s v="이그나이트 + 스테이포에버"/>
    <n v="200720"/>
    <m/>
    <n v="294000"/>
    <n v="276801"/>
    <n v="28355"/>
    <n v="267272.7272727272"/>
    <s v="카페24고체향수이그나이트 + 스테이포에버200720"/>
  </r>
  <r>
    <x v="121"/>
    <s v="화"/>
    <m/>
    <s v="카페24"/>
    <m/>
    <n v="76"/>
    <s v="고체향수"/>
    <s v="스테이포에버"/>
    <n v="200720"/>
    <m/>
    <n v="2584000"/>
    <n v="2432836"/>
    <n v="211508"/>
    <n v="2349090.909090909"/>
    <s v="카페24고체향수스테이포에버200720"/>
  </r>
  <r>
    <x v="121"/>
    <s v="화"/>
    <m/>
    <s v="카페24"/>
    <m/>
    <n v="15"/>
    <s v="고체향수"/>
    <s v="스테이포에버 2set"/>
    <n v="200720"/>
    <m/>
    <n v="882000"/>
    <n v="830403"/>
    <n v="83490"/>
    <n v="801818.1818181818"/>
    <s v="카페24고체향수스테이포에버 2set200720"/>
  </r>
  <r>
    <x v="121"/>
    <s v="화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121"/>
    <s v="화"/>
    <m/>
    <s v="카페24"/>
    <m/>
    <n v="1"/>
    <s v="쇼핑백"/>
    <s v="유즈쇼핑백"/>
    <n v="200720"/>
    <m/>
    <n v="2000"/>
    <n v="1883"/>
    <n v="1210"/>
    <n v="1818.181818181818"/>
    <s v="카페24쇼핑백유즈쇼핑백200720"/>
  </r>
  <r>
    <x v="122"/>
    <s v="수"/>
    <m/>
    <s v="카페24"/>
    <m/>
    <n v="4"/>
    <s v="고체향수"/>
    <s v="이그나이트 + 스테이포에버"/>
    <n v="200720"/>
    <m/>
    <n v="235200"/>
    <n v="221440.8"/>
    <n v="22684"/>
    <n v="213818.1818181818"/>
    <s v="카페24고체향수이그나이트 + 스테이포에버200720"/>
  </r>
  <r>
    <x v="122"/>
    <s v="수"/>
    <m/>
    <s v="카페24"/>
    <m/>
    <n v="77"/>
    <s v="고체향수"/>
    <s v="스테이포에버"/>
    <n v="200720"/>
    <m/>
    <n v="2618000"/>
    <n v="2464847"/>
    <n v="214291"/>
    <n v="2380000"/>
    <s v="카페24고체향수스테이포에버200720"/>
  </r>
  <r>
    <x v="122"/>
    <s v="수"/>
    <m/>
    <s v="카페24"/>
    <m/>
    <n v="21"/>
    <s v="고체향수"/>
    <s v="스테이포에버 2set"/>
    <n v="200720"/>
    <m/>
    <n v="1234800"/>
    <n v="1162564.2"/>
    <n v="116886"/>
    <n v="1122545.454545454"/>
    <s v="카페24고체향수스테이포에버 2set200720"/>
  </r>
  <r>
    <x v="122"/>
    <s v="수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122"/>
    <s v="수"/>
    <m/>
    <s v="카페24"/>
    <m/>
    <n v="2"/>
    <s v="쇼핑백"/>
    <s v="유즈쇼핑백"/>
    <n v="200720"/>
    <m/>
    <n v="4000"/>
    <n v="3766"/>
    <n v="2420"/>
    <n v="3636.363636363636"/>
    <s v="카페24쇼핑백유즈쇼핑백200720"/>
  </r>
  <r>
    <x v="123"/>
    <s v="목"/>
    <m/>
    <s v="카페24"/>
    <m/>
    <n v="3"/>
    <s v="고체향수"/>
    <s v="이그나이트 + 스테이포에버"/>
    <n v="200720"/>
    <m/>
    <n v="176400"/>
    <n v="166080.6"/>
    <n v="17013"/>
    <n v="160363.6363636364"/>
    <s v="카페24고체향수이그나이트 + 스테이포에버200720"/>
  </r>
  <r>
    <x v="123"/>
    <s v="목"/>
    <m/>
    <s v="카페24"/>
    <m/>
    <n v="83"/>
    <s v="고체향수"/>
    <s v="스테이포에버"/>
    <n v="200720"/>
    <m/>
    <n v="2822000"/>
    <n v="2656913"/>
    <n v="230989"/>
    <n v="2565454.545454545"/>
    <s v="카페24고체향수스테이포에버200720"/>
  </r>
  <r>
    <x v="123"/>
    <s v="목"/>
    <m/>
    <s v="카페24"/>
    <m/>
    <n v="19"/>
    <s v="고체향수"/>
    <s v="스테이포에버 2set"/>
    <n v="200720"/>
    <m/>
    <n v="1117200"/>
    <n v="1051843.8"/>
    <n v="105754"/>
    <n v="1015636.363636364"/>
    <s v="카페24고체향수스테이포에버 2set200720"/>
  </r>
  <r>
    <x v="123"/>
    <s v="목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123"/>
    <s v="목"/>
    <m/>
    <s v="카페24"/>
    <m/>
    <n v="4"/>
    <s v="쇼핑백"/>
    <s v="유즈쇼핑백"/>
    <n v="200720"/>
    <m/>
    <n v="8000"/>
    <n v="7532"/>
    <n v="4840"/>
    <n v="7272.727272727272"/>
    <s v="카페24쇼핑백유즈쇼핑백200720"/>
  </r>
  <r>
    <x v="124"/>
    <s v="금"/>
    <m/>
    <s v="카페24"/>
    <m/>
    <n v="6"/>
    <s v="고체향수"/>
    <s v="이그나이트 + 스테이포에버"/>
    <n v="200720"/>
    <m/>
    <n v="352800"/>
    <n v="332161.2"/>
    <n v="34026"/>
    <n v="320727.2727272727"/>
    <s v="카페24고체향수이그나이트 + 스테이포에버200720"/>
  </r>
  <r>
    <x v="124"/>
    <s v="금"/>
    <m/>
    <s v="카페24"/>
    <m/>
    <n v="85"/>
    <s v="고체향수"/>
    <s v="스테이포에버"/>
    <n v="200720"/>
    <m/>
    <n v="2890000"/>
    <n v="2720935"/>
    <n v="236555"/>
    <n v="2627272.727272727"/>
    <s v="카페24고체향수스테이포에버200720"/>
  </r>
  <r>
    <x v="124"/>
    <s v="금"/>
    <m/>
    <s v="카페24"/>
    <m/>
    <n v="15"/>
    <s v="고체향수"/>
    <s v="스테이포에버 2set"/>
    <n v="200720"/>
    <m/>
    <n v="882000"/>
    <n v="830403"/>
    <n v="83490"/>
    <n v="801818.1818181818"/>
    <s v="카페24고체향수스테이포에버 2set200720"/>
  </r>
  <r>
    <x v="124"/>
    <s v="금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124"/>
    <s v="금"/>
    <m/>
    <s v="카페24"/>
    <m/>
    <n v="1"/>
    <s v="쇼핑백"/>
    <s v="유즈쇼핑백"/>
    <n v="200720"/>
    <m/>
    <n v="2000"/>
    <n v="1883"/>
    <n v="1210"/>
    <n v="1818.181818181818"/>
    <s v="카페24쇼핑백유즈쇼핑백200720"/>
  </r>
  <r>
    <x v="125"/>
    <s v="토"/>
    <m/>
    <s v="카페24"/>
    <m/>
    <n v="9"/>
    <s v="고체향수"/>
    <s v="이그나이트 + 스테이포에버"/>
    <n v="200720"/>
    <m/>
    <n v="529200"/>
    <n v="498241.8"/>
    <n v="51039"/>
    <n v="481090.9090909091"/>
    <s v="카페24고체향수이그나이트 + 스테이포에버200720"/>
  </r>
  <r>
    <x v="125"/>
    <s v="토"/>
    <m/>
    <s v="카페24"/>
    <m/>
    <n v="108"/>
    <s v="고체향수"/>
    <s v="스테이포에버"/>
    <n v="200720"/>
    <m/>
    <n v="3672000"/>
    <n v="3457188"/>
    <n v="300564"/>
    <n v="3338181.818181818"/>
    <s v="카페24고체향수스테이포에버200720"/>
  </r>
  <r>
    <x v="125"/>
    <s v="토"/>
    <m/>
    <s v="카페24"/>
    <m/>
    <n v="18"/>
    <s v="고체향수"/>
    <s v="스테이포에버 2set"/>
    <n v="200720"/>
    <m/>
    <n v="1058400"/>
    <n v="996483.6"/>
    <n v="100188"/>
    <n v="962181.8181818181"/>
    <s v="카페24고체향수스테이포에버 2set200720"/>
  </r>
  <r>
    <x v="125"/>
    <s v="토"/>
    <m/>
    <s v="카페24"/>
    <m/>
    <n v="4"/>
    <s v="고체향수"/>
    <s v="이그나이트"/>
    <n v="200720"/>
    <m/>
    <n v="136000"/>
    <n v="128044"/>
    <n v="11552"/>
    <n v="123636.3636363636"/>
    <s v="카페24고체향수이그나이트200720"/>
  </r>
  <r>
    <x v="125"/>
    <s v="토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125"/>
    <s v="토"/>
    <m/>
    <s v="카페24"/>
    <m/>
    <n v="2"/>
    <s v="쇼핑백"/>
    <s v="유즈쇼핑백"/>
    <n v="200720"/>
    <m/>
    <n v="4000"/>
    <n v="3766"/>
    <n v="2420"/>
    <n v="3636.363636363636"/>
    <s v="카페24쇼핑백유즈쇼핑백200720"/>
  </r>
  <r>
    <x v="126"/>
    <s v="일"/>
    <m/>
    <s v="카페24"/>
    <m/>
    <n v="13"/>
    <s v="고체향수"/>
    <s v="이그나이트 + 스테이포에버"/>
    <n v="200720"/>
    <m/>
    <n v="764400"/>
    <n v="719682.6"/>
    <n v="73723"/>
    <n v="694909.0909090908"/>
    <s v="카페24고체향수이그나이트 + 스테이포에버200720"/>
  </r>
  <r>
    <x v="126"/>
    <s v="일"/>
    <m/>
    <s v="카페24"/>
    <m/>
    <n v="131"/>
    <s v="고체향수"/>
    <s v="스테이포에버"/>
    <n v="200720"/>
    <m/>
    <n v="4454000"/>
    <n v="4193441"/>
    <n v="364573"/>
    <n v="4049090.909090909"/>
    <s v="카페24고체향수스테이포에버200720"/>
  </r>
  <r>
    <x v="126"/>
    <s v="일"/>
    <m/>
    <s v="카페24"/>
    <m/>
    <n v="29"/>
    <s v="고체향수"/>
    <s v="스테이포에버 2set"/>
    <n v="200720"/>
    <m/>
    <n v="1705200"/>
    <n v="1605445.8"/>
    <n v="161414"/>
    <n v="1550181.818181818"/>
    <s v="카페24고체향수스테이포에버 2set200720"/>
  </r>
  <r>
    <x v="126"/>
    <s v="일"/>
    <m/>
    <s v="카페24"/>
    <m/>
    <n v="2"/>
    <s v="고체향수"/>
    <s v="이그나이트"/>
    <n v="200720"/>
    <m/>
    <n v="68000"/>
    <n v="64022"/>
    <n v="5776"/>
    <n v="61818.18181818182"/>
    <s v="카페24고체향수이그나이트200720"/>
  </r>
  <r>
    <x v="126"/>
    <s v="일"/>
    <m/>
    <s v="카페24"/>
    <m/>
    <n v="2"/>
    <s v="고체향수"/>
    <s v="이그나이트 2set"/>
    <n v="200720"/>
    <m/>
    <n v="117600"/>
    <n v="110720.4"/>
    <n v="11552"/>
    <n v="106909.0909090909"/>
    <s v="카페24고체향수이그나이트 2set200720"/>
  </r>
  <r>
    <x v="126"/>
    <s v="일"/>
    <m/>
    <s v="카페24"/>
    <m/>
    <n v="5"/>
    <s v="쇼핑백"/>
    <s v="유즈쇼핑백"/>
    <n v="200720"/>
    <m/>
    <n v="10000"/>
    <n v="9415"/>
    <n v="6050"/>
    <n v="9090.90909090909"/>
    <s v="카페24쇼핑백유즈쇼핑백200720"/>
  </r>
  <r>
    <x v="127"/>
    <s v="월"/>
    <m/>
    <s v="카페24"/>
    <m/>
    <n v="13"/>
    <s v="고체향수"/>
    <s v="이그나이트 + 스테이포에버"/>
    <n v="200720"/>
    <m/>
    <n v="764400"/>
    <n v="719682.6"/>
    <n v="73723"/>
    <n v="694909.0909090908"/>
    <s v="카페24고체향수이그나이트 + 스테이포에버200720"/>
  </r>
  <r>
    <x v="127"/>
    <s v="월"/>
    <m/>
    <s v="카페24"/>
    <m/>
    <n v="126"/>
    <s v="고체향수"/>
    <s v="스테이포에버"/>
    <n v="200720"/>
    <m/>
    <n v="4284000"/>
    <n v="4033386"/>
    <n v="350658"/>
    <n v="3894545.454545454"/>
    <s v="카페24고체향수스테이포에버200720"/>
  </r>
  <r>
    <x v="127"/>
    <s v="월"/>
    <m/>
    <s v="카페24"/>
    <m/>
    <n v="26"/>
    <s v="고체향수"/>
    <s v="스테이포에버 2set"/>
    <n v="200720"/>
    <m/>
    <n v="1528800"/>
    <n v="1439365.2"/>
    <n v="144716"/>
    <n v="1389818.181818182"/>
    <s v="카페24고체향수스테이포에버 2set200720"/>
  </r>
  <r>
    <x v="127"/>
    <s v="월"/>
    <m/>
    <s v="카페24"/>
    <m/>
    <n v="1"/>
    <s v="쇼핑백"/>
    <s v="유즈쇼핑백"/>
    <n v="200720"/>
    <m/>
    <n v="2000"/>
    <n v="1883"/>
    <n v="1210"/>
    <n v="1818.181818181818"/>
    <s v="카페24쇼핑백유즈쇼핑백200720"/>
  </r>
  <r>
    <x v="128"/>
    <s v="화"/>
    <m/>
    <s v="카페24"/>
    <m/>
    <n v="12"/>
    <s v="고체향수"/>
    <s v="이그나이트 + 스테이포에버"/>
    <n v="200720"/>
    <m/>
    <n v="705600"/>
    <n v="664322.4"/>
    <n v="68052"/>
    <n v="641454.5454545454"/>
    <s v="카페24고체향수이그나이트 + 스테이포에버200720"/>
  </r>
  <r>
    <x v="128"/>
    <s v="화"/>
    <m/>
    <s v="카페24"/>
    <m/>
    <n v="2"/>
    <s v="고체향수"/>
    <s v="이그나이트 + 스테이포에버 2set"/>
    <n v="200720"/>
    <m/>
    <n v="189600"/>
    <n v="178508.4"/>
    <n v="22684"/>
    <n v="172363.6363636364"/>
    <s v="카페24고체향수이그나이트 + 스테이포에버 2set200720"/>
  </r>
  <r>
    <x v="128"/>
    <s v="화"/>
    <m/>
    <s v="카페24"/>
    <m/>
    <n v="164"/>
    <s v="고체향수"/>
    <s v="스테이포에버"/>
    <n v="200720"/>
    <m/>
    <n v="5576000"/>
    <n v="5249804"/>
    <n v="456412"/>
    <n v="5069090.909090908"/>
    <s v="카페24고체향수스테이포에버200720"/>
  </r>
  <r>
    <x v="128"/>
    <s v="화"/>
    <m/>
    <s v="카페24"/>
    <m/>
    <n v="45"/>
    <s v="고체향수"/>
    <s v="스테이포에버 2set"/>
    <n v="200720"/>
    <m/>
    <n v="2646000"/>
    <n v="2491209"/>
    <n v="250470"/>
    <n v="2405454.545454545"/>
    <s v="카페24고체향수스테이포에버 2set200720"/>
  </r>
  <r>
    <x v="128"/>
    <s v="화"/>
    <m/>
    <s v="카페24"/>
    <m/>
    <n v="2"/>
    <s v="쇼핑백"/>
    <s v="유즈쇼핑백"/>
    <n v="200720"/>
    <m/>
    <n v="4000"/>
    <n v="3766"/>
    <n v="2420"/>
    <n v="3636.363636363636"/>
    <s v="카페24쇼핑백유즈쇼핑백200720"/>
  </r>
  <r>
    <x v="129"/>
    <s v="수"/>
    <m/>
    <s v="카페24"/>
    <m/>
    <n v="15"/>
    <s v="고체향수"/>
    <s v="이그나이트 + 스테이포에버"/>
    <n v="200720"/>
    <m/>
    <n v="882000"/>
    <n v="830403"/>
    <n v="85065"/>
    <n v="801818.1818181818"/>
    <s v="카페24고체향수이그나이트 + 스테이포에버200720"/>
  </r>
  <r>
    <x v="129"/>
    <s v="수"/>
    <m/>
    <s v="카페24"/>
    <m/>
    <n v="245"/>
    <s v="고체향수"/>
    <s v="스테이포에버"/>
    <n v="200720"/>
    <m/>
    <n v="8330000"/>
    <n v="7842695"/>
    <n v="681835"/>
    <n v="7572727.272727272"/>
    <s v="카페24고체향수스테이포에버200720"/>
  </r>
  <r>
    <x v="129"/>
    <s v="수"/>
    <m/>
    <s v="카페24"/>
    <m/>
    <n v="67"/>
    <s v="고체향수"/>
    <s v="스테이포에버 2set"/>
    <n v="200720"/>
    <m/>
    <n v="3939600"/>
    <n v="3709133.4"/>
    <n v="372922"/>
    <n v="3581454.545454545"/>
    <s v="카페24고체향수스테이포에버 2set200720"/>
  </r>
  <r>
    <x v="129"/>
    <s v="수"/>
    <m/>
    <s v="카페24"/>
    <m/>
    <n v="3"/>
    <s v="쇼핑백"/>
    <s v="유즈쇼핑백"/>
    <n v="200720"/>
    <m/>
    <n v="6000"/>
    <n v="5649"/>
    <n v="3630"/>
    <n v="5454.545454545454"/>
    <s v="카페24쇼핑백유즈쇼핑백200720"/>
  </r>
  <r>
    <x v="130"/>
    <s v="목"/>
    <m/>
    <s v="카페24"/>
    <m/>
    <n v="24"/>
    <s v="고체향수"/>
    <s v="이그나이트 + 스테이포에버"/>
    <n v="200720"/>
    <m/>
    <n v="1411200"/>
    <n v="1328644.8"/>
    <n v="136104"/>
    <n v="1282909.090909091"/>
    <s v="카페24고체향수이그나이트 + 스테이포에버200720"/>
  </r>
  <r>
    <x v="130"/>
    <s v="목"/>
    <m/>
    <s v="카페24"/>
    <m/>
    <n v="259"/>
    <s v="고체향수"/>
    <s v="스테이포에버"/>
    <n v="200720"/>
    <m/>
    <n v="8806000"/>
    <n v="8290849"/>
    <n v="720797"/>
    <n v="8005454.545454545"/>
    <s v="카페24고체향수스테이포에버200720"/>
  </r>
  <r>
    <x v="130"/>
    <s v="목"/>
    <m/>
    <s v="카페24"/>
    <m/>
    <n v="57"/>
    <s v="고체향수"/>
    <s v="스테이포에버 2set"/>
    <n v="200720"/>
    <m/>
    <n v="3351600"/>
    <n v="3155531.4"/>
    <n v="317262"/>
    <n v="3046909.090909091"/>
    <s v="카페24고체향수스테이포에버 2set200720"/>
  </r>
  <r>
    <x v="130"/>
    <s v="목"/>
    <m/>
    <s v="카페24"/>
    <m/>
    <n v="3"/>
    <s v="고체향수"/>
    <s v="이그나이트"/>
    <n v="200720"/>
    <m/>
    <n v="102000"/>
    <n v="96033"/>
    <n v="8664"/>
    <n v="92727.27272727272"/>
    <s v="카페24고체향수이그나이트200720"/>
  </r>
  <r>
    <x v="130"/>
    <s v="목"/>
    <m/>
    <s v="카페24"/>
    <m/>
    <n v="4"/>
    <s v="쇼핑백"/>
    <s v="유즈쇼핑백"/>
    <n v="200720"/>
    <m/>
    <n v="8000"/>
    <n v="7532"/>
    <n v="4840"/>
    <n v="7272.727272727272"/>
    <s v="카페24쇼핑백유즈쇼핑백200720"/>
  </r>
  <r>
    <x v="131"/>
    <s v="금"/>
    <m/>
    <s v="카페24"/>
    <m/>
    <n v="16"/>
    <s v="고체향수"/>
    <s v="이그나이트 + 스테이포에버"/>
    <n v="200720"/>
    <m/>
    <n v="940800"/>
    <n v="885763.2"/>
    <n v="90736"/>
    <n v="855272.7272727272"/>
    <s v="카페24고체향수이그나이트 + 스테이포에버200720"/>
  </r>
  <r>
    <x v="131"/>
    <s v="금"/>
    <m/>
    <s v="카페24"/>
    <m/>
    <n v="1"/>
    <s v="고체향수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31"/>
    <s v="금"/>
    <m/>
    <s v="카페24"/>
    <m/>
    <n v="243"/>
    <s v="고체향수"/>
    <s v="스테이포에버"/>
    <n v="200720"/>
    <m/>
    <n v="8262000"/>
    <n v="7778673"/>
    <n v="676269"/>
    <n v="7510909.09090909"/>
    <s v="카페24고체향수스테이포에버200720"/>
  </r>
  <r>
    <x v="131"/>
    <s v="금"/>
    <m/>
    <s v="카페24"/>
    <m/>
    <n v="58"/>
    <s v="고체향수"/>
    <s v="스테이포에버 2set"/>
    <n v="200720"/>
    <m/>
    <n v="3410400"/>
    <n v="3210891.6"/>
    <n v="322828"/>
    <n v="3100363.636363636"/>
    <s v="카페24고체향수스테이포에버 2set200720"/>
  </r>
  <r>
    <x v="131"/>
    <s v="금"/>
    <m/>
    <s v="카페24"/>
    <m/>
    <n v="2"/>
    <s v="고체향수"/>
    <s v="이그나이트"/>
    <n v="200720"/>
    <m/>
    <n v="68000"/>
    <n v="64022"/>
    <n v="5776"/>
    <n v="61818.18181818182"/>
    <s v="카페24고체향수이그나이트200720"/>
  </r>
  <r>
    <x v="131"/>
    <s v="금"/>
    <m/>
    <s v="카페24"/>
    <m/>
    <n v="7"/>
    <s v="쇼핑백"/>
    <s v="유즈쇼핑백"/>
    <n v="200720"/>
    <m/>
    <n v="14000"/>
    <n v="13181"/>
    <n v="8470"/>
    <n v="12727.27272727273"/>
    <s v="카페24쇼핑백유즈쇼핑백200720"/>
  </r>
  <r>
    <x v="132"/>
    <s v="토"/>
    <m/>
    <s v="카페24"/>
    <m/>
    <n v="17"/>
    <s v="고체향수"/>
    <s v="이그나이트 + 스테이포에버"/>
    <n v="200720"/>
    <m/>
    <n v="999600"/>
    <n v="941123.4"/>
    <n v="96407"/>
    <n v="908727.2727272727"/>
    <s v="카페24고체향수이그나이트 + 스테이포에버200720"/>
  </r>
  <r>
    <x v="132"/>
    <s v="토"/>
    <m/>
    <s v="카페24"/>
    <m/>
    <n v="272"/>
    <s v="고체향수"/>
    <s v="스테이포에버"/>
    <n v="200720"/>
    <m/>
    <n v="9248000"/>
    <n v="8706992"/>
    <n v="756976"/>
    <n v="8407272.727272727"/>
    <s v="카페24고체향수스테이포에버200720"/>
  </r>
  <r>
    <x v="132"/>
    <s v="토"/>
    <m/>
    <s v="카페24"/>
    <m/>
    <n v="51"/>
    <s v="고체향수"/>
    <s v="스테이포에버 2set"/>
    <n v="200720"/>
    <m/>
    <n v="2998800"/>
    <n v="2823370.2"/>
    <n v="283866"/>
    <n v="2726181.818181818"/>
    <s v="카페24고체향수스테이포에버 2set200720"/>
  </r>
  <r>
    <x v="132"/>
    <s v="토"/>
    <m/>
    <s v="카페24"/>
    <m/>
    <n v="2"/>
    <s v="고체향수"/>
    <s v="이그나이트"/>
    <n v="200720"/>
    <m/>
    <n v="68000"/>
    <n v="64022"/>
    <n v="5776"/>
    <n v="61818.18181818182"/>
    <s v="카페24고체향수이그나이트200720"/>
  </r>
  <r>
    <x v="132"/>
    <s v="토"/>
    <m/>
    <s v="카페24"/>
    <m/>
    <n v="9"/>
    <s v="쇼핑백"/>
    <s v="유즈쇼핑백"/>
    <n v="200720"/>
    <m/>
    <n v="18000"/>
    <n v="16947"/>
    <n v="10890"/>
    <n v="16363.63636363636"/>
    <s v="카페24쇼핑백유즈쇼핑백200720"/>
  </r>
  <r>
    <x v="133"/>
    <s v="일"/>
    <m/>
    <s v="카페24"/>
    <m/>
    <n v="19"/>
    <s v="고체향수"/>
    <s v="이그나이트 + 스테이포에버"/>
    <n v="200720"/>
    <m/>
    <n v="1117200"/>
    <n v="1051843.8"/>
    <n v="107749"/>
    <n v="1015636.363636364"/>
    <s v="카페24고체향수이그나이트 + 스테이포에버200720"/>
  </r>
  <r>
    <x v="133"/>
    <s v="일"/>
    <m/>
    <s v="카페24"/>
    <m/>
    <n v="236"/>
    <s v="고체향수"/>
    <s v="스테이포에버"/>
    <n v="200720"/>
    <m/>
    <n v="8024000"/>
    <n v="7554596"/>
    <n v="656788"/>
    <n v="7294545.454545454"/>
    <s v="카페24고체향수스테이포에버200720"/>
  </r>
  <r>
    <x v="133"/>
    <s v="일"/>
    <m/>
    <s v="카페24"/>
    <m/>
    <n v="54"/>
    <s v="고체향수"/>
    <s v="스테이포에버 2set"/>
    <n v="200720"/>
    <m/>
    <n v="3175200"/>
    <n v="2989450.8"/>
    <n v="300564"/>
    <n v="2886545.454545454"/>
    <s v="카페24고체향수스테이포에버 2set200720"/>
  </r>
  <r>
    <x v="133"/>
    <s v="일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133"/>
    <s v="일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133"/>
    <s v="일"/>
    <m/>
    <s v="카페24"/>
    <m/>
    <n v="4"/>
    <s v="쇼핑백"/>
    <s v="유즈쇼핑백"/>
    <n v="200720"/>
    <m/>
    <n v="8000"/>
    <n v="7532"/>
    <n v="4840"/>
    <n v="7272.727272727272"/>
    <s v="카페24쇼핑백유즈쇼핑백200720"/>
  </r>
  <r>
    <x v="134"/>
    <s v="월"/>
    <m/>
    <s v="카페24"/>
    <m/>
    <n v="17"/>
    <s v="고체향수"/>
    <s v="이그나이트 + 스테이포에버"/>
    <n v="200720"/>
    <m/>
    <n v="999600"/>
    <n v="941123.4"/>
    <n v="96407"/>
    <n v="908727.2727272727"/>
    <s v="카페24고체향수이그나이트 + 스테이포에버200720"/>
  </r>
  <r>
    <x v="134"/>
    <s v="월"/>
    <m/>
    <s v="카페24"/>
    <m/>
    <n v="200"/>
    <s v="고체향수"/>
    <s v="스테이포에버"/>
    <n v="200720"/>
    <m/>
    <n v="6800000"/>
    <n v="6402200"/>
    <n v="556600"/>
    <n v="6181818.181818182"/>
    <s v="카페24고체향수스테이포에버200720"/>
  </r>
  <r>
    <x v="134"/>
    <s v="월"/>
    <m/>
    <s v="카페24"/>
    <m/>
    <n v="54"/>
    <s v="고체향수"/>
    <s v="스테이포에버 2set"/>
    <n v="200720"/>
    <m/>
    <n v="3175200"/>
    <n v="2989450.8"/>
    <n v="300564"/>
    <n v="2886545.454545454"/>
    <s v="카페24고체향수스테이포에버 2set200720"/>
  </r>
  <r>
    <x v="134"/>
    <s v="월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134"/>
    <s v="월"/>
    <m/>
    <s v="카페24"/>
    <m/>
    <n v="6"/>
    <s v="쇼핑백"/>
    <s v="유즈쇼핑백"/>
    <n v="200720"/>
    <m/>
    <n v="12000"/>
    <n v="11298"/>
    <n v="7260"/>
    <n v="10909.09090909091"/>
    <s v="카페24쇼핑백유즈쇼핑백200720"/>
  </r>
  <r>
    <x v="135"/>
    <s v="화"/>
    <m/>
    <s v="카페24"/>
    <m/>
    <n v="22"/>
    <s v="고체향수"/>
    <s v="이그나이트 + 스테이포에버"/>
    <n v="200720"/>
    <m/>
    <n v="1293600"/>
    <n v="1217924.4"/>
    <n v="124762"/>
    <n v="1176000"/>
    <s v="카페24고체향수이그나이트 + 스테이포에버200720"/>
  </r>
  <r>
    <x v="135"/>
    <s v="화"/>
    <m/>
    <s v="카페24"/>
    <m/>
    <n v="181"/>
    <s v="고체향수"/>
    <s v="스테이포에버"/>
    <n v="200720"/>
    <m/>
    <n v="6154000"/>
    <n v="5793991"/>
    <n v="503723"/>
    <n v="5594545.454545454"/>
    <s v="카페24고체향수스테이포에버200720"/>
  </r>
  <r>
    <x v="135"/>
    <s v="화"/>
    <m/>
    <s v="카페24"/>
    <m/>
    <n v="54"/>
    <s v="고체향수"/>
    <s v="스테이포에버 2set"/>
    <n v="200720"/>
    <m/>
    <n v="3175200"/>
    <n v="2989450.8"/>
    <n v="300564"/>
    <n v="2886545.454545454"/>
    <s v="카페24고체향수스테이포에버 2set200720"/>
  </r>
  <r>
    <x v="135"/>
    <s v="화"/>
    <m/>
    <s v="카페24"/>
    <m/>
    <n v="2"/>
    <s v="고체향수"/>
    <s v="이그나이트 2set"/>
    <n v="200720"/>
    <m/>
    <n v="117600"/>
    <n v="110720.4"/>
    <n v="11552"/>
    <n v="106909.0909090909"/>
    <s v="카페24고체향수이그나이트 2set200720"/>
  </r>
  <r>
    <x v="135"/>
    <s v="화"/>
    <m/>
    <s v="카페24"/>
    <m/>
    <n v="6"/>
    <s v="쇼핑백"/>
    <s v="유즈쇼핑백"/>
    <n v="200720"/>
    <m/>
    <n v="12000"/>
    <n v="11298"/>
    <n v="7260"/>
    <n v="10909.09090909091"/>
    <s v="카페24쇼핑백유즈쇼핑백200720"/>
  </r>
  <r>
    <x v="136"/>
    <s v="수"/>
    <m/>
    <s v="유즈 CS"/>
    <m/>
    <n v="1"/>
    <s v="고체향수"/>
    <s v="스테이포에버"/>
    <n v="200520"/>
    <m/>
    <n v="0"/>
    <n v="0"/>
    <n v="2783"/>
    <n v="0"/>
    <s v="유즈 CS고체향수스테이포에버200520"/>
  </r>
  <r>
    <x v="136"/>
    <s v="수"/>
    <m/>
    <s v="카페24"/>
    <m/>
    <n v="10"/>
    <s v="고체향수"/>
    <s v="이그나이트 + 스테이포에버"/>
    <n v="200720"/>
    <m/>
    <n v="588000"/>
    <n v="553602"/>
    <n v="56710"/>
    <n v="534545.4545454545"/>
    <s v="카페24고체향수이그나이트 + 스테이포에버200720"/>
  </r>
  <r>
    <x v="136"/>
    <s v="수"/>
    <m/>
    <s v="카페24"/>
    <m/>
    <n v="1"/>
    <s v="고체향수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36"/>
    <s v="수"/>
    <m/>
    <s v="카페24"/>
    <m/>
    <n v="189"/>
    <s v="고체향수"/>
    <s v="스테이포에버"/>
    <n v="200720"/>
    <m/>
    <n v="6426000"/>
    <n v="6050079"/>
    <n v="525987"/>
    <n v="5841818.181818182"/>
    <s v="카페24고체향수스테이포에버200720"/>
  </r>
  <r>
    <x v="136"/>
    <s v="수"/>
    <m/>
    <s v="카페24"/>
    <m/>
    <n v="63"/>
    <s v="고체향수"/>
    <s v="스테이포에버 2set"/>
    <n v="200720"/>
    <m/>
    <n v="3704400"/>
    <n v="3487692.6"/>
    <n v="350658"/>
    <n v="3367636.363636363"/>
    <s v="카페24고체향수스테이포에버 2set200720"/>
  </r>
  <r>
    <x v="136"/>
    <s v="수"/>
    <m/>
    <s v="카페24"/>
    <m/>
    <n v="2"/>
    <s v="고체향수"/>
    <s v="이그나이트"/>
    <n v="200720"/>
    <m/>
    <n v="68000"/>
    <n v="64022"/>
    <n v="5776"/>
    <n v="61818.18181818182"/>
    <s v="카페24고체향수이그나이트200720"/>
  </r>
  <r>
    <x v="136"/>
    <s v="수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136"/>
    <s v="수"/>
    <m/>
    <s v="카페24"/>
    <m/>
    <n v="4"/>
    <s v="쇼핑백"/>
    <s v="유즈쇼핑백"/>
    <n v="200720"/>
    <m/>
    <n v="8000"/>
    <n v="7532"/>
    <n v="4840"/>
    <n v="7272.727272727272"/>
    <s v="카페24쇼핑백유즈쇼핑백200720"/>
  </r>
  <r>
    <x v="137"/>
    <s v="목"/>
    <m/>
    <s v="카페24"/>
    <m/>
    <n v="15"/>
    <s v="고체향수"/>
    <s v="이그나이트 + 스테이포에버"/>
    <n v="200720"/>
    <m/>
    <n v="882000"/>
    <n v="830403"/>
    <n v="85065"/>
    <n v="801818.1818181818"/>
    <s v="카페24고체향수이그나이트 + 스테이포에버200720"/>
  </r>
  <r>
    <x v="137"/>
    <s v="목"/>
    <m/>
    <s v="카페24"/>
    <m/>
    <n v="143"/>
    <s v="고체향수"/>
    <s v="스테이포에버"/>
    <n v="200720"/>
    <m/>
    <n v="4862000"/>
    <n v="4577573"/>
    <n v="397969"/>
    <n v="4420000"/>
    <s v="카페24고체향수스테이포에버200720"/>
  </r>
  <r>
    <x v="137"/>
    <s v="목"/>
    <m/>
    <s v="카페24"/>
    <m/>
    <n v="36"/>
    <s v="고체향수"/>
    <s v="스테이포에버 2set"/>
    <n v="200720"/>
    <m/>
    <n v="2116800"/>
    <n v="1992967.2"/>
    <n v="200376"/>
    <n v="1924363.636363636"/>
    <s v="카페24고체향수스테이포에버 2set200720"/>
  </r>
  <r>
    <x v="137"/>
    <s v="목"/>
    <m/>
    <s v="카페24"/>
    <m/>
    <n v="4"/>
    <s v="쇼핑백"/>
    <s v="유즈쇼핑백"/>
    <n v="200720"/>
    <m/>
    <n v="8000"/>
    <n v="7532"/>
    <n v="4840"/>
    <n v="7272.727272727272"/>
    <s v="카페24쇼핑백유즈쇼핑백200720"/>
  </r>
  <r>
    <x v="138"/>
    <s v="금"/>
    <m/>
    <s v="카페24"/>
    <m/>
    <n v="20"/>
    <s v="고체향수"/>
    <s v="이그나이트 + 스테이포에버"/>
    <n v="200720"/>
    <m/>
    <n v="1176000"/>
    <n v="1107204"/>
    <n v="113420"/>
    <n v="1069090.909090909"/>
    <s v="카페24고체향수이그나이트 + 스테이포에버200720"/>
  </r>
  <r>
    <x v="138"/>
    <s v="금"/>
    <m/>
    <s v="카페24"/>
    <m/>
    <n v="201"/>
    <s v="고체향수"/>
    <s v="스테이포에버"/>
    <n v="200720"/>
    <m/>
    <n v="6834000"/>
    <n v="6434211"/>
    <n v="559383"/>
    <n v="6212727.272727272"/>
    <s v="카페24고체향수스테이포에버200720"/>
  </r>
  <r>
    <x v="138"/>
    <s v="금"/>
    <m/>
    <s v="카페24"/>
    <m/>
    <n v="49"/>
    <s v="고체향수"/>
    <s v="스테이포에버 2set"/>
    <n v="200720"/>
    <m/>
    <n v="2881200"/>
    <n v="2712649.8"/>
    <n v="272734"/>
    <n v="2619272.727272727"/>
    <s v="카페24고체향수스테이포에버 2set200720"/>
  </r>
  <r>
    <x v="138"/>
    <s v="금"/>
    <m/>
    <s v="카페24"/>
    <m/>
    <n v="2"/>
    <s v="고체향수"/>
    <s v="이그나이트"/>
    <n v="200720"/>
    <m/>
    <n v="68000"/>
    <n v="64022"/>
    <n v="5776"/>
    <n v="61818.18181818182"/>
    <s v="카페24고체향수이그나이트200720"/>
  </r>
  <r>
    <x v="138"/>
    <s v="금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138"/>
    <s v="금"/>
    <m/>
    <s v="카페24"/>
    <m/>
    <n v="5"/>
    <s v="쇼핑백"/>
    <s v="유즈쇼핑백"/>
    <n v="200720"/>
    <m/>
    <n v="10000"/>
    <n v="9415"/>
    <n v="6050"/>
    <n v="9090.90909090909"/>
    <s v="카페24쇼핑백유즈쇼핑백200720"/>
  </r>
  <r>
    <x v="139"/>
    <s v="토"/>
    <m/>
    <s v="카페24"/>
    <m/>
    <n v="11"/>
    <s v="고체향수"/>
    <s v="이그나이트 + 스테이포에버"/>
    <n v="200720"/>
    <m/>
    <n v="646800"/>
    <n v="608962.2"/>
    <n v="62381"/>
    <n v="588000"/>
    <s v="카페24고체향수이그나이트 + 스테이포에버200720"/>
  </r>
  <r>
    <x v="139"/>
    <s v="토"/>
    <m/>
    <s v="카페24"/>
    <m/>
    <n v="212"/>
    <s v="고체향수"/>
    <s v="스테이포에버"/>
    <n v="200720"/>
    <m/>
    <n v="7208000"/>
    <n v="6786332"/>
    <n v="589996"/>
    <n v="6552727.272727272"/>
    <s v="카페24고체향수스테이포에버200720"/>
  </r>
  <r>
    <x v="139"/>
    <s v="토"/>
    <m/>
    <s v="카페24"/>
    <m/>
    <n v="54"/>
    <s v="고체향수"/>
    <s v="스테이포에버 2set"/>
    <n v="200720"/>
    <m/>
    <n v="3175200"/>
    <n v="2989450.8"/>
    <n v="300564"/>
    <n v="2886545.454545454"/>
    <s v="카페24고체향수스테이포에버 2set200720"/>
  </r>
  <r>
    <x v="139"/>
    <s v="토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139"/>
    <s v="토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139"/>
    <s v="토"/>
    <m/>
    <s v="카페24"/>
    <m/>
    <n v="4"/>
    <s v="쇼핑백"/>
    <s v="유즈쇼핑백"/>
    <n v="200720"/>
    <m/>
    <n v="8000"/>
    <n v="7532"/>
    <n v="4840"/>
    <n v="7272.727272727272"/>
    <s v="카페24쇼핑백유즈쇼핑백200720"/>
  </r>
  <r>
    <x v="140"/>
    <s v="일"/>
    <m/>
    <s v="카페24"/>
    <m/>
    <n v="19"/>
    <s v="고체향수"/>
    <s v="이그나이트 + 스테이포에버"/>
    <n v="200720"/>
    <m/>
    <n v="1117200"/>
    <n v="1051843.8"/>
    <n v="107749"/>
    <n v="1015636.363636364"/>
    <s v="카페24고체향수이그나이트 + 스테이포에버200720"/>
  </r>
  <r>
    <x v="140"/>
    <s v="일"/>
    <m/>
    <s v="카페24"/>
    <m/>
    <n v="257"/>
    <s v="고체향수"/>
    <s v="스테이포에버"/>
    <n v="200720"/>
    <m/>
    <n v="8738000"/>
    <n v="8226827"/>
    <n v="715231"/>
    <n v="7943636.363636363"/>
    <s v="카페24고체향수스테이포에버200720"/>
  </r>
  <r>
    <x v="140"/>
    <s v="일"/>
    <m/>
    <s v="카페24"/>
    <m/>
    <n v="52"/>
    <s v="고체향수"/>
    <s v="스테이포에버 2set"/>
    <n v="200720"/>
    <m/>
    <n v="3057600"/>
    <n v="2878730.4"/>
    <n v="289432"/>
    <n v="2779636.363636363"/>
    <s v="카페24고체향수스테이포에버 2set200720"/>
  </r>
  <r>
    <x v="140"/>
    <s v="일"/>
    <m/>
    <s v="카페24"/>
    <m/>
    <n v="3"/>
    <s v="고체향수"/>
    <s v="이그나이트"/>
    <n v="200720"/>
    <m/>
    <n v="102000"/>
    <n v="96033"/>
    <n v="8664"/>
    <n v="92727.27272727272"/>
    <s v="카페24고체향수이그나이트200720"/>
  </r>
  <r>
    <x v="140"/>
    <s v="일"/>
    <m/>
    <s v="카페24"/>
    <m/>
    <n v="10"/>
    <s v="쇼핑백"/>
    <s v="유즈쇼핑백"/>
    <n v="200720"/>
    <m/>
    <n v="20000"/>
    <n v="18830"/>
    <n v="12100"/>
    <n v="18181.81818181818"/>
    <s v="카페24쇼핑백유즈쇼핑백200720"/>
  </r>
  <r>
    <x v="141"/>
    <s v="월"/>
    <m/>
    <s v="카페24"/>
    <m/>
    <n v="17"/>
    <s v="고체향수"/>
    <s v="이그나이트 + 스테이포에버"/>
    <n v="200720"/>
    <m/>
    <n v="999600"/>
    <n v="941123.4"/>
    <n v="96407"/>
    <n v="908727.2727272727"/>
    <s v="카페24고체향수이그나이트 + 스테이포에버200720"/>
  </r>
  <r>
    <x v="141"/>
    <s v="월"/>
    <m/>
    <s v="카페24"/>
    <m/>
    <n v="205"/>
    <s v="고체향수"/>
    <s v="스테이포에버"/>
    <n v="200720"/>
    <m/>
    <n v="6970000"/>
    <n v="6562255"/>
    <n v="570515"/>
    <n v="6336363.636363636"/>
    <s v="카페24고체향수스테이포에버200720"/>
  </r>
  <r>
    <x v="141"/>
    <s v="월"/>
    <m/>
    <s v="카페24"/>
    <m/>
    <n v="49"/>
    <s v="고체향수"/>
    <s v="스테이포에버 2set"/>
    <n v="200720"/>
    <m/>
    <n v="2881200"/>
    <n v="2712649.8"/>
    <n v="272734"/>
    <n v="2619272.727272727"/>
    <s v="카페24고체향수스테이포에버 2set200720"/>
  </r>
  <r>
    <x v="141"/>
    <s v="월"/>
    <m/>
    <s v="카페24"/>
    <m/>
    <n v="5"/>
    <s v="쇼핑백"/>
    <s v="유즈쇼핑백"/>
    <n v="200720"/>
    <m/>
    <n v="10000"/>
    <n v="9415"/>
    <n v="6050"/>
    <n v="9090.90909090909"/>
    <s v="카페24쇼핑백유즈쇼핑백200720"/>
  </r>
  <r>
    <x v="142"/>
    <s v="화"/>
    <m/>
    <s v="카페24"/>
    <m/>
    <n v="13"/>
    <s v="고체향수"/>
    <s v="이그나이트 + 스테이포에버"/>
    <n v="200720"/>
    <m/>
    <n v="764400"/>
    <n v="719682.6"/>
    <n v="73723"/>
    <n v="694909.0909090908"/>
    <s v="카페24고체향수이그나이트 + 스테이포에버200720"/>
  </r>
  <r>
    <x v="142"/>
    <s v="화"/>
    <m/>
    <s v="카페24"/>
    <m/>
    <n v="220"/>
    <s v="고체향수"/>
    <s v="스테이포에버"/>
    <n v="200720"/>
    <m/>
    <n v="7480000"/>
    <n v="7042420"/>
    <n v="612260"/>
    <n v="6799999.999999999"/>
    <s v="카페24고체향수스테이포에버200720"/>
  </r>
  <r>
    <x v="142"/>
    <s v="화"/>
    <m/>
    <s v="카페24"/>
    <m/>
    <n v="54"/>
    <s v="고체향수"/>
    <s v="스테이포에버 2set"/>
    <n v="200720"/>
    <m/>
    <n v="3175200"/>
    <n v="2989450.8"/>
    <n v="300564"/>
    <n v="2886545.454545454"/>
    <s v="카페24고체향수스테이포에버 2set200720"/>
  </r>
  <r>
    <x v="142"/>
    <s v="화"/>
    <m/>
    <s v="카페24"/>
    <m/>
    <n v="2"/>
    <s v="고체향수"/>
    <s v="이그나이트"/>
    <n v="200720"/>
    <m/>
    <n v="68000"/>
    <n v="64022"/>
    <n v="5776"/>
    <n v="61818.18181818182"/>
    <s v="카페24고체향수이그나이트200720"/>
  </r>
  <r>
    <x v="142"/>
    <s v="화"/>
    <m/>
    <s v="카페24"/>
    <m/>
    <n v="8"/>
    <s v="쇼핑백"/>
    <s v="유즈쇼핑백"/>
    <n v="200720"/>
    <m/>
    <n v="16000"/>
    <n v="15064"/>
    <n v="9680"/>
    <n v="14545.45454545454"/>
    <s v="카페24쇼핑백유즈쇼핑백200720"/>
  </r>
  <r>
    <x v="143"/>
    <s v="수"/>
    <m/>
    <s v="카페24"/>
    <m/>
    <n v="21"/>
    <s v="고체향수"/>
    <s v="이그나이트 + 스테이포에버"/>
    <n v="200720"/>
    <m/>
    <n v="1234800"/>
    <n v="1162564.2"/>
    <n v="119091"/>
    <n v="1122545.454545454"/>
    <s v="카페24고체향수이그나이트 + 스테이포에버200720"/>
  </r>
  <r>
    <x v="143"/>
    <s v="수"/>
    <m/>
    <s v="카페24"/>
    <m/>
    <n v="247"/>
    <s v="고체향수"/>
    <s v="스테이포에버"/>
    <n v="200720"/>
    <m/>
    <n v="8398000"/>
    <n v="7906717"/>
    <n v="687401"/>
    <n v="7634545.454545454"/>
    <s v="카페24고체향수스테이포에버200720"/>
  </r>
  <r>
    <x v="143"/>
    <s v="수"/>
    <m/>
    <s v="카페24"/>
    <m/>
    <n v="48"/>
    <s v="고체향수"/>
    <s v="스테이포에버 2set"/>
    <n v="200720"/>
    <m/>
    <n v="2822400"/>
    <n v="2657289.6"/>
    <n v="267168"/>
    <n v="2565818.181818182"/>
    <s v="카페24고체향수스테이포에버 2set200720"/>
  </r>
  <r>
    <x v="143"/>
    <s v="수"/>
    <m/>
    <s v="카페24"/>
    <m/>
    <n v="2"/>
    <s v="고체향수"/>
    <s v="이그나이트"/>
    <n v="200720"/>
    <m/>
    <n v="68000"/>
    <n v="64022"/>
    <n v="5776"/>
    <n v="61818.18181818182"/>
    <s v="카페24고체향수이그나이트200720"/>
  </r>
  <r>
    <x v="143"/>
    <s v="수"/>
    <m/>
    <s v="카페24"/>
    <m/>
    <n v="4"/>
    <s v="쇼핑백"/>
    <s v="유즈쇼핑백"/>
    <n v="200720"/>
    <m/>
    <n v="8000"/>
    <n v="7532"/>
    <n v="4840"/>
    <n v="7272.727272727272"/>
    <s v="카페24쇼핑백유즈쇼핑백200720"/>
  </r>
  <r>
    <x v="144"/>
    <s v="목"/>
    <m/>
    <s v="카페24"/>
    <m/>
    <n v="19"/>
    <s v="고체향수"/>
    <s v="이그나이트 + 스테이포에버"/>
    <n v="200720"/>
    <m/>
    <n v="1117200"/>
    <n v="1051843.8"/>
    <n v="107749"/>
    <n v="1015636.363636364"/>
    <s v="카페24고체향수이그나이트 + 스테이포에버200720"/>
  </r>
  <r>
    <x v="144"/>
    <s v="목"/>
    <m/>
    <s v="카페24"/>
    <m/>
    <n v="2"/>
    <s v="고체향수"/>
    <s v="이그나이트 + 스테이포에버 2set"/>
    <n v="200720"/>
    <m/>
    <n v="189600"/>
    <n v="178508.4"/>
    <n v="22684"/>
    <n v="172363.6363636364"/>
    <s v="카페24고체향수이그나이트 + 스테이포에버 2set200720"/>
  </r>
  <r>
    <x v="144"/>
    <s v="목"/>
    <m/>
    <s v="카페24"/>
    <m/>
    <n v="197"/>
    <s v="고체향수"/>
    <s v="스테이포에버"/>
    <n v="200720"/>
    <m/>
    <n v="6698000"/>
    <n v="6306167"/>
    <n v="548251"/>
    <n v="6089090.909090908"/>
    <s v="카페24고체향수스테이포에버200720"/>
  </r>
  <r>
    <x v="144"/>
    <s v="목"/>
    <m/>
    <s v="카페24"/>
    <m/>
    <n v="56"/>
    <s v="고체향수"/>
    <s v="스테이포에버 2set"/>
    <n v="200720"/>
    <m/>
    <n v="3292800"/>
    <n v="3100171.2"/>
    <n v="311696"/>
    <n v="2993454.545454545"/>
    <s v="카페24고체향수스테이포에버 2set200720"/>
  </r>
  <r>
    <x v="144"/>
    <s v="목"/>
    <m/>
    <s v="카페24"/>
    <m/>
    <n v="5"/>
    <s v="고체향수"/>
    <s v="이그나이트"/>
    <n v="200720"/>
    <m/>
    <n v="170000"/>
    <n v="160055"/>
    <n v="14440"/>
    <n v="154545.4545454545"/>
    <s v="카페24고체향수이그나이트200720"/>
  </r>
  <r>
    <x v="144"/>
    <s v="목"/>
    <m/>
    <s v="카페24"/>
    <m/>
    <n v="6"/>
    <s v="쇼핑백"/>
    <s v="유즈쇼핑백"/>
    <n v="200720"/>
    <m/>
    <n v="12000"/>
    <n v="11298"/>
    <n v="7260"/>
    <n v="10909.09090909091"/>
    <s v="카페24쇼핑백유즈쇼핑백200720"/>
  </r>
  <r>
    <x v="145"/>
    <s v="금"/>
    <m/>
    <s v="카페24"/>
    <m/>
    <n v="17"/>
    <s v="고체향수"/>
    <s v="이그나이트 + 스테이포에버"/>
    <n v="200720"/>
    <m/>
    <n v="999600"/>
    <n v="941123.4"/>
    <n v="96407"/>
    <n v="908727.2727272727"/>
    <s v="카페24고체향수이그나이트 + 스테이포에버200720"/>
  </r>
  <r>
    <x v="145"/>
    <s v="금"/>
    <m/>
    <s v="카페24"/>
    <m/>
    <n v="188"/>
    <s v="고체향수"/>
    <s v="스테이포에버"/>
    <n v="200720"/>
    <m/>
    <n v="6392000"/>
    <n v="6018068"/>
    <n v="523204"/>
    <n v="5810909.090909091"/>
    <s v="카페24고체향수스테이포에버200720"/>
  </r>
  <r>
    <x v="145"/>
    <s v="금"/>
    <m/>
    <s v="카페24"/>
    <m/>
    <n v="56"/>
    <s v="고체향수"/>
    <s v="스테이포에버 2set"/>
    <n v="200720"/>
    <m/>
    <n v="3292800"/>
    <n v="3100171.2"/>
    <n v="311696"/>
    <n v="2993454.545454545"/>
    <s v="카페24고체향수스테이포에버 2set200720"/>
  </r>
  <r>
    <x v="145"/>
    <s v="금"/>
    <m/>
    <s v="카페24"/>
    <m/>
    <n v="3"/>
    <s v="고체향수"/>
    <s v="이그나이트"/>
    <n v="200720"/>
    <m/>
    <n v="102000"/>
    <n v="96033"/>
    <n v="8664"/>
    <n v="92727.27272727272"/>
    <s v="카페24고체향수이그나이트200720"/>
  </r>
  <r>
    <x v="145"/>
    <s v="금"/>
    <m/>
    <s v="카페24"/>
    <m/>
    <n v="6"/>
    <s v="쇼핑백"/>
    <s v="유즈쇼핑백"/>
    <n v="200720"/>
    <m/>
    <n v="12000"/>
    <n v="11298"/>
    <n v="7260"/>
    <n v="10909.09090909091"/>
    <s v="카페24쇼핑백유즈쇼핑백200720"/>
  </r>
  <r>
    <x v="146"/>
    <s v="토"/>
    <m/>
    <s v="카페24"/>
    <m/>
    <n v="19"/>
    <s v="고체향수"/>
    <s v="이그나이트 + 스테이포에버"/>
    <n v="200720"/>
    <m/>
    <n v="1117200"/>
    <n v="1051843.8"/>
    <n v="107749"/>
    <n v="1015636.363636364"/>
    <s v="카페24고체향수이그나이트 + 스테이포에버200720"/>
  </r>
  <r>
    <x v="146"/>
    <s v="토"/>
    <m/>
    <s v="카페24"/>
    <m/>
    <n v="241"/>
    <s v="고체향수"/>
    <s v="스테이포에버"/>
    <n v="200720"/>
    <m/>
    <n v="8194000"/>
    <n v="7714651"/>
    <n v="670703"/>
    <n v="7449090.909090908"/>
    <s v="카페24고체향수스테이포에버200720"/>
  </r>
  <r>
    <x v="146"/>
    <s v="토"/>
    <m/>
    <s v="카페24"/>
    <m/>
    <n v="64"/>
    <s v="고체향수"/>
    <s v="스테이포에버 2set"/>
    <n v="200720"/>
    <m/>
    <n v="3763200"/>
    <n v="3543052.8"/>
    <n v="356224"/>
    <n v="3421090.909090909"/>
    <s v="카페24고체향수스테이포에버 2set200720"/>
  </r>
  <r>
    <x v="146"/>
    <s v="토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146"/>
    <s v="토"/>
    <m/>
    <s v="카페24"/>
    <m/>
    <n v="4"/>
    <s v="쇼핑백"/>
    <s v="유즈쇼핑백"/>
    <n v="200720"/>
    <m/>
    <n v="8000"/>
    <n v="7532"/>
    <n v="4840"/>
    <n v="7272.727272727272"/>
    <s v="카페24쇼핑백유즈쇼핑백200720"/>
  </r>
  <r>
    <x v="147"/>
    <s v="일"/>
    <m/>
    <s v="카페24"/>
    <m/>
    <n v="16"/>
    <s v="고체향수"/>
    <s v="이그나이트 + 스테이포에버"/>
    <n v="200720"/>
    <m/>
    <n v="940800"/>
    <n v="885763.2"/>
    <n v="90736"/>
    <n v="855272.7272727272"/>
    <s v="카페24고체향수이그나이트 + 스테이포에버200720"/>
  </r>
  <r>
    <x v="147"/>
    <s v="일"/>
    <m/>
    <s v="카페24"/>
    <m/>
    <n v="220"/>
    <s v="고체향수"/>
    <s v="스테이포에버"/>
    <n v="200720"/>
    <m/>
    <n v="7480000"/>
    <n v="7042420"/>
    <n v="612260"/>
    <n v="6799999.999999999"/>
    <s v="카페24고체향수스테이포에버200720"/>
  </r>
  <r>
    <x v="147"/>
    <s v="일"/>
    <m/>
    <s v="카페24"/>
    <m/>
    <n v="66"/>
    <s v="고체향수"/>
    <s v="스테이포에버 2set"/>
    <n v="200720"/>
    <m/>
    <n v="3880800"/>
    <n v="3653773.2"/>
    <n v="367356"/>
    <n v="3528000"/>
    <s v="카페24고체향수스테이포에버 2set200720"/>
  </r>
  <r>
    <x v="147"/>
    <s v="일"/>
    <m/>
    <s v="카페24"/>
    <m/>
    <n v="2"/>
    <s v="고체향수"/>
    <s v="이그나이트"/>
    <n v="200720"/>
    <m/>
    <n v="68000"/>
    <n v="64022"/>
    <n v="5776"/>
    <n v="61818.18181818182"/>
    <s v="카페24고체향수이그나이트200720"/>
  </r>
  <r>
    <x v="147"/>
    <s v="일"/>
    <m/>
    <s v="카페24"/>
    <m/>
    <n v="7"/>
    <s v="쇼핑백"/>
    <s v="유즈쇼핑백"/>
    <n v="200720"/>
    <m/>
    <n v="14000"/>
    <n v="13181"/>
    <n v="8470"/>
    <n v="12727.27272727273"/>
    <s v="카페24쇼핑백유즈쇼핑백200720"/>
  </r>
  <r>
    <x v="148"/>
    <s v="월"/>
    <m/>
    <s v="카페24"/>
    <m/>
    <n v="14"/>
    <s v="고체향수"/>
    <s v="이그나이트 + 스테이포에버"/>
    <n v="200720"/>
    <m/>
    <n v="823200"/>
    <n v="775042.8"/>
    <n v="79394"/>
    <n v="748363.6363636364"/>
    <s v="카페24고체향수이그나이트 + 스테이포에버200720"/>
  </r>
  <r>
    <x v="148"/>
    <s v="월"/>
    <m/>
    <s v="카페24"/>
    <m/>
    <n v="226"/>
    <s v="고체향수"/>
    <s v="스테이포에버"/>
    <n v="200720"/>
    <m/>
    <n v="7684000"/>
    <n v="7234486"/>
    <n v="628958"/>
    <n v="6985454.545454545"/>
    <s v="카페24고체향수스테이포에버200720"/>
  </r>
  <r>
    <x v="148"/>
    <s v="월"/>
    <m/>
    <s v="카페24"/>
    <m/>
    <n v="52"/>
    <s v="고체향수"/>
    <s v="스테이포에버 2set"/>
    <n v="200720"/>
    <m/>
    <n v="3057600"/>
    <n v="2878730.4"/>
    <n v="289432"/>
    <n v="2779636.363636363"/>
    <s v="카페24고체향수스테이포에버 2set200720"/>
  </r>
  <r>
    <x v="148"/>
    <s v="월"/>
    <m/>
    <s v="카페24"/>
    <m/>
    <n v="3"/>
    <s v="고체향수"/>
    <s v="이그나이트"/>
    <n v="200720"/>
    <m/>
    <n v="102000"/>
    <n v="96033"/>
    <n v="8664"/>
    <n v="92727.27272727272"/>
    <s v="카페24고체향수이그나이트200720"/>
  </r>
  <r>
    <x v="148"/>
    <s v="월"/>
    <m/>
    <s v="카페24"/>
    <m/>
    <n v="5"/>
    <s v="쇼핑백"/>
    <s v="유즈쇼핑백"/>
    <n v="200720"/>
    <m/>
    <n v="10000"/>
    <n v="9415"/>
    <n v="6050"/>
    <n v="9090.90909090909"/>
    <s v="카페24쇼핑백유즈쇼핑백200720"/>
  </r>
  <r>
    <x v="149"/>
    <s v="화"/>
    <m/>
    <s v="카페24"/>
    <m/>
    <n v="16"/>
    <s v="고체향수"/>
    <s v="이그나이트 + 스테이포에버"/>
    <n v="200720"/>
    <m/>
    <n v="940800"/>
    <n v="885763.2"/>
    <n v="90736"/>
    <n v="855272.7272727272"/>
    <s v="카페24고체향수이그나이트 + 스테이포에버200720"/>
  </r>
  <r>
    <x v="149"/>
    <s v="화"/>
    <m/>
    <s v="카페24"/>
    <m/>
    <n v="224"/>
    <s v="고체향수"/>
    <s v="스테이포에버"/>
    <n v="200720"/>
    <m/>
    <n v="7616000"/>
    <n v="7170464"/>
    <n v="623392"/>
    <n v="6923636.363636363"/>
    <s v="카페24고체향수스테이포에버200720"/>
  </r>
  <r>
    <x v="149"/>
    <s v="화"/>
    <m/>
    <s v="카페24"/>
    <m/>
    <n v="55"/>
    <s v="고체향수"/>
    <s v="스테이포에버 2set"/>
    <n v="200720"/>
    <m/>
    <n v="3234000"/>
    <n v="3044811"/>
    <n v="306130"/>
    <n v="2940000"/>
    <s v="카페24고체향수스테이포에버 2set200720"/>
  </r>
  <r>
    <x v="149"/>
    <s v="화"/>
    <m/>
    <s v="카페24"/>
    <m/>
    <n v="4"/>
    <s v="고체향수"/>
    <s v="이그나이트"/>
    <n v="200720"/>
    <m/>
    <n v="136000"/>
    <n v="128044"/>
    <n v="11552"/>
    <n v="123636.3636363636"/>
    <s v="카페24고체향수이그나이트200720"/>
  </r>
  <r>
    <x v="149"/>
    <s v="화"/>
    <m/>
    <s v="카페24"/>
    <m/>
    <n v="7"/>
    <s v="쇼핑백"/>
    <s v="유즈쇼핑백"/>
    <n v="200720"/>
    <m/>
    <n v="14000"/>
    <n v="13181"/>
    <n v="8470"/>
    <n v="12727.27272727273"/>
    <s v="카페24쇼핑백유즈쇼핑백200720"/>
  </r>
  <r>
    <x v="150"/>
    <s v="수"/>
    <m/>
    <s v="카페24"/>
    <m/>
    <n v="16"/>
    <s v="고체향수"/>
    <s v="이그나이트 + 스테이포에버"/>
    <n v="200720"/>
    <m/>
    <n v="940800"/>
    <n v="885763.2"/>
    <n v="90736"/>
    <n v="855272.7272727272"/>
    <s v="카페24고체향수이그나이트 + 스테이포에버200720"/>
  </r>
  <r>
    <x v="150"/>
    <s v="수"/>
    <m/>
    <s v="카페24"/>
    <m/>
    <n v="203"/>
    <s v="고체향수"/>
    <s v="스테이포에버"/>
    <n v="200720"/>
    <m/>
    <n v="6902000"/>
    <n v="6498233"/>
    <n v="564949"/>
    <n v="6274545.454545454"/>
    <s v="카페24고체향수스테이포에버200720"/>
  </r>
  <r>
    <x v="150"/>
    <s v="수"/>
    <m/>
    <s v="카페24"/>
    <m/>
    <n v="61"/>
    <s v="고체향수"/>
    <s v="스테이포에버 2set"/>
    <n v="200720"/>
    <m/>
    <n v="3586800"/>
    <n v="3376972.2"/>
    <n v="339526"/>
    <n v="3260727.272727272"/>
    <s v="카페24고체향수스테이포에버 2set200720"/>
  </r>
  <r>
    <x v="150"/>
    <s v="수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150"/>
    <s v="수"/>
    <m/>
    <s v="카페24"/>
    <m/>
    <n v="5"/>
    <s v="쇼핑백"/>
    <s v="유즈쇼핑백"/>
    <n v="200720"/>
    <m/>
    <n v="10000"/>
    <n v="9415"/>
    <n v="6050"/>
    <n v="9090.90909090909"/>
    <s v="카페24쇼핑백유즈쇼핑백200720"/>
  </r>
  <r>
    <x v="151"/>
    <s v="목"/>
    <m/>
    <s v="카페24"/>
    <m/>
    <n v="14"/>
    <s v="고체향수"/>
    <s v="이그나이트 + 스테이포에버"/>
    <n v="200720"/>
    <m/>
    <n v="823200"/>
    <n v="775042.8"/>
    <n v="79394"/>
    <n v="748363.6363636364"/>
    <s v="카페24고체향수이그나이트 + 스테이포에버200720"/>
  </r>
  <r>
    <x v="151"/>
    <s v="목"/>
    <m/>
    <s v="카페24"/>
    <m/>
    <n v="218"/>
    <s v="고체향수"/>
    <s v="스테이포에버"/>
    <n v="200720"/>
    <m/>
    <n v="7412000"/>
    <n v="6978398"/>
    <n v="606694"/>
    <n v="6738181.818181817"/>
    <s v="카페24고체향수스테이포에버200720"/>
  </r>
  <r>
    <x v="151"/>
    <s v="목"/>
    <m/>
    <s v="카페24"/>
    <m/>
    <n v="73"/>
    <s v="고체향수"/>
    <s v="스테이포에버 2set"/>
    <n v="200720"/>
    <m/>
    <n v="4292400"/>
    <n v="4041294.6"/>
    <n v="406318"/>
    <n v="3902181.818181818"/>
    <s v="카페24고체향수스테이포에버 2set200720"/>
  </r>
  <r>
    <x v="151"/>
    <s v="목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151"/>
    <s v="목"/>
    <m/>
    <s v="카페24"/>
    <m/>
    <n v="2"/>
    <s v="고체향수"/>
    <s v="이그나이트 2set"/>
    <n v="200720"/>
    <m/>
    <n v="117600"/>
    <n v="110720.4"/>
    <n v="11552"/>
    <n v="106909.0909090909"/>
    <s v="카페24고체향수이그나이트 2set200720"/>
  </r>
  <r>
    <x v="151"/>
    <s v="목"/>
    <m/>
    <s v="카페24"/>
    <m/>
    <n v="3"/>
    <s v="쇼핑백"/>
    <s v="유즈쇼핑백"/>
    <n v="200720"/>
    <m/>
    <n v="6000"/>
    <n v="5649"/>
    <n v="3630"/>
    <n v="5454.545454545454"/>
    <s v="카페24쇼핑백유즈쇼핑백200720"/>
  </r>
  <r>
    <x v="152"/>
    <s v="금"/>
    <m/>
    <s v="카페24"/>
    <m/>
    <n v="21"/>
    <s v="고체향수"/>
    <s v="이그나이트 + 스테이포에버"/>
    <n v="200720"/>
    <m/>
    <n v="1234800"/>
    <n v="1162564.2"/>
    <n v="119091"/>
    <n v="1122545.454545454"/>
    <s v="카페24고체향수이그나이트 + 스테이포에버200720"/>
  </r>
  <r>
    <x v="152"/>
    <s v="금"/>
    <m/>
    <s v="카페24"/>
    <m/>
    <n v="219"/>
    <s v="고체향수"/>
    <s v="스테이포에버"/>
    <n v="200720"/>
    <m/>
    <n v="7446000"/>
    <n v="7010409"/>
    <n v="609477"/>
    <n v="6769090.909090908"/>
    <s v="카페24고체향수스테이포에버200720"/>
  </r>
  <r>
    <x v="152"/>
    <s v="금"/>
    <m/>
    <s v="카페24"/>
    <m/>
    <n v="55"/>
    <s v="고체향수"/>
    <s v="스테이포에버 2set"/>
    <n v="200720"/>
    <m/>
    <n v="3234000"/>
    <n v="3044811"/>
    <n v="306130"/>
    <n v="2940000"/>
    <s v="카페24고체향수스테이포에버 2set200720"/>
  </r>
  <r>
    <x v="152"/>
    <s v="금"/>
    <m/>
    <s v="카페24"/>
    <m/>
    <n v="7"/>
    <s v="고체향수"/>
    <s v="이그나이트"/>
    <n v="200720"/>
    <m/>
    <n v="238000"/>
    <n v="224077"/>
    <n v="20216"/>
    <n v="216363.6363636364"/>
    <s v="카페24고체향수이그나이트200720"/>
  </r>
  <r>
    <x v="152"/>
    <s v="금"/>
    <m/>
    <s v="카페24"/>
    <m/>
    <n v="9"/>
    <s v="쇼핑백"/>
    <s v="유즈쇼핑백"/>
    <n v="200720"/>
    <m/>
    <n v="18000"/>
    <n v="16947"/>
    <n v="10890"/>
    <n v="16363.63636363636"/>
    <s v="카페24쇼핑백유즈쇼핑백200720"/>
  </r>
  <r>
    <x v="153"/>
    <s v="토"/>
    <m/>
    <s v="카페24"/>
    <m/>
    <n v="15"/>
    <s v="고체향수"/>
    <s v="이그나이트 + 스테이포에버"/>
    <n v="200720"/>
    <m/>
    <n v="882000"/>
    <n v="830403"/>
    <n v="85065"/>
    <n v="801818.1818181818"/>
    <s v="카페24고체향수이그나이트 + 스테이포에버200720"/>
  </r>
  <r>
    <x v="153"/>
    <s v="토"/>
    <m/>
    <s v="카페24"/>
    <m/>
    <n v="224"/>
    <s v="고체향수"/>
    <s v="스테이포에버"/>
    <n v="200720"/>
    <m/>
    <n v="7616000"/>
    <n v="7170464"/>
    <n v="623392"/>
    <n v="6923636.363636363"/>
    <s v="카페24고체향수스테이포에버200720"/>
  </r>
  <r>
    <x v="153"/>
    <s v="토"/>
    <m/>
    <s v="카페24"/>
    <m/>
    <n v="66"/>
    <s v="고체향수"/>
    <s v="스테이포에버 2set"/>
    <n v="200720"/>
    <m/>
    <n v="3880800"/>
    <n v="3653773.2"/>
    <n v="367356"/>
    <n v="3528000"/>
    <s v="카페24고체향수스테이포에버 2set200720"/>
  </r>
  <r>
    <x v="153"/>
    <s v="토"/>
    <m/>
    <s v="카페24"/>
    <m/>
    <n v="4"/>
    <s v="고체향수"/>
    <s v="이그나이트"/>
    <n v="200720"/>
    <m/>
    <n v="136000"/>
    <n v="128044"/>
    <n v="11552"/>
    <n v="123636.3636363636"/>
    <s v="카페24고체향수이그나이트200720"/>
  </r>
  <r>
    <x v="153"/>
    <s v="토"/>
    <m/>
    <s v="카페24"/>
    <m/>
    <n v="2"/>
    <s v="고체향수"/>
    <s v="이그나이트 2set"/>
    <n v="200720"/>
    <m/>
    <n v="117600"/>
    <n v="110720.4"/>
    <n v="11552"/>
    <n v="106909.0909090909"/>
    <s v="카페24고체향수이그나이트 2set200720"/>
  </r>
  <r>
    <x v="153"/>
    <s v="토"/>
    <m/>
    <s v="카페24"/>
    <m/>
    <n v="10"/>
    <s v="쇼핑백"/>
    <s v="유즈쇼핑백"/>
    <n v="200720"/>
    <m/>
    <n v="20000"/>
    <n v="18830"/>
    <n v="12100"/>
    <n v="18181.81818181818"/>
    <s v="카페24쇼핑백유즈쇼핑백200720"/>
  </r>
  <r>
    <x v="154"/>
    <s v="일"/>
    <m/>
    <s v="카페24"/>
    <m/>
    <n v="10"/>
    <s v="고체향수"/>
    <s v="이그나이트 + 스테이포에버"/>
    <n v="200720"/>
    <m/>
    <n v="588000"/>
    <n v="553602"/>
    <n v="56710"/>
    <n v="534545.4545454545"/>
    <s v="카페24고체향수이그나이트 + 스테이포에버200720"/>
  </r>
  <r>
    <x v="154"/>
    <s v="일"/>
    <m/>
    <s v="카페24"/>
    <m/>
    <n v="236"/>
    <s v="고체향수"/>
    <s v="스테이포에버"/>
    <n v="200720"/>
    <m/>
    <n v="8024000"/>
    <n v="7554596"/>
    <n v="656788"/>
    <n v="7294545.454545454"/>
    <s v="카페24고체향수스테이포에버200720"/>
  </r>
  <r>
    <x v="154"/>
    <s v="일"/>
    <m/>
    <s v="카페24"/>
    <m/>
    <n v="67"/>
    <s v="고체향수"/>
    <s v="스테이포에버 2set"/>
    <n v="200720"/>
    <m/>
    <n v="3939600"/>
    <n v="3709133.4"/>
    <n v="372922"/>
    <n v="3581454.545454545"/>
    <s v="카페24고체향수스테이포에버 2set200720"/>
  </r>
  <r>
    <x v="154"/>
    <s v="일"/>
    <m/>
    <s v="카페24"/>
    <m/>
    <n v="2"/>
    <s v="고체향수"/>
    <s v="이그나이트"/>
    <n v="200720"/>
    <m/>
    <n v="68000"/>
    <n v="64022"/>
    <n v="5776"/>
    <n v="61818.18181818182"/>
    <s v="카페24고체향수이그나이트200720"/>
  </r>
  <r>
    <x v="154"/>
    <s v="일"/>
    <m/>
    <s v="카페24"/>
    <m/>
    <n v="9"/>
    <s v="쇼핑백"/>
    <s v="유즈쇼핑백"/>
    <n v="200720"/>
    <m/>
    <n v="18000"/>
    <n v="16947"/>
    <n v="10890"/>
    <n v="16363.63636363636"/>
    <s v="카페24쇼핑백유즈쇼핑백200720"/>
  </r>
  <r>
    <x v="155"/>
    <s v="월"/>
    <m/>
    <s v="카페24"/>
    <m/>
    <n v="20"/>
    <s v="고체향수"/>
    <s v="이그나이트 + 스테이포에버"/>
    <n v="200720"/>
    <m/>
    <n v="1176000"/>
    <n v="1107204"/>
    <n v="113420"/>
    <n v="1069090.909090909"/>
    <s v="카페24고체향수이그나이트 + 스테이포에버200720"/>
  </r>
  <r>
    <x v="155"/>
    <s v="월"/>
    <m/>
    <s v="카페24"/>
    <m/>
    <n v="228"/>
    <s v="고체향수"/>
    <s v="스테이포에버"/>
    <n v="200720"/>
    <m/>
    <n v="7752000"/>
    <n v="7298508"/>
    <n v="634524"/>
    <n v="7047272.727272727"/>
    <s v="카페24고체향수스테이포에버200720"/>
  </r>
  <r>
    <x v="155"/>
    <s v="월"/>
    <m/>
    <s v="카페24"/>
    <m/>
    <n v="59"/>
    <s v="고체향수"/>
    <s v="스테이포에버 2set"/>
    <n v="200720"/>
    <m/>
    <n v="3469200"/>
    <n v="3266251.8"/>
    <n v="328394"/>
    <n v="3153818.181818182"/>
    <s v="카페24고체향수스테이포에버 2set200720"/>
  </r>
  <r>
    <x v="155"/>
    <s v="월"/>
    <m/>
    <s v="카페24"/>
    <m/>
    <n v="3"/>
    <s v="고체향수"/>
    <s v="이그나이트"/>
    <n v="200720"/>
    <m/>
    <n v="102000"/>
    <n v="96033"/>
    <n v="8664"/>
    <n v="92727.27272727272"/>
    <s v="카페24고체향수이그나이트200720"/>
  </r>
  <r>
    <x v="155"/>
    <s v="월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155"/>
    <s v="월"/>
    <m/>
    <s v="카페24"/>
    <m/>
    <n v="7"/>
    <s v="쇼핑백"/>
    <s v="유즈쇼핑백"/>
    <n v="200720"/>
    <m/>
    <n v="14000"/>
    <n v="13181"/>
    <n v="8470"/>
    <n v="12727.27272727273"/>
    <s v="카페24쇼핑백유즈쇼핑백200720"/>
  </r>
  <r>
    <x v="156"/>
    <s v="화"/>
    <m/>
    <s v="카페24"/>
    <m/>
    <n v="17"/>
    <s v="고체향수"/>
    <s v="이그나이트 + 스테이포에버"/>
    <n v="200720"/>
    <m/>
    <n v="999600"/>
    <n v="941123.4"/>
    <n v="96407"/>
    <n v="908727.2727272727"/>
    <s v="카페24고체향수이그나이트 + 스테이포에버200720"/>
  </r>
  <r>
    <x v="156"/>
    <s v="화"/>
    <m/>
    <s v="카페24"/>
    <m/>
    <n v="216"/>
    <s v="고체향수"/>
    <s v="스테이포에버"/>
    <n v="200720"/>
    <m/>
    <n v="7344000"/>
    <n v="6914376"/>
    <n v="601128"/>
    <n v="6676363.636363636"/>
    <s v="카페24고체향수스테이포에버200720"/>
  </r>
  <r>
    <x v="156"/>
    <s v="화"/>
    <m/>
    <s v="카페24"/>
    <m/>
    <n v="56"/>
    <s v="고체향수"/>
    <s v="스테이포에버 2set"/>
    <n v="200720"/>
    <m/>
    <n v="3292800"/>
    <n v="3100171.2"/>
    <n v="311696"/>
    <n v="2993454.545454545"/>
    <s v="카페24고체향수스테이포에버 2set200720"/>
  </r>
  <r>
    <x v="156"/>
    <s v="화"/>
    <m/>
    <s v="카페24"/>
    <m/>
    <n v="4"/>
    <s v="고체향수"/>
    <s v="이그나이트"/>
    <n v="200720"/>
    <m/>
    <n v="136000"/>
    <n v="128044"/>
    <n v="11552"/>
    <n v="123636.3636363636"/>
    <s v="카페24고체향수이그나이트200720"/>
  </r>
  <r>
    <x v="156"/>
    <s v="화"/>
    <m/>
    <s v="카페24"/>
    <m/>
    <n v="3"/>
    <s v="쇼핑백"/>
    <s v="유즈쇼핑백"/>
    <n v="200720"/>
    <m/>
    <n v="6000"/>
    <n v="5649"/>
    <n v="3630"/>
    <n v="5454.545454545454"/>
    <s v="카페24쇼핑백유즈쇼핑백200720"/>
  </r>
  <r>
    <x v="157"/>
    <s v="수"/>
    <m/>
    <s v="유즈 CS"/>
    <m/>
    <n v="5"/>
    <s v="고체향수"/>
    <s v="스테이포에버"/>
    <n v="200520"/>
    <m/>
    <n v="0"/>
    <n v="0"/>
    <n v="13915"/>
    <n v="0"/>
    <s v="유즈 CS고체향수스테이포에버200520"/>
  </r>
  <r>
    <x v="157"/>
    <s v="수"/>
    <m/>
    <s v="유즈 CS"/>
    <m/>
    <n v="5"/>
    <s v="고체향수"/>
    <s v="이그나이트"/>
    <n v="200520"/>
    <m/>
    <n v="0"/>
    <n v="0"/>
    <n v="14440"/>
    <n v="0"/>
    <s v="유즈 CS고체향수이그나이트200520"/>
  </r>
  <r>
    <x v="157"/>
    <s v="수"/>
    <m/>
    <s v="유즈 CS"/>
    <m/>
    <n v="5"/>
    <s v="쇼핑백"/>
    <s v="유즈쇼핑백"/>
    <n v="200520"/>
    <m/>
    <n v="0"/>
    <n v="0"/>
    <n v="6050"/>
    <n v="0"/>
    <s v="유즈 CS쇼핑백유즈쇼핑백200520"/>
  </r>
  <r>
    <x v="157"/>
    <s v="수"/>
    <m/>
    <s v="카페24"/>
    <m/>
    <n v="25"/>
    <s v="고체향수"/>
    <s v="이그나이트 + 스테이포에버"/>
    <n v="200720"/>
    <m/>
    <n v="1470000"/>
    <n v="1384005"/>
    <n v="141775"/>
    <n v="1336363.636363636"/>
    <s v="카페24고체향수이그나이트 + 스테이포에버200720"/>
  </r>
  <r>
    <x v="157"/>
    <s v="수"/>
    <m/>
    <s v="카페24"/>
    <m/>
    <n v="1"/>
    <s v="고체향수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57"/>
    <s v="수"/>
    <m/>
    <s v="카페24"/>
    <m/>
    <n v="253"/>
    <s v="고체향수"/>
    <s v="스테이포에버"/>
    <n v="200720"/>
    <m/>
    <n v="8602000"/>
    <n v="8098783"/>
    <n v="704099"/>
    <n v="7819999.999999999"/>
    <s v="카페24고체향수스테이포에버200720"/>
  </r>
  <r>
    <x v="157"/>
    <s v="수"/>
    <m/>
    <s v="카페24"/>
    <m/>
    <n v="59"/>
    <s v="고체향수"/>
    <s v="스테이포에버 2set"/>
    <n v="200720"/>
    <m/>
    <n v="3469200"/>
    <n v="3266251.8"/>
    <n v="328394"/>
    <n v="3153818.181818182"/>
    <s v="카페24고체향수스테이포에버 2set200720"/>
  </r>
  <r>
    <x v="157"/>
    <s v="수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157"/>
    <s v="수"/>
    <m/>
    <s v="카페24"/>
    <m/>
    <n v="6"/>
    <s v="쇼핑백"/>
    <s v="유즈쇼핑백"/>
    <n v="200720"/>
    <m/>
    <n v="12000"/>
    <n v="11298"/>
    <n v="7260"/>
    <n v="10909.09090909091"/>
    <s v="카페24쇼핑백유즈쇼핑백200720"/>
  </r>
  <r>
    <x v="158"/>
    <s v="목"/>
    <m/>
    <s v="카페24"/>
    <m/>
    <n v="10"/>
    <s v="고체향수"/>
    <s v="이그나이트 + 스테이포에버"/>
    <n v="200720"/>
    <m/>
    <n v="588000"/>
    <n v="553602"/>
    <n v="56710"/>
    <n v="534545.4545454545"/>
    <s v="카페24고체향수이그나이트 + 스테이포에버200720"/>
  </r>
  <r>
    <x v="158"/>
    <s v="목"/>
    <m/>
    <s v="카페24"/>
    <m/>
    <n v="1"/>
    <s v="고체향수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58"/>
    <s v="목"/>
    <m/>
    <s v="카페24"/>
    <m/>
    <n v="214"/>
    <s v="고체향수"/>
    <s v="스테이포에버"/>
    <n v="200720"/>
    <m/>
    <n v="7276000"/>
    <n v="6850354"/>
    <n v="595562"/>
    <n v="6614545.454545454"/>
    <s v="카페24고체향수스테이포에버200720"/>
  </r>
  <r>
    <x v="158"/>
    <s v="목"/>
    <m/>
    <s v="카페24"/>
    <m/>
    <n v="65"/>
    <s v="고체향수"/>
    <s v="스테이포에버 2set"/>
    <n v="200720"/>
    <m/>
    <n v="3822000"/>
    <n v="3598413"/>
    <n v="361790"/>
    <n v="3474545.454545454"/>
    <s v="카페24고체향수스테이포에버 2set200720"/>
  </r>
  <r>
    <x v="158"/>
    <s v="목"/>
    <m/>
    <s v="카페24"/>
    <m/>
    <n v="4"/>
    <s v="고체향수"/>
    <s v="이그나이트"/>
    <n v="200720"/>
    <m/>
    <n v="136000"/>
    <n v="128044"/>
    <n v="11552"/>
    <n v="123636.3636363636"/>
    <s v="카페24고체향수이그나이트200720"/>
  </r>
  <r>
    <x v="158"/>
    <s v="목"/>
    <m/>
    <s v="카페24"/>
    <m/>
    <n v="7"/>
    <s v="쇼핑백"/>
    <s v="유즈쇼핑백"/>
    <n v="200720"/>
    <m/>
    <n v="14000"/>
    <n v="13181"/>
    <n v="8470"/>
    <n v="12727.27272727273"/>
    <s v="카페24쇼핑백유즈쇼핑백200720"/>
  </r>
  <r>
    <x v="159"/>
    <s v="금"/>
    <m/>
    <s v="유즈 CS"/>
    <m/>
    <n v="2"/>
    <s v="고체향수"/>
    <s v="스테이포에버"/>
    <n v="200520"/>
    <m/>
    <n v="0"/>
    <n v="0"/>
    <n v="5566"/>
    <n v="0"/>
    <s v="유즈 CS고체향수스테이포에버200520"/>
  </r>
  <r>
    <x v="159"/>
    <s v="금"/>
    <m/>
    <s v="카페24"/>
    <m/>
    <n v="13"/>
    <s v="고체향수"/>
    <s v="이그나이트 + 스테이포에버"/>
    <n v="200720"/>
    <m/>
    <n v="764400"/>
    <n v="719682.6"/>
    <n v="73723"/>
    <n v="694909.0909090908"/>
    <s v="카페24고체향수이그나이트 + 스테이포에버200720"/>
  </r>
  <r>
    <x v="159"/>
    <s v="금"/>
    <m/>
    <s v="카페24"/>
    <m/>
    <n v="206"/>
    <s v="고체향수"/>
    <s v="스테이포에버"/>
    <n v="200720"/>
    <m/>
    <n v="7004000"/>
    <n v="6594266"/>
    <n v="573298"/>
    <n v="6367272.727272727"/>
    <s v="카페24고체향수스테이포에버200720"/>
  </r>
  <r>
    <x v="159"/>
    <s v="금"/>
    <m/>
    <s v="카페24"/>
    <m/>
    <n v="54"/>
    <s v="고체향수"/>
    <s v="스테이포에버 2set"/>
    <n v="200720"/>
    <m/>
    <n v="3175200"/>
    <n v="2989450.8"/>
    <n v="300564"/>
    <n v="2886545.454545454"/>
    <s v="카페24고체향수스테이포에버 2set200720"/>
  </r>
  <r>
    <x v="159"/>
    <s v="금"/>
    <m/>
    <s v="카페24"/>
    <m/>
    <n v="1"/>
    <s v="쇼핑백"/>
    <s v="유즈쇼핑백"/>
    <n v="200720"/>
    <m/>
    <n v="2000"/>
    <n v="1883"/>
    <n v="1210"/>
    <n v="1818.181818181818"/>
    <s v="카페24쇼핑백유즈쇼핑백200720"/>
  </r>
  <r>
    <x v="160"/>
    <s v="토"/>
    <m/>
    <s v="카페24"/>
    <m/>
    <n v="17"/>
    <s v="고체향수"/>
    <s v="이그나이트 + 스테이포에버"/>
    <n v="200720"/>
    <m/>
    <n v="999600"/>
    <n v="941123.4"/>
    <n v="96407"/>
    <n v="908727.2727272727"/>
    <s v="카페24고체향수이그나이트 + 스테이포에버200720"/>
  </r>
  <r>
    <x v="160"/>
    <s v="토"/>
    <m/>
    <s v="카페24"/>
    <m/>
    <n v="243"/>
    <s v="고체향수"/>
    <s v="스테이포에버"/>
    <n v="200720"/>
    <m/>
    <n v="8262000"/>
    <n v="7778673"/>
    <n v="676269"/>
    <n v="7510909.09090909"/>
    <s v="카페24고체향수스테이포에버200720"/>
  </r>
  <r>
    <x v="160"/>
    <s v="토"/>
    <m/>
    <s v="카페24"/>
    <m/>
    <n v="59"/>
    <s v="고체향수"/>
    <s v="스테이포에버 2set"/>
    <n v="200720"/>
    <m/>
    <n v="3469200"/>
    <n v="3266251.8"/>
    <n v="328394"/>
    <n v="3153818.181818182"/>
    <s v="카페24고체향수스테이포에버 2set200720"/>
  </r>
  <r>
    <x v="160"/>
    <s v="토"/>
    <m/>
    <s v="카페24"/>
    <m/>
    <n v="2"/>
    <s v="고체향수"/>
    <s v="이그나이트"/>
    <n v="200720"/>
    <m/>
    <n v="68000"/>
    <n v="64022"/>
    <n v="5776"/>
    <n v="61818.18181818182"/>
    <s v="카페24고체향수이그나이트200720"/>
  </r>
  <r>
    <x v="160"/>
    <s v="토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160"/>
    <s v="토"/>
    <m/>
    <s v="카페24"/>
    <m/>
    <n v="8"/>
    <s v="쇼핑백"/>
    <s v="유즈쇼핑백"/>
    <n v="200720"/>
    <m/>
    <n v="16000"/>
    <n v="15064"/>
    <n v="9680"/>
    <n v="14545.45454545454"/>
    <s v="카페24쇼핑백유즈쇼핑백200720"/>
  </r>
  <r>
    <x v="161"/>
    <s v="일"/>
    <m/>
    <s v="카페24"/>
    <m/>
    <n v="14"/>
    <s v="고체향수"/>
    <s v="이그나이트 + 스테이포에버"/>
    <n v="200720"/>
    <m/>
    <n v="823200"/>
    <n v="775042.8"/>
    <n v="79394"/>
    <n v="748363.6363636364"/>
    <s v="카페24고체향수이그나이트 + 스테이포에버200720"/>
  </r>
  <r>
    <x v="161"/>
    <s v="일"/>
    <m/>
    <s v="카페24"/>
    <m/>
    <n v="291"/>
    <s v="고체향수"/>
    <s v="스테이포에버"/>
    <n v="200720"/>
    <m/>
    <n v="9894000"/>
    <n v="9315201"/>
    <n v="809853"/>
    <n v="8994545.454545453"/>
    <s v="카페24고체향수스테이포에버200720"/>
  </r>
  <r>
    <x v="161"/>
    <s v="일"/>
    <m/>
    <s v="카페24"/>
    <m/>
    <n v="71"/>
    <s v="고체향수"/>
    <s v="스테이포에버 2set"/>
    <n v="200720"/>
    <m/>
    <n v="4174800"/>
    <n v="3930574.2"/>
    <n v="395186"/>
    <n v="3795272.727272727"/>
    <s v="카페24고체향수스테이포에버 2set200720"/>
  </r>
  <r>
    <x v="161"/>
    <s v="일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161"/>
    <s v="일"/>
    <m/>
    <s v="카페24"/>
    <m/>
    <n v="7"/>
    <s v="쇼핑백"/>
    <s v="유즈쇼핑백"/>
    <n v="200720"/>
    <m/>
    <n v="14000"/>
    <n v="13181"/>
    <n v="8470"/>
    <n v="12727.27272727273"/>
    <s v="카페24쇼핑백유즈쇼핑백200720"/>
  </r>
  <r>
    <x v="162"/>
    <s v="월"/>
    <m/>
    <s v="카페24"/>
    <m/>
    <n v="17"/>
    <s v="고체향수"/>
    <s v="이그나이트 + 스테이포에버"/>
    <n v="200720"/>
    <m/>
    <n v="999600"/>
    <n v="941123.4"/>
    <n v="96407"/>
    <n v="908727.2727272727"/>
    <s v="카페24고체향수이그나이트 + 스테이포에버200720"/>
  </r>
  <r>
    <x v="162"/>
    <s v="월"/>
    <m/>
    <s v="카페24"/>
    <m/>
    <n v="267"/>
    <s v="고체향수"/>
    <s v="스테이포에버"/>
    <n v="200720"/>
    <m/>
    <n v="9078000"/>
    <n v="8546937"/>
    <n v="743061"/>
    <n v="8252727.272727272"/>
    <s v="카페24고체향수스테이포에버200720"/>
  </r>
  <r>
    <x v="162"/>
    <s v="월"/>
    <m/>
    <s v="카페24"/>
    <m/>
    <n v="66"/>
    <s v="고체향수"/>
    <s v="스테이포에버 2set"/>
    <n v="200720"/>
    <m/>
    <n v="3880800"/>
    <n v="3653773.2"/>
    <n v="367356"/>
    <n v="3528000"/>
    <s v="카페24고체향수스테이포에버 2set200720"/>
  </r>
  <r>
    <x v="162"/>
    <s v="월"/>
    <m/>
    <s v="카페24"/>
    <m/>
    <n v="3"/>
    <s v="고체향수"/>
    <s v="이그나이트"/>
    <n v="200720"/>
    <m/>
    <n v="102000"/>
    <n v="96033"/>
    <n v="8664"/>
    <n v="92727.27272727272"/>
    <s v="카페24고체향수이그나이트200720"/>
  </r>
  <r>
    <x v="162"/>
    <s v="월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162"/>
    <s v="월"/>
    <m/>
    <s v="카페24"/>
    <m/>
    <n v="10"/>
    <s v="쇼핑백"/>
    <s v="유즈쇼핑백"/>
    <n v="200720"/>
    <m/>
    <n v="20000"/>
    <n v="18830"/>
    <n v="12100"/>
    <n v="18181.81818181818"/>
    <s v="카페24쇼핑백유즈쇼핑백200720"/>
  </r>
  <r>
    <x v="163"/>
    <s v="화"/>
    <m/>
    <s v="카페24"/>
    <m/>
    <n v="25"/>
    <s v="고체향수"/>
    <s v="이그나이트 + 스테이포에버"/>
    <n v="200720"/>
    <m/>
    <n v="1470000"/>
    <n v="1384005"/>
    <n v="141775"/>
    <n v="1336363.636363636"/>
    <s v="카페24고체향수이그나이트 + 스테이포에버200720"/>
  </r>
  <r>
    <x v="163"/>
    <s v="화"/>
    <m/>
    <s v="카페24"/>
    <m/>
    <n v="270"/>
    <s v="고체향수"/>
    <s v="스테이포에버"/>
    <n v="200720"/>
    <m/>
    <n v="9180000"/>
    <n v="8642970"/>
    <n v="751410"/>
    <n v="8345454.545454545"/>
    <s v="카페24고체향수스테이포에버200720"/>
  </r>
  <r>
    <x v="163"/>
    <s v="화"/>
    <m/>
    <s v="카페24"/>
    <m/>
    <n v="83"/>
    <s v="고체향수"/>
    <s v="스테이포에버 2set"/>
    <n v="200720"/>
    <m/>
    <n v="4880400"/>
    <n v="4594896.6"/>
    <n v="461978"/>
    <n v="4436727.272727272"/>
    <s v="카페24고체향수스테이포에버 2set200720"/>
  </r>
  <r>
    <x v="163"/>
    <s v="화"/>
    <m/>
    <s v="카페24"/>
    <m/>
    <n v="3"/>
    <s v="고체향수"/>
    <s v="이그나이트"/>
    <n v="200720"/>
    <m/>
    <n v="102000"/>
    <n v="96033"/>
    <n v="8664"/>
    <n v="92727.27272727272"/>
    <s v="카페24고체향수이그나이트200720"/>
  </r>
  <r>
    <x v="163"/>
    <s v="화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163"/>
    <s v="화"/>
    <m/>
    <s v="카페24"/>
    <m/>
    <n v="6"/>
    <s v="쇼핑백"/>
    <s v="유즈쇼핑백"/>
    <n v="200720"/>
    <m/>
    <n v="12000"/>
    <n v="11298"/>
    <n v="7260"/>
    <n v="10909.09090909091"/>
    <s v="카페24쇼핑백유즈쇼핑백200720"/>
  </r>
  <r>
    <x v="164"/>
    <s v="수"/>
    <m/>
    <s v="카페24"/>
    <m/>
    <n v="19"/>
    <s v="고체향수"/>
    <s v="이그나이트 + 스테이포에버"/>
    <n v="200720"/>
    <m/>
    <n v="1117200"/>
    <n v="1051843.8"/>
    <n v="107749"/>
    <n v="1015636.363636364"/>
    <s v="카페24고체향수이그나이트 + 스테이포에버200720"/>
  </r>
  <r>
    <x v="164"/>
    <s v="수"/>
    <m/>
    <s v="카페24"/>
    <m/>
    <n v="260"/>
    <s v="고체향수"/>
    <s v="스테이포에버"/>
    <n v="200720"/>
    <m/>
    <n v="8840000"/>
    <n v="8322860"/>
    <n v="723580"/>
    <n v="8036363.636363636"/>
    <s v="카페24고체향수스테이포에버200720"/>
  </r>
  <r>
    <x v="164"/>
    <s v="수"/>
    <m/>
    <s v="카페24"/>
    <m/>
    <n v="70"/>
    <s v="고체향수"/>
    <s v="스테이포에버 2set"/>
    <n v="200720"/>
    <m/>
    <n v="4116000"/>
    <n v="3875214"/>
    <n v="389620"/>
    <n v="3741818.181818182"/>
    <s v="카페24고체향수스테이포에버 2set200720"/>
  </r>
  <r>
    <x v="164"/>
    <s v="수"/>
    <m/>
    <s v="카페24"/>
    <m/>
    <n v="3"/>
    <s v="고체향수"/>
    <s v="이그나이트"/>
    <n v="200720"/>
    <m/>
    <n v="102000"/>
    <n v="96033"/>
    <n v="8664"/>
    <n v="92727.27272727272"/>
    <s v="카페24고체향수이그나이트200720"/>
  </r>
  <r>
    <x v="164"/>
    <s v="수"/>
    <m/>
    <s v="카페24"/>
    <m/>
    <n v="2"/>
    <s v="고체향수"/>
    <s v="이그나이트 2set"/>
    <n v="200720"/>
    <m/>
    <n v="117600"/>
    <n v="110720.4"/>
    <n v="11552"/>
    <n v="106909.0909090909"/>
    <s v="카페24고체향수이그나이트 2set200720"/>
  </r>
  <r>
    <x v="164"/>
    <s v="수"/>
    <m/>
    <s v="카페24"/>
    <m/>
    <n v="9"/>
    <s v="쇼핑백"/>
    <s v="유즈쇼핑백"/>
    <n v="200720"/>
    <m/>
    <n v="18000"/>
    <n v="16947"/>
    <n v="10890"/>
    <n v="16363.63636363636"/>
    <s v="카페24쇼핑백유즈쇼핑백200720"/>
  </r>
  <r>
    <x v="165"/>
    <s v="목"/>
    <m/>
    <s v="카페24"/>
    <m/>
    <n v="15"/>
    <s v="고체향수"/>
    <s v="이그나이트 + 스테이포에버"/>
    <n v="200720"/>
    <m/>
    <n v="882000"/>
    <n v="830403"/>
    <n v="85065"/>
    <n v="801818.1818181818"/>
    <s v="카페24고체향수이그나이트 + 스테이포에버200720"/>
  </r>
  <r>
    <x v="165"/>
    <s v="목"/>
    <m/>
    <s v="카페24"/>
    <m/>
    <n v="258"/>
    <s v="고체향수"/>
    <s v="스테이포에버"/>
    <n v="200720"/>
    <m/>
    <n v="8772000"/>
    <n v="8258838"/>
    <n v="718014"/>
    <n v="7974545.454545454"/>
    <s v="카페24고체향수스테이포에버200720"/>
  </r>
  <r>
    <x v="165"/>
    <s v="목"/>
    <m/>
    <s v="카페24"/>
    <m/>
    <n v="61"/>
    <s v="고체향수"/>
    <s v="스테이포에버 2set"/>
    <n v="200720"/>
    <m/>
    <n v="3586800"/>
    <n v="3376972.2"/>
    <n v="339526"/>
    <n v="3260727.272727272"/>
    <s v="카페24고체향수스테이포에버 2set200720"/>
  </r>
  <r>
    <x v="165"/>
    <s v="목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165"/>
    <s v="목"/>
    <m/>
    <s v="카페24"/>
    <m/>
    <n v="2"/>
    <s v="고체향수"/>
    <s v="이그나이트 2set"/>
    <n v="200720"/>
    <m/>
    <n v="117600"/>
    <n v="110720.4"/>
    <n v="11552"/>
    <n v="106909.0909090909"/>
    <s v="카페24고체향수이그나이트 2set200720"/>
  </r>
  <r>
    <x v="165"/>
    <s v="목"/>
    <m/>
    <s v="카페24"/>
    <m/>
    <n v="2"/>
    <s v="쇼핑백"/>
    <s v="유즈쇼핑백"/>
    <n v="200720"/>
    <m/>
    <n v="4000"/>
    <n v="3766"/>
    <n v="2420"/>
    <n v="3636.363636363636"/>
    <s v="카페24쇼핑백유즈쇼핑백200720"/>
  </r>
  <r>
    <x v="166"/>
    <s v="금"/>
    <m/>
    <s v="카페24"/>
    <m/>
    <n v="19"/>
    <s v="고체향수"/>
    <s v="이그나이트 + 스테이포에버"/>
    <n v="200720"/>
    <m/>
    <n v="1117200"/>
    <n v="1051843.8"/>
    <n v="107749"/>
    <n v="1015636.363636364"/>
    <s v="카페24고체향수이그나이트 + 스테이포에버200720"/>
  </r>
  <r>
    <x v="166"/>
    <s v="금"/>
    <m/>
    <s v="카페24"/>
    <m/>
    <n v="230"/>
    <s v="고체향수"/>
    <s v="스테이포에버"/>
    <n v="200720"/>
    <m/>
    <n v="7820000"/>
    <n v="7362530"/>
    <n v="640090"/>
    <n v="7109090.909090908"/>
    <s v="카페24고체향수스테이포에버200720"/>
  </r>
  <r>
    <x v="166"/>
    <s v="금"/>
    <m/>
    <s v="카페24"/>
    <m/>
    <n v="77"/>
    <s v="고체향수"/>
    <s v="스테이포에버 2set"/>
    <n v="200720"/>
    <m/>
    <n v="4527600"/>
    <n v="4262735.4"/>
    <n v="428582"/>
    <n v="4116000"/>
    <s v="카페24고체향수스테이포에버 2set200720"/>
  </r>
  <r>
    <x v="166"/>
    <s v="금"/>
    <m/>
    <s v="카페24"/>
    <m/>
    <n v="2"/>
    <s v="고체향수"/>
    <s v="이그나이트"/>
    <n v="200720"/>
    <m/>
    <n v="68000"/>
    <n v="64022"/>
    <n v="5776"/>
    <n v="61818.18181818182"/>
    <s v="카페24고체향수이그나이트200720"/>
  </r>
  <r>
    <x v="166"/>
    <s v="금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166"/>
    <s v="금"/>
    <m/>
    <s v="카페24"/>
    <m/>
    <n v="7"/>
    <s v="쇼핑백"/>
    <s v="유즈쇼핑백"/>
    <n v="200720"/>
    <m/>
    <n v="14000"/>
    <n v="13181"/>
    <n v="8470"/>
    <n v="12727.27272727273"/>
    <s v="카페24쇼핑백유즈쇼핑백200720"/>
  </r>
  <r>
    <x v="167"/>
    <s v="토"/>
    <m/>
    <s v="카페24"/>
    <m/>
    <n v="23"/>
    <s v="고체향수"/>
    <s v="이그나이트 + 스테이포에버"/>
    <n v="200720"/>
    <m/>
    <n v="1352400"/>
    <n v="1273284.6"/>
    <n v="130433"/>
    <n v="1229454.545454545"/>
    <s v="카페24고체향수이그나이트 + 스테이포에버200720"/>
  </r>
  <r>
    <x v="167"/>
    <s v="토"/>
    <m/>
    <s v="카페24"/>
    <m/>
    <n v="280"/>
    <s v="고체향수"/>
    <s v="스테이포에버"/>
    <n v="200720"/>
    <m/>
    <n v="9520000"/>
    <n v="8963080"/>
    <n v="779240"/>
    <n v="8654545.454545453"/>
    <s v="카페24고체향수스테이포에버200720"/>
  </r>
  <r>
    <x v="167"/>
    <s v="토"/>
    <m/>
    <s v="카페24"/>
    <m/>
    <n v="75"/>
    <s v="고체향수"/>
    <s v="스테이포에버 2set"/>
    <n v="200720"/>
    <m/>
    <n v="4410000"/>
    <n v="4152015"/>
    <n v="417450"/>
    <n v="4009090.909090909"/>
    <s v="카페24고체향수스테이포에버 2set200720"/>
  </r>
  <r>
    <x v="167"/>
    <s v="토"/>
    <m/>
    <s v="카페24"/>
    <m/>
    <n v="4"/>
    <s v="고체향수"/>
    <s v="이그나이트 2set"/>
    <n v="200720"/>
    <m/>
    <n v="235200"/>
    <n v="221440.8"/>
    <n v="23104"/>
    <n v="213818.1818181818"/>
    <s v="카페24고체향수이그나이트 2set200720"/>
  </r>
  <r>
    <x v="167"/>
    <s v="토"/>
    <m/>
    <s v="카페24"/>
    <m/>
    <n v="8"/>
    <s v="쇼핑백"/>
    <s v="유즈쇼핑백"/>
    <n v="200720"/>
    <m/>
    <n v="16000"/>
    <n v="15064"/>
    <n v="9680"/>
    <n v="14545.45454545454"/>
    <s v="카페24쇼핑백유즈쇼핑백200720"/>
  </r>
  <r>
    <x v="168"/>
    <s v="일"/>
    <m/>
    <s v="카페24"/>
    <m/>
    <n v="19"/>
    <s v="고체향수"/>
    <s v="이그나이트 + 스테이포에버"/>
    <n v="200720"/>
    <m/>
    <n v="1117200"/>
    <n v="1051843.8"/>
    <n v="107749"/>
    <n v="1015636.363636364"/>
    <s v="카페24고체향수이그나이트 + 스테이포에버200720"/>
  </r>
  <r>
    <x v="168"/>
    <s v="일"/>
    <m/>
    <s v="카페24"/>
    <m/>
    <n v="1"/>
    <s v="고체향수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68"/>
    <s v="일"/>
    <m/>
    <s v="카페24"/>
    <m/>
    <n v="255"/>
    <s v="고체향수"/>
    <s v="스테이포에버"/>
    <n v="200720"/>
    <m/>
    <n v="8670000"/>
    <n v="8162805"/>
    <n v="709665"/>
    <n v="7881818.181818181"/>
    <s v="카페24고체향수스테이포에버200720"/>
  </r>
  <r>
    <x v="168"/>
    <s v="일"/>
    <m/>
    <s v="카페24"/>
    <m/>
    <n v="76"/>
    <s v="고체향수"/>
    <s v="스테이포에버 2set"/>
    <n v="200720"/>
    <m/>
    <n v="4468800"/>
    <n v="4207375.2"/>
    <n v="423016"/>
    <n v="4062545.454545454"/>
    <s v="카페24고체향수스테이포에버 2set200720"/>
  </r>
  <r>
    <x v="168"/>
    <s v="일"/>
    <m/>
    <s v="카페24"/>
    <m/>
    <n v="2"/>
    <s v="고체향수"/>
    <s v="이그나이트"/>
    <n v="200720"/>
    <m/>
    <n v="68000"/>
    <n v="64022"/>
    <n v="5776"/>
    <n v="61818.18181818182"/>
    <s v="카페24고체향수이그나이트200720"/>
  </r>
  <r>
    <x v="168"/>
    <s v="일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168"/>
    <s v="일"/>
    <m/>
    <s v="카페24"/>
    <m/>
    <n v="9"/>
    <s v="쇼핑백"/>
    <s v="유즈쇼핑백"/>
    <n v="200720"/>
    <m/>
    <n v="18000"/>
    <n v="16947"/>
    <n v="10890"/>
    <n v="16363.63636363636"/>
    <s v="카페24쇼핑백유즈쇼핑백200720"/>
  </r>
  <r>
    <x v="169"/>
    <s v="월"/>
    <m/>
    <s v="카페24"/>
    <m/>
    <n v="22"/>
    <s v="고체향수"/>
    <s v="이그나이트 + 스테이포에버"/>
    <n v="200720"/>
    <m/>
    <n v="1293600"/>
    <n v="1217924.4"/>
    <n v="124762"/>
    <n v="1176000"/>
    <s v="카페24고체향수이그나이트 + 스테이포에버200720"/>
  </r>
  <r>
    <x v="169"/>
    <s v="월"/>
    <m/>
    <s v="카페24"/>
    <m/>
    <n v="237"/>
    <s v="고체향수"/>
    <s v="스테이포에버"/>
    <n v="200720"/>
    <m/>
    <n v="8058000"/>
    <n v="7586607"/>
    <n v="659571"/>
    <n v="7325454.545454545"/>
    <s v="카페24고체향수스테이포에버200720"/>
  </r>
  <r>
    <x v="169"/>
    <s v="월"/>
    <m/>
    <s v="카페24"/>
    <m/>
    <n v="47"/>
    <s v="고체향수"/>
    <s v="스테이포에버 2set"/>
    <n v="200720"/>
    <m/>
    <n v="2763600"/>
    <n v="2601929.4"/>
    <n v="261602"/>
    <n v="2512363.636363636"/>
    <s v="카페24고체향수스테이포에버 2set200720"/>
  </r>
  <r>
    <x v="169"/>
    <s v="월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169"/>
    <s v="월"/>
    <m/>
    <s v="카페24"/>
    <m/>
    <n v="3"/>
    <s v="쇼핑백"/>
    <s v="유즈쇼핑백"/>
    <n v="200720"/>
    <m/>
    <n v="6000"/>
    <n v="5649"/>
    <n v="3630"/>
    <n v="5454.545454545454"/>
    <s v="카페24쇼핑백유즈쇼핑백200720"/>
  </r>
  <r>
    <x v="170"/>
    <s v="화"/>
    <m/>
    <s v="카페24"/>
    <m/>
    <n v="27"/>
    <s v="고체향수"/>
    <s v="이그나이트 + 스테이포에버"/>
    <n v="200720"/>
    <m/>
    <n v="1587600"/>
    <n v="1494725.4"/>
    <n v="153117"/>
    <n v="1443272.727272727"/>
    <s v="카페24고체향수이그나이트 + 스테이포에버200720"/>
  </r>
  <r>
    <x v="170"/>
    <s v="화"/>
    <m/>
    <s v="카페24"/>
    <m/>
    <n v="1"/>
    <s v="고체향수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70"/>
    <s v="화"/>
    <m/>
    <s v="카페24"/>
    <m/>
    <n v="250"/>
    <s v="고체향수"/>
    <s v="스테이포에버"/>
    <n v="200720"/>
    <m/>
    <n v="8500000"/>
    <n v="8002750"/>
    <n v="695750"/>
    <n v="7727272.727272727"/>
    <s v="카페24고체향수스테이포에버200720"/>
  </r>
  <r>
    <x v="170"/>
    <s v="화"/>
    <m/>
    <s v="카페24"/>
    <m/>
    <n v="68"/>
    <s v="고체향수"/>
    <s v="스테이포에버 2set"/>
    <n v="200720"/>
    <m/>
    <n v="3998400"/>
    <n v="3764493.6"/>
    <n v="378488"/>
    <n v="3634909.090909091"/>
    <s v="카페24고체향수스테이포에버 2set200720"/>
  </r>
  <r>
    <x v="170"/>
    <s v="화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170"/>
    <s v="화"/>
    <m/>
    <s v="카페24"/>
    <m/>
    <n v="12"/>
    <s v="쇼핑백"/>
    <s v="유즈쇼핑백"/>
    <n v="200720"/>
    <m/>
    <n v="24000"/>
    <n v="22596"/>
    <n v="14520"/>
    <n v="21818.18181818182"/>
    <s v="카페24쇼핑백유즈쇼핑백200720"/>
  </r>
  <r>
    <x v="171"/>
    <s v="수"/>
    <m/>
    <s v="카페24"/>
    <m/>
    <n v="35"/>
    <s v="고체향수"/>
    <s v="이그나이트 + 스테이포에버"/>
    <n v="200720"/>
    <m/>
    <n v="2058000"/>
    <n v="1937607"/>
    <n v="198485"/>
    <n v="1870909.090909091"/>
    <s v="카페24고체향수이그나이트 + 스테이포에버200720"/>
  </r>
  <r>
    <x v="171"/>
    <s v="수"/>
    <m/>
    <s v="카페24"/>
    <m/>
    <n v="294"/>
    <s v="고체향수"/>
    <s v="스테이포에버"/>
    <n v="200720"/>
    <m/>
    <n v="9996000"/>
    <n v="9411234"/>
    <n v="818202"/>
    <n v="9087272.727272727"/>
    <s v="카페24고체향수스테이포에버200720"/>
  </r>
  <r>
    <x v="171"/>
    <s v="수"/>
    <m/>
    <s v="카페24"/>
    <m/>
    <n v="83"/>
    <s v="고체향수"/>
    <s v="스테이포에버 2set"/>
    <n v="200720"/>
    <m/>
    <n v="4880400"/>
    <n v="4594896.6"/>
    <n v="461978"/>
    <n v="4436727.272727272"/>
    <s v="카페24고체향수스테이포에버 2set200720"/>
  </r>
  <r>
    <x v="171"/>
    <s v="수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171"/>
    <s v="수"/>
    <m/>
    <s v="카페24"/>
    <m/>
    <n v="7"/>
    <s v="쇼핑백"/>
    <s v="유즈쇼핑백"/>
    <n v="200720"/>
    <m/>
    <n v="14000"/>
    <n v="13181"/>
    <n v="8470"/>
    <n v="12727.27272727273"/>
    <s v="카페24쇼핑백유즈쇼핑백200720"/>
  </r>
  <r>
    <x v="172"/>
    <s v="목"/>
    <m/>
    <s v="카페24"/>
    <m/>
    <n v="22"/>
    <s v="고체향수"/>
    <s v="이그나이트 + 스테이포에버"/>
    <n v="200720"/>
    <m/>
    <n v="1293600"/>
    <n v="1217924.4"/>
    <n v="124762"/>
    <n v="1176000"/>
    <s v="카페24고체향수이그나이트 + 스테이포에버200720"/>
  </r>
  <r>
    <x v="172"/>
    <s v="목"/>
    <m/>
    <s v="카페24"/>
    <m/>
    <n v="264"/>
    <s v="고체향수"/>
    <s v="스테이포에버"/>
    <n v="200720"/>
    <m/>
    <n v="8976000"/>
    <n v="8450904"/>
    <n v="734712"/>
    <n v="8159999.999999999"/>
    <s v="카페24고체향수스테이포에버200720"/>
  </r>
  <r>
    <x v="172"/>
    <s v="목"/>
    <m/>
    <s v="카페24"/>
    <m/>
    <n v="75"/>
    <s v="고체향수"/>
    <s v="스테이포에버 2set"/>
    <n v="200720"/>
    <m/>
    <n v="4410000"/>
    <n v="4152015"/>
    <n v="417450"/>
    <n v="4009090.909090909"/>
    <s v="카페24고체향수스테이포에버 2set200720"/>
  </r>
  <r>
    <x v="172"/>
    <s v="목"/>
    <m/>
    <s v="카페24"/>
    <m/>
    <n v="3"/>
    <s v="고체향수"/>
    <s v="이그나이트"/>
    <n v="200720"/>
    <m/>
    <n v="102000"/>
    <n v="96033"/>
    <n v="8664"/>
    <n v="92727.27272727272"/>
    <s v="카페24고체향수이그나이트200720"/>
  </r>
  <r>
    <x v="172"/>
    <s v="목"/>
    <m/>
    <s v="카페24"/>
    <m/>
    <n v="8"/>
    <s v="쇼핑백"/>
    <s v="유즈쇼핑백"/>
    <n v="200720"/>
    <m/>
    <n v="16000"/>
    <n v="15064"/>
    <n v="9680"/>
    <n v="14545.45454545454"/>
    <s v="카페24쇼핑백유즈쇼핑백200720"/>
  </r>
  <r>
    <x v="172"/>
    <s v="목"/>
    <m/>
    <s v="유즈 CS"/>
    <m/>
    <n v="3"/>
    <s v="고체향수"/>
    <s v="이그나이트"/>
    <n v="200520"/>
    <m/>
    <n v="0"/>
    <n v="0"/>
    <n v="8664"/>
    <n v="0"/>
    <s v="유즈 CS고체향수이그나이트200520"/>
  </r>
  <r>
    <x v="173"/>
    <s v="금"/>
    <m/>
    <s v="유즈 CS"/>
    <m/>
    <n v="3"/>
    <s v="고체향수"/>
    <s v="스테이포에버"/>
    <n v="200520"/>
    <m/>
    <n v="0"/>
    <n v="0"/>
    <n v="8349"/>
    <n v="0"/>
    <s v="유즈 CS고체향수스테이포에버200520"/>
  </r>
  <r>
    <x v="173"/>
    <s v="금"/>
    <m/>
    <s v="카페24"/>
    <m/>
    <n v="20"/>
    <s v="고체향수"/>
    <s v="이그나이트 + 스테이포에버"/>
    <n v="200720"/>
    <m/>
    <n v="1176000"/>
    <n v="1107204"/>
    <n v="113420"/>
    <n v="1069090.909090909"/>
    <s v="카페24고체향수이그나이트 + 스테이포에버200720"/>
  </r>
  <r>
    <x v="173"/>
    <s v="금"/>
    <m/>
    <s v="카페24"/>
    <m/>
    <n v="1"/>
    <s v="고체향수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73"/>
    <s v="금"/>
    <m/>
    <s v="카페24"/>
    <m/>
    <n v="227"/>
    <s v="고체향수"/>
    <s v="스테이포에버"/>
    <n v="200720"/>
    <m/>
    <n v="7718000"/>
    <n v="7266497"/>
    <n v="631741"/>
    <n v="7016363.636363636"/>
    <s v="카페24고체향수스테이포에버200720"/>
  </r>
  <r>
    <x v="173"/>
    <s v="금"/>
    <m/>
    <s v="카페24"/>
    <m/>
    <n v="83"/>
    <s v="고체향수"/>
    <s v="스테이포에버 2set"/>
    <n v="200720"/>
    <m/>
    <n v="4880400"/>
    <n v="4594896.6"/>
    <n v="461978"/>
    <n v="4436727.272727272"/>
    <s v="카페24고체향수스테이포에버 2set200720"/>
  </r>
  <r>
    <x v="173"/>
    <s v="금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173"/>
    <s v="금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173"/>
    <s v="금"/>
    <m/>
    <s v="카페24"/>
    <m/>
    <n v="1"/>
    <s v="쇼핑백"/>
    <s v="유즈쇼핑백"/>
    <n v="200720"/>
    <m/>
    <n v="2000"/>
    <n v="1883"/>
    <n v="1210"/>
    <n v="1818.181818181818"/>
    <s v="카페24쇼핑백유즈쇼핑백200720"/>
  </r>
  <r>
    <x v="174"/>
    <s v="토"/>
    <m/>
    <s v="카페24"/>
    <m/>
    <n v="28"/>
    <s v="고체향수"/>
    <s v="이그나이트 + 스테이포에버"/>
    <n v="200720"/>
    <m/>
    <n v="1646400"/>
    <n v="1550085.6"/>
    <n v="158788"/>
    <n v="1496727.272727273"/>
    <s v="카페24고체향수이그나이트 + 스테이포에버200720"/>
  </r>
  <r>
    <x v="174"/>
    <s v="토"/>
    <m/>
    <s v="카페24"/>
    <m/>
    <n v="293"/>
    <s v="고체향수"/>
    <s v="스테이포에버"/>
    <n v="200720"/>
    <m/>
    <n v="9962000"/>
    <n v="9379223"/>
    <n v="815419"/>
    <n v="9056363.636363635"/>
    <s v="카페24고체향수스테이포에버200720"/>
  </r>
  <r>
    <x v="174"/>
    <s v="토"/>
    <m/>
    <s v="카페24"/>
    <m/>
    <n v="81"/>
    <s v="고체향수"/>
    <s v="스테이포에버 2set"/>
    <n v="200720"/>
    <m/>
    <n v="4762800"/>
    <n v="4484176.2"/>
    <n v="450846"/>
    <n v="4329818.181818182"/>
    <s v="카페24고체향수스테이포에버 2set200720"/>
  </r>
  <r>
    <x v="174"/>
    <s v="토"/>
    <m/>
    <s v="카페24"/>
    <m/>
    <n v="10"/>
    <s v="고체향수"/>
    <s v="이그나이트"/>
    <n v="200720"/>
    <m/>
    <n v="340000"/>
    <n v="320110"/>
    <n v="28880"/>
    <n v="309090.9090909091"/>
    <s v="카페24고체향수이그나이트200720"/>
  </r>
  <r>
    <x v="174"/>
    <s v="토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174"/>
    <s v="토"/>
    <m/>
    <s v="카페24"/>
    <m/>
    <n v="10"/>
    <s v="쇼핑백"/>
    <s v="유즈쇼핑백"/>
    <n v="200720"/>
    <m/>
    <n v="20000"/>
    <n v="18830"/>
    <n v="12100"/>
    <n v="18181.81818181818"/>
    <s v="카페24쇼핑백유즈쇼핑백200720"/>
  </r>
  <r>
    <x v="175"/>
    <s v="일"/>
    <m/>
    <s v="카페24"/>
    <m/>
    <n v="18"/>
    <s v="고체향수"/>
    <s v="이그나이트 + 스테이포에버"/>
    <n v="200720"/>
    <m/>
    <n v="1058400"/>
    <n v="996483.6"/>
    <n v="102078"/>
    <n v="962181.8181818181"/>
    <s v="카페24고체향수이그나이트 + 스테이포에버200720"/>
  </r>
  <r>
    <x v="175"/>
    <s v="일"/>
    <m/>
    <s v="카페24"/>
    <m/>
    <n v="1"/>
    <s v="고체향수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75"/>
    <s v="일"/>
    <m/>
    <s v="카페24"/>
    <m/>
    <n v="211"/>
    <s v="고체향수"/>
    <s v="스테이포에버"/>
    <n v="200720"/>
    <m/>
    <n v="7174000"/>
    <n v="6754321"/>
    <n v="587213"/>
    <n v="6521818.181818182"/>
    <s v="카페24고체향수스테이포에버200720"/>
  </r>
  <r>
    <x v="175"/>
    <s v="일"/>
    <m/>
    <s v="카페24"/>
    <m/>
    <n v="52"/>
    <s v="고체향수"/>
    <s v="스테이포에버 2set"/>
    <n v="200720"/>
    <m/>
    <n v="3057600"/>
    <n v="2878730.4"/>
    <n v="289432"/>
    <n v="2779636.363636363"/>
    <s v="카페24고체향수스테이포에버 2set200720"/>
  </r>
  <r>
    <x v="175"/>
    <s v="일"/>
    <m/>
    <s v="카페24"/>
    <m/>
    <n v="6"/>
    <s v="고체향수"/>
    <s v="이그나이트"/>
    <n v="200720"/>
    <m/>
    <n v="204000"/>
    <n v="192066"/>
    <n v="17328"/>
    <n v="185454.5454545454"/>
    <s v="카페24고체향수이그나이트200720"/>
  </r>
  <r>
    <x v="175"/>
    <s v="일"/>
    <m/>
    <s v="카페24"/>
    <m/>
    <n v="6"/>
    <s v="쇼핑백"/>
    <s v="유즈쇼핑백"/>
    <n v="200720"/>
    <m/>
    <n v="12000"/>
    <n v="11298"/>
    <n v="7260"/>
    <n v="10909.09090909091"/>
    <s v="카페24쇼핑백유즈쇼핑백200720"/>
  </r>
  <r>
    <x v="176"/>
    <s v="월"/>
    <m/>
    <s v="유즈 CS"/>
    <m/>
    <n v="1"/>
    <s v="고체향수"/>
    <s v="스테이포에버"/>
    <n v="200520"/>
    <m/>
    <n v="0"/>
    <n v="0"/>
    <n v="2783"/>
    <n v="0"/>
    <s v="유즈 CS고체향수스테이포에버200520"/>
  </r>
  <r>
    <x v="176"/>
    <s v="월"/>
    <m/>
    <s v="카페24"/>
    <m/>
    <n v="18"/>
    <s v="고체향수"/>
    <s v="이그나이트 + 스테이포에버"/>
    <n v="200720"/>
    <m/>
    <n v="1058400"/>
    <n v="996483.6"/>
    <n v="102078"/>
    <n v="962181.8181818181"/>
    <s v="카페24고체향수이그나이트 + 스테이포에버200720"/>
  </r>
  <r>
    <x v="176"/>
    <s v="월"/>
    <m/>
    <s v="카페24"/>
    <m/>
    <n v="152"/>
    <s v="고체향수"/>
    <s v="스테이포에버"/>
    <n v="200720"/>
    <m/>
    <n v="5168000"/>
    <n v="4865672"/>
    <n v="423016"/>
    <n v="4698181.818181817"/>
    <s v="카페24고체향수스테이포에버200720"/>
  </r>
  <r>
    <x v="176"/>
    <s v="월"/>
    <m/>
    <s v="카페24"/>
    <m/>
    <n v="56"/>
    <s v="고체향수"/>
    <s v="스테이포에버 2set"/>
    <n v="200720"/>
    <m/>
    <n v="3292800"/>
    <n v="3100171.2"/>
    <n v="311696"/>
    <n v="2993454.545454545"/>
    <s v="카페24고체향수스테이포에버 2set200720"/>
  </r>
  <r>
    <x v="176"/>
    <s v="월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176"/>
    <s v="월"/>
    <m/>
    <s v="카페24"/>
    <m/>
    <n v="4"/>
    <s v="고체향수"/>
    <s v="이그나이트 2set"/>
    <n v="200720"/>
    <m/>
    <n v="235200"/>
    <n v="221440.8"/>
    <n v="23104"/>
    <n v="213818.1818181818"/>
    <s v="카페24고체향수이그나이트 2set200720"/>
  </r>
  <r>
    <x v="176"/>
    <s v="월"/>
    <m/>
    <s v="카페24"/>
    <m/>
    <n v="7"/>
    <s v="쇼핑백"/>
    <s v="유즈쇼핑백"/>
    <n v="200720"/>
    <m/>
    <n v="14000"/>
    <n v="13181"/>
    <n v="8470"/>
    <n v="12727.27272727273"/>
    <s v="카페24쇼핑백유즈쇼핑백200720"/>
  </r>
  <r>
    <x v="177"/>
    <s v="화"/>
    <m/>
    <s v="카페24"/>
    <m/>
    <n v="20"/>
    <s v="고체향수"/>
    <s v="이그나이트 + 스테이포에버"/>
    <n v="200720"/>
    <m/>
    <n v="1176000"/>
    <n v="1107204"/>
    <n v="113420"/>
    <n v="1069090.909090909"/>
    <s v="카페24고체향수이그나이트 + 스테이포에버200720"/>
  </r>
  <r>
    <x v="177"/>
    <s v="화"/>
    <m/>
    <s v="카페24"/>
    <m/>
    <n v="1"/>
    <s v="고체향수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77"/>
    <s v="화"/>
    <m/>
    <s v="카페24"/>
    <m/>
    <n v="198"/>
    <s v="고체향수"/>
    <s v="스테이포에버"/>
    <n v="200720"/>
    <m/>
    <n v="6732000"/>
    <n v="6338178"/>
    <n v="551034"/>
    <n v="6119999.999999999"/>
    <s v="카페24고체향수스테이포에버200720"/>
  </r>
  <r>
    <x v="177"/>
    <s v="화"/>
    <m/>
    <s v="카페24"/>
    <m/>
    <n v="82"/>
    <s v="고체향수"/>
    <s v="스테이포에버 2set"/>
    <n v="200720"/>
    <m/>
    <n v="4821600"/>
    <n v="4539536.4"/>
    <n v="456412"/>
    <n v="4383272.727272727"/>
    <s v="카페24고체향수스테이포에버 2set200720"/>
  </r>
  <r>
    <x v="177"/>
    <s v="화"/>
    <m/>
    <s v="카페24"/>
    <m/>
    <n v="5"/>
    <s v="고체향수"/>
    <s v="이그나이트"/>
    <n v="200720"/>
    <m/>
    <n v="170000"/>
    <n v="160055"/>
    <n v="14440"/>
    <n v="154545.4545454545"/>
    <s v="카페24고체향수이그나이트200720"/>
  </r>
  <r>
    <x v="177"/>
    <s v="화"/>
    <m/>
    <s v="카페24"/>
    <m/>
    <n v="6"/>
    <s v="쇼핑백"/>
    <s v="유즈쇼핑백"/>
    <n v="200720"/>
    <m/>
    <n v="12000"/>
    <n v="11298"/>
    <n v="7260"/>
    <n v="10909.09090909091"/>
    <s v="카페24쇼핑백유즈쇼핑백200720"/>
  </r>
  <r>
    <x v="178"/>
    <s v="수"/>
    <m/>
    <s v="카페24"/>
    <m/>
    <n v="15"/>
    <s v="고체향수"/>
    <s v="이그나이트 + 스테이포에버"/>
    <n v="200720"/>
    <m/>
    <n v="882000"/>
    <n v="830403"/>
    <n v="85065"/>
    <n v="801818.1818181818"/>
    <s v="카페24고체향수이그나이트 + 스테이포에버200720"/>
  </r>
  <r>
    <x v="178"/>
    <s v="수"/>
    <m/>
    <s v="카페24"/>
    <m/>
    <n v="1"/>
    <s v="고체향수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78"/>
    <s v="수"/>
    <m/>
    <s v="카페24"/>
    <m/>
    <n v="161"/>
    <s v="고체향수"/>
    <s v="스테이포에버"/>
    <n v="200720"/>
    <m/>
    <n v="5474000"/>
    <n v="5153771"/>
    <n v="448063"/>
    <n v="4976363.636363636"/>
    <s v="카페24고체향수스테이포에버200720"/>
  </r>
  <r>
    <x v="178"/>
    <s v="수"/>
    <m/>
    <s v="카페24"/>
    <m/>
    <n v="76"/>
    <s v="고체향수"/>
    <s v="스테이포에버 2set"/>
    <n v="200720"/>
    <m/>
    <n v="4468800"/>
    <n v="4207375.2"/>
    <n v="423016"/>
    <n v="4062545.454545454"/>
    <s v="카페24고체향수스테이포에버 2set200720"/>
  </r>
  <r>
    <x v="178"/>
    <s v="수"/>
    <m/>
    <s v="카페24"/>
    <m/>
    <n v="6"/>
    <s v="고체향수"/>
    <s v="이그나이트"/>
    <n v="200720"/>
    <m/>
    <n v="204000"/>
    <n v="192066"/>
    <n v="17328"/>
    <n v="185454.5454545454"/>
    <s v="카페24고체향수이그나이트200720"/>
  </r>
  <r>
    <x v="178"/>
    <s v="수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178"/>
    <s v="수"/>
    <m/>
    <s v="카페24"/>
    <m/>
    <n v="6"/>
    <s v="쇼핑백"/>
    <s v="유즈쇼핑백"/>
    <n v="200720"/>
    <m/>
    <n v="12000"/>
    <n v="11298"/>
    <n v="7260"/>
    <n v="10909.09090909091"/>
    <s v="카페24쇼핑백유즈쇼핑백200720"/>
  </r>
  <r>
    <x v="179"/>
    <s v="목"/>
    <m/>
    <s v="카페24"/>
    <m/>
    <n v="18"/>
    <s v="고체향수"/>
    <s v="이그나이트 + 스테이포에버"/>
    <n v="200720"/>
    <m/>
    <n v="1058400"/>
    <n v="996483.6"/>
    <n v="102078"/>
    <n v="962181.8181818181"/>
    <s v="카페24고체향수이그나이트 + 스테이포에버200720"/>
  </r>
  <r>
    <x v="179"/>
    <s v="목"/>
    <m/>
    <s v="카페24"/>
    <m/>
    <n v="1"/>
    <s v="고체향수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79"/>
    <s v="목"/>
    <m/>
    <s v="카페24"/>
    <m/>
    <n v="175"/>
    <s v="고체향수"/>
    <s v="스테이포에버"/>
    <n v="200720"/>
    <m/>
    <n v="5950000"/>
    <n v="5601925"/>
    <n v="487025"/>
    <n v="5409090.909090908"/>
    <s v="카페24고체향수스테이포에버200720"/>
  </r>
  <r>
    <x v="179"/>
    <s v="목"/>
    <m/>
    <s v="카페24"/>
    <m/>
    <n v="69"/>
    <s v="고체향수"/>
    <s v="스테이포에버 2set"/>
    <n v="200720"/>
    <m/>
    <n v="4057200"/>
    <n v="3819853.8"/>
    <n v="384054"/>
    <n v="3688363.636363636"/>
    <s v="카페24고체향수스테이포에버 2set200720"/>
  </r>
  <r>
    <x v="179"/>
    <s v="목"/>
    <m/>
    <s v="카페24"/>
    <m/>
    <n v="3"/>
    <s v="고체향수"/>
    <s v="이그나이트"/>
    <n v="200720"/>
    <m/>
    <n v="102000"/>
    <n v="96033"/>
    <n v="8664"/>
    <n v="92727.27272727272"/>
    <s v="카페24고체향수이그나이트200720"/>
  </r>
  <r>
    <x v="179"/>
    <s v="목"/>
    <m/>
    <s v="카페24"/>
    <m/>
    <n v="6"/>
    <s v="쇼핑백"/>
    <s v="유즈쇼핑백"/>
    <n v="200720"/>
    <m/>
    <n v="12000"/>
    <n v="11298"/>
    <n v="7260"/>
    <n v="10909.09090909091"/>
    <s v="카페24쇼핑백유즈쇼핑백200720"/>
  </r>
  <r>
    <x v="180"/>
    <s v="금"/>
    <m/>
    <s v="카페24"/>
    <m/>
    <n v="15"/>
    <s v="고체향수"/>
    <s v="이그나이트 + 스테이포에버"/>
    <n v="200720"/>
    <m/>
    <n v="882000"/>
    <n v="830403"/>
    <n v="85065"/>
    <n v="801818.1818181818"/>
    <s v="카페24고체향수이그나이트 + 스테이포에버200720"/>
  </r>
  <r>
    <x v="180"/>
    <s v="금"/>
    <m/>
    <s v="카페24"/>
    <m/>
    <n v="1"/>
    <s v="고체향수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80"/>
    <s v="금"/>
    <m/>
    <s v="카페24"/>
    <m/>
    <n v="168"/>
    <s v="고체향수"/>
    <s v="스테이포에버"/>
    <n v="200720"/>
    <m/>
    <n v="5712000"/>
    <n v="5377848"/>
    <n v="467544"/>
    <n v="5192727.272727272"/>
    <s v="카페24고체향수스테이포에버200720"/>
  </r>
  <r>
    <x v="180"/>
    <s v="금"/>
    <m/>
    <s v="카페24"/>
    <m/>
    <n v="87"/>
    <s v="고체향수"/>
    <s v="스테이포에버 2set"/>
    <n v="200720"/>
    <m/>
    <n v="5115600"/>
    <n v="4816337.4"/>
    <n v="484242"/>
    <n v="4650545.454545454"/>
    <s v="카페24고체향수스테이포에버 2set200720"/>
  </r>
  <r>
    <x v="180"/>
    <s v="금"/>
    <m/>
    <s v="카페24"/>
    <m/>
    <n v="3"/>
    <s v="고체향수"/>
    <s v="이그나이트 2set"/>
    <n v="200720"/>
    <m/>
    <n v="176400"/>
    <n v="166080.6"/>
    <n v="17328"/>
    <n v="160363.6363636364"/>
    <s v="카페24고체향수이그나이트 2set200720"/>
  </r>
  <r>
    <x v="180"/>
    <s v="금"/>
    <m/>
    <s v="카페24"/>
    <m/>
    <n v="9"/>
    <s v="쇼핑백"/>
    <s v="유즈쇼핑백"/>
    <n v="200720"/>
    <m/>
    <n v="18000"/>
    <n v="16947"/>
    <n v="10890"/>
    <n v="16363.63636363636"/>
    <s v="카페24쇼핑백유즈쇼핑백200720"/>
  </r>
  <r>
    <x v="181"/>
    <s v="토"/>
    <m/>
    <s v="카페24"/>
    <m/>
    <n v="15"/>
    <s v="고체향수"/>
    <s v="이그나이트 + 스테이포에버"/>
    <n v="200720"/>
    <m/>
    <n v="882000"/>
    <n v="830403"/>
    <n v="85065"/>
    <n v="801818.1818181818"/>
    <s v="카페24고체향수이그나이트 + 스테이포에버200720"/>
  </r>
  <r>
    <x v="181"/>
    <s v="토"/>
    <m/>
    <s v="카페24"/>
    <m/>
    <n v="1"/>
    <s v="고체향수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81"/>
    <s v="토"/>
    <m/>
    <s v="카페24"/>
    <m/>
    <n v="210"/>
    <s v="고체향수"/>
    <s v="스테이포에버"/>
    <n v="200720"/>
    <m/>
    <n v="7140000"/>
    <n v="6722310"/>
    <n v="584430"/>
    <n v="6490909.090909091"/>
    <s v="카페24고체향수스테이포에버200720"/>
  </r>
  <r>
    <x v="181"/>
    <s v="토"/>
    <m/>
    <s v="카페24"/>
    <m/>
    <n v="96"/>
    <s v="고체향수"/>
    <s v="스테이포에버 2set"/>
    <n v="200720"/>
    <m/>
    <n v="5644800"/>
    <n v="5314579.2"/>
    <n v="534336"/>
    <n v="5131636.363636363"/>
    <s v="카페24고체향수스테이포에버 2set200720"/>
  </r>
  <r>
    <x v="181"/>
    <s v="토"/>
    <m/>
    <s v="카페24"/>
    <m/>
    <n v="3"/>
    <s v="고체향수"/>
    <s v="이그나이트"/>
    <n v="200720"/>
    <m/>
    <n v="102000"/>
    <n v="96033"/>
    <n v="8664"/>
    <n v="92727.27272727272"/>
    <s v="카페24고체향수이그나이트200720"/>
  </r>
  <r>
    <x v="181"/>
    <s v="토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181"/>
    <s v="토"/>
    <m/>
    <s v="카페24"/>
    <m/>
    <n v="5"/>
    <s v="쇼핑백"/>
    <s v="유즈쇼핑백"/>
    <n v="200720"/>
    <m/>
    <n v="10000"/>
    <n v="9415"/>
    <n v="6050"/>
    <n v="9090.90909090909"/>
    <s v="카페24쇼핑백유즈쇼핑백200720"/>
  </r>
  <r>
    <x v="182"/>
    <s v="일"/>
    <m/>
    <s v="카페24"/>
    <m/>
    <n v="24"/>
    <s v="고체향수"/>
    <s v="이그나이트 + 스테이포에버"/>
    <n v="200720"/>
    <m/>
    <n v="1411200"/>
    <n v="1328644.8"/>
    <n v="136104"/>
    <n v="1282909.090909091"/>
    <s v="카페24고체향수이그나이트 + 스테이포에버200720"/>
  </r>
  <r>
    <x v="182"/>
    <s v="일"/>
    <m/>
    <s v="카페24"/>
    <m/>
    <n v="196"/>
    <s v="고체향수"/>
    <s v="스테이포에버"/>
    <n v="200720"/>
    <m/>
    <n v="6664000"/>
    <n v="6274156"/>
    <n v="545468"/>
    <n v="6058181.818181817"/>
    <s v="카페24고체향수스테이포에버200720"/>
  </r>
  <r>
    <x v="182"/>
    <s v="일"/>
    <m/>
    <s v="카페24"/>
    <m/>
    <n v="99"/>
    <s v="고체향수"/>
    <s v="스테이포에버 2set"/>
    <n v="200720"/>
    <m/>
    <n v="5821200"/>
    <n v="5480659.8"/>
    <n v="551034"/>
    <n v="5292000"/>
    <s v="카페24고체향수스테이포에버 2set200720"/>
  </r>
  <r>
    <x v="182"/>
    <s v="일"/>
    <m/>
    <s v="카페24"/>
    <m/>
    <n v="7"/>
    <s v="고체향수"/>
    <s v="이그나이트"/>
    <n v="200720"/>
    <m/>
    <n v="238000"/>
    <n v="224077"/>
    <n v="20216"/>
    <n v="216363.6363636364"/>
    <s v="카페24고체향수이그나이트200720"/>
  </r>
  <r>
    <x v="182"/>
    <s v="일"/>
    <m/>
    <s v="카페24"/>
    <m/>
    <n v="7"/>
    <s v="쇼핑백"/>
    <s v="유즈쇼핑백"/>
    <n v="200720"/>
    <m/>
    <n v="14000"/>
    <n v="13181"/>
    <n v="8470"/>
    <n v="12727.27272727273"/>
    <s v="카페24쇼핑백유즈쇼핑백200720"/>
  </r>
  <r>
    <x v="183"/>
    <s v="월"/>
    <m/>
    <s v="카페24"/>
    <m/>
    <n v="12"/>
    <s v="고체향수"/>
    <s v="이그나이트 + 스테이포에버"/>
    <n v="200720"/>
    <m/>
    <n v="705600"/>
    <n v="664322.4"/>
    <n v="68052"/>
    <n v="641454.5454545454"/>
    <s v="카페24고체향수이그나이트 + 스테이포에버200720"/>
  </r>
  <r>
    <x v="183"/>
    <s v="월"/>
    <m/>
    <s v="카페24"/>
    <m/>
    <n v="128"/>
    <s v="고체향수"/>
    <s v="스테이포에버"/>
    <n v="200720"/>
    <m/>
    <n v="4352000"/>
    <n v="4097408"/>
    <n v="356224"/>
    <n v="3956363.636363636"/>
    <s v="카페24고체향수스테이포에버200720"/>
  </r>
  <r>
    <x v="183"/>
    <s v="월"/>
    <m/>
    <s v="카페24"/>
    <m/>
    <n v="62"/>
    <s v="고체향수"/>
    <s v="스테이포에버 2set"/>
    <n v="200720"/>
    <m/>
    <n v="3645600"/>
    <n v="3432332.4"/>
    <n v="345092"/>
    <n v="3314181.818181818"/>
    <s v="카페24고체향수스테이포에버 2set200720"/>
  </r>
  <r>
    <x v="183"/>
    <s v="월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183"/>
    <s v="월"/>
    <m/>
    <s v="카페24"/>
    <m/>
    <n v="4"/>
    <s v="쇼핑백"/>
    <s v="유즈쇼핑백"/>
    <n v="200720"/>
    <m/>
    <n v="8000"/>
    <n v="7532"/>
    <n v="4840"/>
    <n v="7272.727272727272"/>
    <s v="카페24쇼핑백유즈쇼핑백200720"/>
  </r>
  <r>
    <x v="184"/>
    <s v="화"/>
    <m/>
    <s v="카페24"/>
    <m/>
    <n v="11"/>
    <s v="고체향수"/>
    <s v="이그나이트 + 스테이포에버"/>
    <n v="200720"/>
    <m/>
    <n v="646800"/>
    <n v="608962.2"/>
    <n v="62381"/>
    <n v="588000"/>
    <s v="카페24고체향수이그나이트 + 스테이포에버200720"/>
  </r>
  <r>
    <x v="184"/>
    <s v="화"/>
    <m/>
    <s v="카페24"/>
    <m/>
    <n v="140"/>
    <s v="고체향수"/>
    <s v="스테이포에버"/>
    <n v="200720"/>
    <m/>
    <n v="4760000"/>
    <n v="4481540"/>
    <n v="389620"/>
    <n v="4327272.727272727"/>
    <s v="카페24고체향수스테이포에버200720"/>
  </r>
  <r>
    <x v="184"/>
    <s v="화"/>
    <m/>
    <s v="카페24"/>
    <m/>
    <n v="48"/>
    <s v="고체향수"/>
    <s v="스테이포에버 2set"/>
    <n v="200720"/>
    <m/>
    <n v="2822400"/>
    <n v="2657289.6"/>
    <n v="267168"/>
    <n v="2565818.181818182"/>
    <s v="카페24고체향수스테이포에버 2set200720"/>
  </r>
  <r>
    <x v="184"/>
    <s v="화"/>
    <m/>
    <s v="카페24"/>
    <m/>
    <n v="6"/>
    <s v="고체향수"/>
    <s v="이그나이트"/>
    <n v="200720"/>
    <m/>
    <n v="204000"/>
    <n v="192066"/>
    <n v="17328"/>
    <n v="185454.5454545454"/>
    <s v="카페24고체향수이그나이트200720"/>
  </r>
  <r>
    <x v="184"/>
    <s v="화"/>
    <m/>
    <s v="카페24"/>
    <m/>
    <n v="3"/>
    <s v="쇼핑백"/>
    <s v="유즈쇼핑백"/>
    <n v="200720"/>
    <m/>
    <n v="6000"/>
    <n v="5649"/>
    <n v="3630"/>
    <n v="5454.545454545454"/>
    <s v="카페24쇼핑백유즈쇼핑백200720"/>
  </r>
  <r>
    <x v="185"/>
    <s v="수"/>
    <m/>
    <s v="카페24"/>
    <m/>
    <n v="21"/>
    <s v="고체향수"/>
    <s v="이그나이트 + 스테이포에버"/>
    <n v="200720"/>
    <m/>
    <n v="1234800"/>
    <n v="1162564.2"/>
    <n v="119091"/>
    <n v="1122545.454545454"/>
    <s v="카페24고체향수이그나이트 + 스테이포에버200720"/>
  </r>
  <r>
    <x v="185"/>
    <s v="수"/>
    <m/>
    <s v="카페24"/>
    <m/>
    <n v="119"/>
    <s v="고체향수"/>
    <s v="스테이포에버"/>
    <n v="200720"/>
    <m/>
    <n v="4046000"/>
    <n v="3809309"/>
    <n v="331177"/>
    <n v="3678181.818181818"/>
    <s v="카페24고체향수스테이포에버200720"/>
  </r>
  <r>
    <x v="185"/>
    <s v="수"/>
    <m/>
    <s v="카페24"/>
    <m/>
    <n v="51"/>
    <s v="고체향수"/>
    <s v="스테이포에버 2set"/>
    <n v="200720"/>
    <m/>
    <n v="2998800"/>
    <n v="2823370.2"/>
    <n v="283866"/>
    <n v="2726181.818181818"/>
    <s v="카페24고체향수스테이포에버 2set200720"/>
  </r>
  <r>
    <x v="185"/>
    <s v="수"/>
    <m/>
    <s v="카페24"/>
    <m/>
    <n v="3"/>
    <s v="고체향수"/>
    <s v="이그나이트"/>
    <n v="200720"/>
    <m/>
    <n v="102000"/>
    <n v="96033"/>
    <n v="8664"/>
    <n v="92727.27272727272"/>
    <s v="카페24고체향수이그나이트200720"/>
  </r>
  <r>
    <x v="185"/>
    <s v="수"/>
    <m/>
    <s v="카페24"/>
    <m/>
    <n v="1"/>
    <s v="쇼핑백"/>
    <s v="유즈쇼핑백"/>
    <n v="200720"/>
    <m/>
    <n v="2000"/>
    <n v="1883"/>
    <n v="1210"/>
    <n v="1818.181818181818"/>
    <s v="카페24쇼핑백유즈쇼핑백200720"/>
  </r>
  <r>
    <x v="186"/>
    <s v="목"/>
    <m/>
    <s v="카페24"/>
    <m/>
    <n v="11"/>
    <s v="고체향수"/>
    <s v="이그나이트 + 스테이포에버"/>
    <n v="200720"/>
    <m/>
    <n v="646800"/>
    <n v="608962.2"/>
    <n v="62381"/>
    <n v="588000"/>
    <s v="카페24고체향수이그나이트 + 스테이포에버200720"/>
  </r>
  <r>
    <x v="186"/>
    <s v="목"/>
    <m/>
    <s v="카페24"/>
    <m/>
    <n v="138"/>
    <s v="고체향수"/>
    <s v="스테이포에버"/>
    <n v="200720"/>
    <m/>
    <n v="4692000"/>
    <n v="4417518"/>
    <n v="384054"/>
    <n v="4265454.545454545"/>
    <s v="카페24고체향수스테이포에버200720"/>
  </r>
  <r>
    <x v="186"/>
    <s v="목"/>
    <m/>
    <s v="카페24"/>
    <m/>
    <n v="43"/>
    <s v="고체향수"/>
    <s v="스테이포에버 2set"/>
    <n v="200720"/>
    <m/>
    <n v="2528400"/>
    <n v="2380488.6"/>
    <n v="239338"/>
    <n v="2298545.454545455"/>
    <s v="카페24고체향수스테이포에버 2set200720"/>
  </r>
  <r>
    <x v="186"/>
    <s v="목"/>
    <m/>
    <s v="카페24"/>
    <m/>
    <n v="2"/>
    <s v="고체향수"/>
    <s v="이그나이트"/>
    <n v="200720"/>
    <m/>
    <n v="68000"/>
    <n v="64022"/>
    <n v="5776"/>
    <n v="61818.18181818182"/>
    <s v="카페24고체향수이그나이트200720"/>
  </r>
  <r>
    <x v="186"/>
    <s v="목"/>
    <m/>
    <s v="카페24"/>
    <m/>
    <n v="6"/>
    <s v="쇼핑백"/>
    <s v="유즈쇼핑백"/>
    <n v="200720"/>
    <m/>
    <n v="12000"/>
    <n v="11298"/>
    <n v="7260"/>
    <n v="10909.09090909091"/>
    <s v="카페24쇼핑백유즈쇼핑백200720"/>
  </r>
  <r>
    <x v="187"/>
    <s v="금"/>
    <m/>
    <s v="카페24"/>
    <m/>
    <n v="11"/>
    <s v="고체향수"/>
    <s v="이그나이트 + 스테이포에버"/>
    <n v="200720"/>
    <m/>
    <n v="646800"/>
    <n v="608962.2"/>
    <n v="62381"/>
    <n v="588000"/>
    <s v="카페24고체향수이그나이트 + 스테이포에버200720"/>
  </r>
  <r>
    <x v="187"/>
    <s v="금"/>
    <m/>
    <s v="카페24"/>
    <m/>
    <n v="2"/>
    <s v="고체향수"/>
    <s v="이그나이트 + 스테이포에버 2set"/>
    <n v="200720"/>
    <m/>
    <n v="189600"/>
    <n v="178508.4"/>
    <n v="22684"/>
    <n v="172363.6363636364"/>
    <s v="카페24고체향수이그나이트 + 스테이포에버 2set200720"/>
  </r>
  <r>
    <x v="187"/>
    <s v="금"/>
    <m/>
    <s v="카페24"/>
    <m/>
    <n v="140"/>
    <s v="고체향수"/>
    <s v="스테이포에버"/>
    <n v="200720"/>
    <m/>
    <n v="4760000"/>
    <n v="4481540"/>
    <n v="389620"/>
    <n v="4327272.727272727"/>
    <s v="카페24고체향수스테이포에버200720"/>
  </r>
  <r>
    <x v="187"/>
    <s v="금"/>
    <m/>
    <s v="카페24"/>
    <m/>
    <n v="54"/>
    <s v="고체향수"/>
    <s v="스테이포에버 2set"/>
    <n v="200720"/>
    <m/>
    <n v="3175200"/>
    <n v="2989450.8"/>
    <n v="300564"/>
    <n v="2886545.454545454"/>
    <s v="카페24고체향수스테이포에버 2set200720"/>
  </r>
  <r>
    <x v="187"/>
    <s v="금"/>
    <m/>
    <s v="카페24"/>
    <m/>
    <n v="2"/>
    <s v="고체향수"/>
    <s v="이그나이트"/>
    <n v="200720"/>
    <m/>
    <n v="68000"/>
    <n v="64022"/>
    <n v="5776"/>
    <n v="61818.18181818182"/>
    <s v="카페24고체향수이그나이트200720"/>
  </r>
  <r>
    <x v="187"/>
    <s v="금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187"/>
    <s v="금"/>
    <m/>
    <s v="카페24"/>
    <m/>
    <n v="7"/>
    <s v="쇼핑백"/>
    <s v="유즈쇼핑백"/>
    <n v="200720"/>
    <m/>
    <n v="14000"/>
    <n v="13181"/>
    <n v="8470"/>
    <n v="12727.27272727273"/>
    <s v="카페24쇼핑백유즈쇼핑백200720"/>
  </r>
  <r>
    <x v="188"/>
    <s v="토"/>
    <m/>
    <s v="카페24"/>
    <m/>
    <n v="13"/>
    <s v="고체향수"/>
    <s v="이그나이트 + 스테이포에버"/>
    <n v="200720"/>
    <m/>
    <n v="764400"/>
    <n v="719682.6"/>
    <n v="73723"/>
    <n v="694909.0909090908"/>
    <s v="카페24고체향수이그나이트 + 스테이포에버200720"/>
  </r>
  <r>
    <x v="188"/>
    <s v="토"/>
    <m/>
    <s v="카페24"/>
    <m/>
    <n v="150"/>
    <s v="고체향수"/>
    <s v="스테이포에버"/>
    <n v="200720"/>
    <m/>
    <n v="5100000"/>
    <n v="4801650"/>
    <n v="417450"/>
    <n v="4636363.636363636"/>
    <s v="카페24고체향수스테이포에버200720"/>
  </r>
  <r>
    <x v="188"/>
    <s v="토"/>
    <m/>
    <s v="카페24"/>
    <m/>
    <n v="74"/>
    <s v="고체향수"/>
    <s v="스테이포에버 2set"/>
    <n v="200720"/>
    <m/>
    <n v="4351200"/>
    <n v="4096654.8"/>
    <n v="411884"/>
    <n v="3955636.363636363"/>
    <s v="카페24고체향수스테이포에버 2set200720"/>
  </r>
  <r>
    <x v="188"/>
    <s v="토"/>
    <m/>
    <s v="카페24"/>
    <m/>
    <n v="2"/>
    <s v="고체향수"/>
    <s v="이그나이트 2set"/>
    <n v="200720"/>
    <m/>
    <n v="117600"/>
    <n v="110720.4"/>
    <n v="11552"/>
    <n v="106909.0909090909"/>
    <s v="카페24고체향수이그나이트 2set200720"/>
  </r>
  <r>
    <x v="188"/>
    <s v="토"/>
    <m/>
    <s v="카페24"/>
    <m/>
    <n v="9"/>
    <s v="쇼핑백"/>
    <s v="유즈쇼핑백"/>
    <n v="200720"/>
    <m/>
    <n v="18000"/>
    <n v="16947"/>
    <n v="10890"/>
    <n v="16363.63636363636"/>
    <s v="카페24쇼핑백유즈쇼핑백200720"/>
  </r>
  <r>
    <x v="189"/>
    <s v="일"/>
    <m/>
    <s v="카페24"/>
    <m/>
    <n v="20"/>
    <s v="고체향수"/>
    <s v="이그나이트 + 스테이포에버"/>
    <n v="200720"/>
    <m/>
    <n v="1176000"/>
    <n v="1107204"/>
    <n v="113420"/>
    <n v="1069090.909090909"/>
    <s v="카페24고체향수이그나이트 + 스테이포에버200720"/>
  </r>
  <r>
    <x v="189"/>
    <s v="일"/>
    <m/>
    <s v="카페24"/>
    <m/>
    <n v="164"/>
    <s v="고체향수"/>
    <s v="스테이포에버"/>
    <n v="200720"/>
    <m/>
    <n v="5576000"/>
    <n v="5249804"/>
    <n v="456412"/>
    <n v="5069090.909090908"/>
    <s v="카페24고체향수스테이포에버200720"/>
  </r>
  <r>
    <x v="189"/>
    <s v="일"/>
    <m/>
    <s v="카페24"/>
    <m/>
    <n v="87"/>
    <s v="고체향수"/>
    <s v="스테이포에버 2set"/>
    <n v="200720"/>
    <m/>
    <n v="5115600"/>
    <n v="4816337.4"/>
    <n v="484242"/>
    <n v="4650545.454545454"/>
    <s v="카페24고체향수스테이포에버 2set200720"/>
  </r>
  <r>
    <x v="189"/>
    <s v="일"/>
    <m/>
    <s v="카페24"/>
    <m/>
    <n v="1"/>
    <s v="고체향수"/>
    <s v="이그나이트"/>
    <n v="200720"/>
    <m/>
    <n v="34000"/>
    <n v="32011"/>
    <n v="2888"/>
    <n v="30909.09090909091"/>
    <s v="카페24고체향수이그나이트200720"/>
  </r>
  <r>
    <x v="189"/>
    <s v="일"/>
    <m/>
    <s v="카페24"/>
    <m/>
    <n v="2"/>
    <s v="고체향수"/>
    <s v="이그나이트 2set"/>
    <n v="200720"/>
    <m/>
    <n v="117600"/>
    <n v="110720.4"/>
    <n v="11552"/>
    <n v="106909.0909090909"/>
    <s v="카페24고체향수이그나이트 2set200720"/>
  </r>
  <r>
    <x v="189"/>
    <s v="일"/>
    <m/>
    <s v="카페24"/>
    <m/>
    <n v="7"/>
    <s v="쇼핑백"/>
    <s v="유즈쇼핑백"/>
    <n v="200720"/>
    <m/>
    <n v="14000"/>
    <n v="13181"/>
    <n v="8470"/>
    <n v="12727.27272727273"/>
    <s v="카페24쇼핑백유즈쇼핑백200720"/>
  </r>
  <r>
    <x v="190"/>
    <s v="월"/>
    <m/>
    <s v="카페24"/>
    <m/>
    <n v="12"/>
    <s v="고체향수"/>
    <s v="이그나이트 + 스테이포에버"/>
    <n v="200720"/>
    <m/>
    <n v="705600"/>
    <n v="664322.4"/>
    <n v="68052"/>
    <n v="641454.5454545454"/>
    <s v="카페24고체향수이그나이트 + 스테이포에버200720"/>
  </r>
  <r>
    <x v="190"/>
    <s v="월"/>
    <m/>
    <s v="카페24"/>
    <m/>
    <n v="133"/>
    <s v="고체향수"/>
    <s v="스테이포에버"/>
    <n v="200720"/>
    <m/>
    <n v="4522000"/>
    <n v="4257463"/>
    <n v="370139"/>
    <n v="4110909.09090909"/>
    <s v="카페24고체향수스테이포에버200720"/>
  </r>
  <r>
    <x v="190"/>
    <s v="월"/>
    <m/>
    <s v="카페24"/>
    <m/>
    <n v="63"/>
    <s v="고체향수"/>
    <s v="스테이포에버 2set"/>
    <n v="200720"/>
    <m/>
    <n v="3704400"/>
    <n v="3487692.6"/>
    <n v="350658"/>
    <n v="3367636.363636363"/>
    <s v="카페24고체향수스테이포에버 2set200720"/>
  </r>
  <r>
    <x v="190"/>
    <s v="월"/>
    <m/>
    <s v="카페24"/>
    <m/>
    <n v="4"/>
    <s v="고체향수"/>
    <s v="이그나이트"/>
    <n v="200720"/>
    <m/>
    <n v="136000"/>
    <n v="128044"/>
    <n v="11552"/>
    <n v="123636.3636363636"/>
    <s v="카페24고체향수이그나이트200720"/>
  </r>
  <r>
    <x v="190"/>
    <s v="월"/>
    <m/>
    <s v="카페24"/>
    <m/>
    <n v="7"/>
    <s v="쇼핑백"/>
    <s v="유즈쇼핑백"/>
    <n v="200720"/>
    <m/>
    <n v="14000"/>
    <n v="13181"/>
    <n v="8470"/>
    <n v="12727.27272727273"/>
    <s v="카페24쇼핑백유즈쇼핑백200720"/>
  </r>
  <r>
    <x v="191"/>
    <s v="화"/>
    <m/>
    <s v="카페24"/>
    <m/>
    <n v="25"/>
    <s v="고체향수"/>
    <s v="이그나이트 + 스테이포에버"/>
    <n v="200720"/>
    <m/>
    <n v="1470000"/>
    <n v="1384005"/>
    <n v="141775"/>
    <n v="1336363.636363636"/>
    <s v="카페24고체향수이그나이트 + 스테이포에버200720"/>
  </r>
  <r>
    <x v="191"/>
    <s v="화"/>
    <m/>
    <s v="카페24"/>
    <m/>
    <n v="1"/>
    <s v="고체향수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91"/>
    <s v="화"/>
    <m/>
    <s v="카페24"/>
    <m/>
    <n v="191"/>
    <s v="고체향수"/>
    <s v="스테이포에버"/>
    <n v="200720"/>
    <m/>
    <n v="6494000"/>
    <n v="6114101"/>
    <n v="531553"/>
    <n v="5903636.363636363"/>
    <s v="카페24고체향수스테이포에버200720"/>
  </r>
  <r>
    <x v="191"/>
    <s v="화"/>
    <m/>
    <s v="카페24"/>
    <m/>
    <n v="74"/>
    <s v="고체향수"/>
    <s v="스테이포에버 2set"/>
    <n v="200720"/>
    <m/>
    <n v="4351200"/>
    <n v="4096654.8"/>
    <n v="411884"/>
    <n v="3955636.363636363"/>
    <s v="카페24고체향수스테이포에버 2set200720"/>
  </r>
  <r>
    <x v="191"/>
    <s v="화"/>
    <m/>
    <s v="카페24"/>
    <m/>
    <n v="1"/>
    <s v="고체향수"/>
    <s v="이그나이트 2set"/>
    <n v="200720"/>
    <m/>
    <n v="58800"/>
    <n v="55360.2"/>
    <n v="5776"/>
    <n v="53454.54545454545"/>
    <s v="카페24고체향수이그나이트 2set200720"/>
  </r>
  <r>
    <x v="191"/>
    <s v="화"/>
    <m/>
    <s v="카페24"/>
    <m/>
    <n v="7"/>
    <s v="쇼핑백"/>
    <s v="유즈쇼핑백"/>
    <n v="200720"/>
    <m/>
    <n v="14000"/>
    <n v="13181"/>
    <n v="8470"/>
    <n v="12727.27272727273"/>
    <s v="카페24쇼핑백유즈쇼핑백200720"/>
  </r>
  <r>
    <x v="193"/>
    <s v="목"/>
    <m/>
    <s v="카페24"/>
    <s v="유즈 솔리드퍼퓸 - 30ml (스테이포에버 주문 시 12/14 부터 순차배송)향=이그나이트, 세트 선택=1 개"/>
    <n v="2"/>
    <s v="고체향수"/>
    <s v="이그나이트"/>
    <n v="201210"/>
    <m/>
    <n v="76000"/>
    <n v="71554"/>
    <n v="5776"/>
    <n v="69090.90909090909"/>
    <s v="카페24고체향수유즈 솔리드퍼퓸 - 30ml (스테이포에버 주문 시 12/14 부터 순차배송)향=이그나이트, 세트 선택=1 개201210"/>
  </r>
  <r>
    <x v="192"/>
    <s v="수"/>
    <m/>
    <s v="카페24"/>
    <s v="유즈 솔리드퍼퓸 - 30ml (스테이포에버 주문 시 12/14 부터 순차배송)향=스테이포에버, 세트 선택=1 개"/>
    <n v="6"/>
    <s v="고체향수"/>
    <s v="스테이포에버"/>
    <n v="201210"/>
    <m/>
    <n v="228000"/>
    <n v="214662"/>
    <n v="16698"/>
    <n v="207272.7272727273"/>
    <s v="카페24고체향수유즈 솔리드퍼퓸 - 30ml (스테이포에버 주문 시 12/14 부터 순차배송)향=스테이포에버, 세트 선택=1 개201210"/>
  </r>
  <r>
    <x v="193"/>
    <s v="목"/>
    <m/>
    <s v="카페24"/>
    <s v="유즈 솔리드퍼퓸 - 30ml (스테이포에버 주문 시 12/14 부터 순차배송)향=스테이포에버, 세트 선택=2개 (28% off)"/>
    <n v="2"/>
    <s v="고체향수"/>
    <s v="스테이포에버 2set"/>
    <n v="201210"/>
    <m/>
    <n v="117600"/>
    <n v="110720.4"/>
    <n v="11132"/>
    <n v="106909.0909090909"/>
    <s v="카페24고체향수유즈 솔리드퍼퓸 - 30ml (스테이포에버 주문 시 12/14 부터 순차배송)향=스테이포에버, 세트 선택=2개 (28% off)201210"/>
  </r>
  <r>
    <x v="192"/>
    <s v="수"/>
    <m/>
    <s v="카페24"/>
    <s v="유즈 솔리드퍼퓸 - 30ml (스테이포에버 주문 시 12/14 부터 순차배송)향=이그나이트 + 스테이포에버, 세트 선택=1 SET"/>
    <n v="7"/>
    <s v="고체향수"/>
    <s v="이그나이트 + 스테이포에버"/>
    <n v="201210"/>
    <m/>
    <n v="483000"/>
    <n v="454744.5"/>
    <n v="39697"/>
    <n v="439090.9090909091"/>
    <s v="카페24고체향수유즈 솔리드퍼퓸 - 30ml (스테이포에버 주문 시 12/14 부터 순차배송)향=이그나이트 + 스테이포에버, 세트 선택=1 SET201210"/>
  </r>
  <r>
    <x v="195"/>
    <s v="토"/>
    <m/>
    <s v="카페24"/>
    <s v="유즈 솔리드퍼퓸 - 30ml (스테이포에버 주문 시 12/14 순차배송)향=이그나이트, 세트 선택=1 개"/>
    <n v="2"/>
    <s v="고체향수"/>
    <s v="이그나이트"/>
    <n v="201210"/>
    <m/>
    <n v="76000"/>
    <n v="71554"/>
    <n v="5776"/>
    <n v="69090.90909090909"/>
    <s v="카페24고체향수유즈 솔리드퍼퓸 - 30ml (스테이포에버 주문 시 12/14 순차배송)향=이그나이트, 세트 선택=1 개201210"/>
  </r>
  <r>
    <x v="195"/>
    <s v="토"/>
    <m/>
    <s v="카페24"/>
    <s v="유즈 솔리드퍼퓸 - 30ml (스테이포에버 주문 시 12/14 순차배송)향=스테이포에버, 세트 선택=1 개"/>
    <n v="9"/>
    <s v="고체향수"/>
    <s v="스테이포에버"/>
    <n v="201210"/>
    <m/>
    <n v="342000"/>
    <n v="321993"/>
    <n v="25047"/>
    <n v="310909.0909090909"/>
    <s v="카페24고체향수유즈 솔리드퍼퓸 - 30ml (스테이포에버 주문 시 12/14 순차배송)향=스테이포에버, 세트 선택=1 개201210"/>
  </r>
  <r>
    <x v="195"/>
    <s v="토"/>
    <m/>
    <s v="카페24"/>
    <s v="유즈 솔리드퍼퓸 - 30ml (스테이포에버 주문 시 12/14 순차배송)향=스테이포에버, 세트 선택=2개 (28% off)"/>
    <n v="8"/>
    <s v="고체향수"/>
    <s v="스테이포에버 2set"/>
    <n v="201210"/>
    <m/>
    <n v="470400"/>
    <n v="442881.6"/>
    <n v="44528"/>
    <n v="427636.3636363636"/>
    <s v="카페24고체향수유즈 솔리드퍼퓸 - 30ml (스테이포에버 주문 시 12/14 순차배송)향=스테이포에버, 세트 선택=2개 (28% off)201210"/>
  </r>
  <r>
    <x v="195"/>
    <s v="토"/>
    <m/>
    <s v="카페24"/>
    <s v="유즈 솔리드퍼퓸 - 30ml (스테이포에버 주문 시 12/14 순차배송)향=이그나이트 + 스테이포에버, 세트 선택=1 SET"/>
    <n v="6"/>
    <s v="고체향수"/>
    <s v="이그나이트 + 스테이포에버"/>
    <n v="201210"/>
    <m/>
    <n v="414000"/>
    <n v="389781"/>
    <n v="34026"/>
    <n v="376363.6363636364"/>
    <s v="카페24고체향수유즈 솔리드퍼퓸 - 30ml (스테이포에버 주문 시 12/14 순차배송)향=이그나이트 + 스테이포에버, 세트 선택=1 SET201210"/>
  </r>
  <r>
    <x v="195"/>
    <s v="토"/>
    <m/>
    <s v="카페24"/>
    <s v="유즈 솔리드퍼퓸 - 30ml (스테이포에버 주문 시 12/14 순차배송)향=이그나이트 + 스테이포에버, 세트 선택=2 SET (42% off)"/>
    <n v="1"/>
    <s v="고체향수"/>
    <s v="이그나이트 + 스테이포에버 2set"/>
    <n v="201210"/>
    <m/>
    <n v="94800"/>
    <n v="89254.2"/>
    <n v="11342"/>
    <n v="86181.81818181818"/>
    <s v="카페24고체향수유즈 솔리드퍼퓸 - 30ml (스테이포에버 주문 시 12/14 순차배송)향=이그나이트 + 스테이포에버, 세트 선택=2 SET (42% off)201210"/>
  </r>
  <r>
    <x v="195"/>
    <s v="토"/>
    <m/>
    <s v="카페24"/>
    <s v="유즈 스테이포에버 솔리드퍼퓸 002 (스테이포에버 주문시 12/14 순차배송)제품선택=스테이포에버 솔리드퍼퓸 002[Pre-order 이벤트 17% 할인]"/>
    <n v="175"/>
    <s v="고체향수"/>
    <s v="스테이포에버"/>
    <n v="201210"/>
    <m/>
    <n v="6650000"/>
    <n v="6260975"/>
    <n v="487025"/>
    <n v="6045454.545454545"/>
    <s v="카페24고체향수유즈 스테이포에버 솔리드퍼퓸 002 (스테이포에버 주문시 12/14 순차배송)제품선택=스테이포에버 솔리드퍼퓸 002[Pre-order 이벤트 17% 할인]201210"/>
  </r>
  <r>
    <x v="195"/>
    <s v="토"/>
    <m/>
    <s v="카페24"/>
    <s v="유즈 스테이포에버 솔리드퍼퓸 002 (스테이포에버 주문시 12/14 순차배송)제품선택=스테이포에버 2개 세트[Pre-order 이벤트 28% 할인]"/>
    <n v="64"/>
    <s v="고체향수"/>
    <s v="스테이포에버 2set"/>
    <n v="201210"/>
    <m/>
    <n v="3763200"/>
    <n v="3543052.8"/>
    <n v="356224"/>
    <n v="3421090.909090909"/>
    <s v="카페24고체향수유즈 스테이포에버 솔리드퍼퓸 002 (스테이포에버 주문시 12/14 순차배송)제품선택=스테이포에버 2개 세트[Pre-order 이벤트 28% 할인]201210"/>
  </r>
  <r>
    <x v="195"/>
    <s v="토"/>
    <m/>
    <s v="카페24"/>
    <s v="유즈 스테이포에버 솔리드퍼퓸 002 (스테이포에버 주문시 12/14 순차배송)제품선택=스테이포에버 + 이그나이트 세트"/>
    <n v="19"/>
    <s v="고체향수"/>
    <s v="이그나이트 + 스테이포에버"/>
    <n v="201210"/>
    <m/>
    <n v="1311000"/>
    <n v="1234306.5"/>
    <n v="107749"/>
    <n v="1191818.181818182"/>
    <s v="카페24고체향수유즈 스테이포에버 솔리드퍼퓸 002 (스테이포에버 주문시 12/14 순차배송)제품선택=스테이포에버 + 이그나이트 세트201210"/>
  </r>
  <r>
    <x v="195"/>
    <s v="토"/>
    <m/>
    <s v="카페24"/>
    <s v="유즈 스테이포에버 솔리드퍼퓸 002 (스테이포에버 주문시 12/14 순차배송)쇼핑백=선물용 쇼핑백"/>
    <n v="6"/>
    <s v="쇼핑백"/>
    <s v="쇼핑백"/>
    <n v="201210"/>
    <m/>
    <n v="12000"/>
    <n v="11298"/>
    <n v="7260"/>
    <n v="10909.09090909091"/>
    <s v="카페24쇼핑백유즈 스테이포에버 솔리드퍼퓸 002 (스테이포에버 주문시 12/14 순차배송)쇼핑백=선물용 쇼핑백201210"/>
  </r>
  <r>
    <x v="195"/>
    <s v="토"/>
    <m/>
    <s v="카페24"/>
    <s v="유즈 이그나이트 솔리드퍼퓸 001제품선택=이그나이트 솔리드퍼퓸 - 30ml"/>
    <n v="2"/>
    <s v="고체향수"/>
    <s v="이그나이트"/>
    <n v="201210"/>
    <m/>
    <n v="76000"/>
    <n v="71554"/>
    <n v="5776"/>
    <n v="69090.90909090909"/>
    <s v="카페24고체향수유즈 이그나이트 솔리드퍼퓸 001제품선택=이그나이트 솔리드퍼퓸 - 30ml201210"/>
  </r>
  <r>
    <x v="193"/>
    <s v="목"/>
    <m/>
    <s v="카페24"/>
    <s v="유즈 솔리드퍼퓸 - 30ml (스테이포에버 주문 시 12/14 순차배송)향=스테이포에버, 세트 선택=1 개"/>
    <n v="49"/>
    <s v="고체향수"/>
    <s v="스테이포에버"/>
    <n v="201210"/>
    <m/>
    <n v="1862000"/>
    <n v="1753073"/>
    <n v="136367"/>
    <n v="1692727.272727273"/>
    <s v="카페24고체향수유즈 솔리드퍼퓸 - 30ml (스테이포에버 주문 시 12/14 순차배송)향=스테이포에버, 세트 선택=1 개201210"/>
  </r>
  <r>
    <x v="193"/>
    <s v="목"/>
    <m/>
    <s v="카페24"/>
    <s v="유즈 솔리드퍼퓸 - 30ml (스테이포에버 주문 시 12/14 순차배송)향=스테이포에버, 세트 선택=2개 (28% off)"/>
    <n v="16"/>
    <s v="고체향수"/>
    <s v="스테이포에버 2set"/>
    <n v="201210"/>
    <m/>
    <n v="940800"/>
    <n v="885763.2"/>
    <n v="89056"/>
    <n v="855272.7272727272"/>
    <s v="카페24고체향수유즈 솔리드퍼퓸 - 30ml (스테이포에버 주문 시 12/14 순차배송)향=스테이포에버, 세트 선택=2개 (28% off)201210"/>
  </r>
  <r>
    <x v="193"/>
    <s v="목"/>
    <m/>
    <s v="카페24"/>
    <s v="유즈 솔리드퍼퓸 - 30ml (스테이포에버 주문 시 12/14 순차배송)향=이그나이트 + 스테이포에버, 세트 선택=1 SET"/>
    <n v="23"/>
    <s v="고체향수"/>
    <s v="이그나이트 + 스테이포에버"/>
    <n v="201210"/>
    <m/>
    <n v="1587000"/>
    <n v="1494160.5"/>
    <n v="130433"/>
    <n v="1442727.272727273"/>
    <s v="카페24고체향수유즈 솔리드퍼퓸 - 30ml (스테이포에버 주문 시 12/14 순차배송)향=이그나이트 + 스테이포에버, 세트 선택=1 SET201210"/>
  </r>
  <r>
    <x v="193"/>
    <s v="목"/>
    <m/>
    <s v="카페24"/>
    <s v="유즈 솔리드퍼퓸 - 30ml (스테이포에버 주문 시 12/14 순차배송)향=이그나이트 + 스테이포에버, 세트 선택=2 SET (42% off)"/>
    <n v="3"/>
    <s v="고체향수"/>
    <s v="이그나이트 + 스테이포에버 2set"/>
    <n v="201210"/>
    <m/>
    <n v="284400"/>
    <n v="267762.6"/>
    <n v="34026"/>
    <n v="258545.4545454545"/>
    <s v="카페24고체향수유즈 솔리드퍼퓸 - 30ml (스테이포에버 주문 시 12/14 순차배송)향=이그나이트 + 스테이포에버, 세트 선택=2 SET (42% off)201210"/>
  </r>
  <r>
    <x v="197"/>
    <s v="월"/>
    <m/>
    <s v="카페24"/>
    <s v="유즈 솔리드퍼퓸 - 30ml (스테이포에버 주문 시 12/15 순차배송)향=이그나이트, 세트 선택=1 개"/>
    <n v="1"/>
    <s v="고체향수"/>
    <s v="이그나이트"/>
    <n v="201210"/>
    <m/>
    <n v="38000"/>
    <n v="35777"/>
    <n v="2888"/>
    <n v="34545.45454545454"/>
    <s v="카페24고체향수유즈 솔리드퍼퓸 - 30ml (스테이포에버 주문 시 12/15 순차배송)향=이그나이트, 세트 선택=1 개201210"/>
  </r>
  <r>
    <x v="197"/>
    <s v="월"/>
    <m/>
    <s v="카페24"/>
    <s v="유즈 솔리드퍼퓸 - 30ml (스테이포에버 주문 시 12/15 순차배송)향=스테이포에버, 세트 선택=1 개"/>
    <n v="24"/>
    <s v="고체향수"/>
    <s v="스테이포에버"/>
    <n v="201210"/>
    <m/>
    <n v="912000"/>
    <n v="858648"/>
    <n v="66792"/>
    <n v="829090.9090909091"/>
    <s v="카페24고체향수유즈 솔리드퍼퓸 - 30ml (스테이포에버 주문 시 12/15 순차배송)향=스테이포에버, 세트 선택=1 개201210"/>
  </r>
  <r>
    <x v="197"/>
    <s v="월"/>
    <m/>
    <s v="카페24"/>
    <s v="유즈 솔리드퍼퓸 - 30ml (스테이포에버 주문 시 12/15 순차배송)향=스테이포에버, 세트 선택=2개 (28% off)"/>
    <n v="9"/>
    <s v="고체향수"/>
    <s v="스테이포에버 2set"/>
    <n v="201210"/>
    <m/>
    <n v="529200"/>
    <n v="498241.8"/>
    <n v="50094"/>
    <n v="481090.9090909091"/>
    <s v="카페24고체향수유즈 솔리드퍼퓸 - 30ml (스테이포에버 주문 시 12/15 순차배송)향=스테이포에버, 세트 선택=2개 (28% off)201210"/>
  </r>
  <r>
    <x v="197"/>
    <s v="월"/>
    <m/>
    <s v="카페24"/>
    <s v="유즈 솔리드퍼퓸 - 30ml (스테이포에버 주문 시 12/15 순차배송)향=이그나이트 + 스테이포에버, 세트 선택=1 SET"/>
    <n v="10"/>
    <s v="고체향수"/>
    <s v="이그나이트 + 스테이포에버"/>
    <n v="201210"/>
    <m/>
    <n v="690000"/>
    <n v="649635"/>
    <n v="56710"/>
    <n v="627272.7272727272"/>
    <s v="카페24고체향수유즈 솔리드퍼퓸 - 30ml (스테이포에버 주문 시 12/15 순차배송)향=이그나이트 + 스테이포에버, 세트 선택=1 SET201210"/>
  </r>
  <r>
    <x v="192"/>
    <s v="수"/>
    <m/>
    <s v="카페24"/>
    <s v="유즈 솔리드퍼퓸 - 30ml (스테이포에버 주문 시 12/4 부터 순차배송)향=스테이포에버, 세트 선택=1 개"/>
    <n v="6"/>
    <s v="고체향수"/>
    <s v="스테이포에버"/>
    <n v="201210"/>
    <m/>
    <n v="228000"/>
    <n v="214662"/>
    <n v="16698"/>
    <n v="207272.7272727273"/>
    <s v="카페24고체향수유즈 솔리드퍼퓸 - 30ml (스테이포에버 주문 시 12/4 부터 순차배송)향=스테이포에버, 세트 선택=1 개201210"/>
  </r>
  <r>
    <x v="192"/>
    <s v="수"/>
    <m/>
    <s v="카페24"/>
    <s v="유즈 솔리드퍼퓸 - 30ml (스테이포에버 주문 시 12/4 부터 순차배송)향=이그나이트 + 스테이포에버, 세트 선택=1 SET"/>
    <n v="3"/>
    <s v="고체향수"/>
    <s v="이그나이트 + 스테이포에버"/>
    <n v="201210"/>
    <m/>
    <n v="207000"/>
    <n v="194890.5"/>
    <n v="17013"/>
    <n v="188181.8181818182"/>
    <s v="카페24고체향수유즈 솔리드퍼퓸 - 30ml (스테이포에버 주문 시 12/4 부터 순차배송)향=이그나이트 + 스테이포에버, 세트 선택=1 SET201210"/>
  </r>
  <r>
    <x v="197"/>
    <s v="월"/>
    <m/>
    <s v="카페24"/>
    <s v="유즈 스테이포에버 솔리드퍼퓸 002제품선택=스테이포에버 솔리드퍼퓸"/>
    <n v="1"/>
    <s v="고체향수"/>
    <s v="스테이포에버"/>
    <n v="201210"/>
    <m/>
    <n v="38000"/>
    <n v="35777"/>
    <n v="2783"/>
    <n v="34545.45454545454"/>
    <s v="카페24고체향수유즈 스테이포에버 솔리드퍼퓸 002제품선택=스테이포에버 솔리드퍼퓸201210"/>
  </r>
  <r>
    <x v="192"/>
    <s v="수"/>
    <m/>
    <s v="카페24"/>
    <s v="유즈 스테이포에버 솔리드퍼퓸 002 (12/14 부터 순차배송)제품선택=스테이포에버 솔리드퍼퓸 002[Pre-order 이벤트 17% 할인]"/>
    <n v="127"/>
    <s v="고체향수"/>
    <s v="스테이포에버"/>
    <n v="201210"/>
    <m/>
    <n v="4826000"/>
    <n v="4543679"/>
    <n v="353441"/>
    <n v="4387272.727272727"/>
    <s v="카페24고체향수유즈 스테이포에버 솔리드퍼퓸 002 (12/14 부터 순차배송)제품선택=스테이포에버 솔리드퍼퓸 002[Pre-order 이벤트 17% 할인]201210"/>
  </r>
  <r>
    <x v="192"/>
    <s v="수"/>
    <m/>
    <s v="카페24"/>
    <s v="유즈 스테이포에버 솔리드퍼퓸 002 (12/14 부터 순차배송)제품선택=스테이포에버 2개 세트[Pre-order 이벤트 28% 할인]"/>
    <n v="54"/>
    <s v="고체향수"/>
    <s v="스테이포에버 2set"/>
    <n v="201210"/>
    <m/>
    <n v="3175200"/>
    <n v="2989450.8"/>
    <n v="300564"/>
    <n v="2886545.454545454"/>
    <s v="카페24고체향수유즈 스테이포에버 솔리드퍼퓸 002 (12/14 부터 순차배송)제품선택=스테이포에버 2개 세트[Pre-order 이벤트 28% 할인]201210"/>
  </r>
  <r>
    <x v="192"/>
    <s v="수"/>
    <m/>
    <s v="카페24"/>
    <s v="유즈 스테이포에버 솔리드퍼퓸 002 (12/14 부터 순차배송)제품선택=스테이포에버 + 이그나이트 세트"/>
    <n v="12"/>
    <s v="고체향수"/>
    <s v="이그나이트 + 스테이포에버"/>
    <n v="201210"/>
    <m/>
    <n v="828000"/>
    <n v="779562"/>
    <n v="68052"/>
    <n v="752727.2727272727"/>
    <s v="카페24고체향수유즈 스테이포에버 솔리드퍼퓸 002 (12/14 부터 순차배송)제품선택=스테이포에버 + 이그나이트 세트201210"/>
  </r>
  <r>
    <x v="192"/>
    <s v="수"/>
    <m/>
    <s v="카페24"/>
    <s v="유즈 스테이포에버 솔리드퍼퓸 002 (12/14 부터 순차배송)쇼핑백=선물용 쇼핑백"/>
    <n v="5"/>
    <s v="쇼핑백"/>
    <s v="쇼핑백"/>
    <n v="201210"/>
    <m/>
    <n v="10000"/>
    <n v="9415"/>
    <n v="6050"/>
    <n v="9090.90909090909"/>
    <s v="카페24쇼핑백유즈 스테이포에버 솔리드퍼퓸 002 (12/14 부터 순차배송)쇼핑백=선물용 쇼핑백201210"/>
  </r>
  <r>
    <x v="193"/>
    <s v="목"/>
    <m/>
    <s v="카페24"/>
    <s v="유즈 스테이포에버 솔리드퍼퓸 002 (12/14 순차배송)제품선택=스테이포에버 솔리드퍼퓸 002[Pre-order 이벤트 17% 할인]"/>
    <n v="2"/>
    <s v="고체향수"/>
    <s v="스테이포에버"/>
    <n v="201210"/>
    <m/>
    <n v="76000"/>
    <n v="71554"/>
    <n v="5566"/>
    <n v="69090.90909090909"/>
    <s v="카페24고체향수유즈 스테이포에버 솔리드퍼퓸 002 (12/14 순차배송)제품선택=스테이포에버 솔리드퍼퓸 002[Pre-order 이벤트 17% 할인]201210"/>
  </r>
  <r>
    <x v="193"/>
    <s v="목"/>
    <m/>
    <s v="카페24"/>
    <s v="유즈 스테이포에버 솔리드퍼퓸 002 (12/14 순차배송)제품선택=스테이포에버 2개 세트[Pre-order 이벤트 28% 할인]"/>
    <n v="3"/>
    <s v="고체향수"/>
    <s v="스테이포에버 2set"/>
    <n v="201210"/>
    <m/>
    <n v="176400"/>
    <n v="166080.6"/>
    <n v="16698"/>
    <n v="160363.6363636364"/>
    <s v="카페24고체향수유즈 스테이포에버 솔리드퍼퓸 002 (12/14 순차배송)제품선택=스테이포에버 2개 세트[Pre-order 이벤트 28% 할인]201210"/>
  </r>
  <r>
    <x v="193"/>
    <s v="목"/>
    <m/>
    <s v="카페24"/>
    <s v="유즈 스테이포에버 솔리드퍼퓸 002 (12/14 순차배송)쇼핑백=선물용 쇼핑백"/>
    <n v="1"/>
    <s v="쇼핑백"/>
    <s v="쇼핑백"/>
    <n v="201210"/>
    <m/>
    <n v="2000"/>
    <n v="1883"/>
    <n v="1210"/>
    <n v="1818.181818181818"/>
    <s v="카페24쇼핑백유즈 스테이포에버 솔리드퍼퓸 002 (12/14 순차배송)쇼핑백=선물용 쇼핑백201210"/>
  </r>
  <r>
    <x v="192"/>
    <s v="수"/>
    <m/>
    <s v="카페24"/>
    <s v="유즈 스테이포에버 솔리드퍼퓸 002 (12/4 부터 순차배송)쇼핑백=선물용 쇼핑백"/>
    <n v="7"/>
    <s v="쇼핑백"/>
    <s v="쇼핑백"/>
    <n v="201210"/>
    <m/>
    <n v="14000"/>
    <n v="13181"/>
    <n v="8470"/>
    <n v="12727.27272727273"/>
    <s v="카페24쇼핑백유즈 스테이포에버 솔리드퍼퓸 002 (12/4 부터 순차배송)쇼핑백=선물용 쇼핑백201210"/>
  </r>
  <r>
    <x v="193"/>
    <s v="목"/>
    <m/>
    <s v="카페24"/>
    <s v="유즈 스테이포에버 솔리드퍼퓸 002 (스테이포에버 주문시 12/14 순차배송)쇼핑백=선물용 쇼핑백"/>
    <n v="31"/>
    <s v="쇼핑백"/>
    <s v="쇼핑백"/>
    <n v="201210"/>
    <m/>
    <n v="62000"/>
    <n v="58373"/>
    <n v="37510"/>
    <n v="56363.63636363636"/>
    <s v="카페24쇼핑백유즈 스테이포에버 솔리드퍼퓸 002 (스테이포에버 주문시 12/14 순차배송)쇼핑백=선물용 쇼핑백201210"/>
  </r>
  <r>
    <x v="193"/>
    <s v="목"/>
    <m/>
    <s v="카페24"/>
    <s v="유즈 스테이포에버 솔리드퍼퓸 002 (12/14 입고 이후 순차배송)제품선택=스테이포에버 솔리드퍼퓸 002[Pre-order 이벤트 17% 할인]"/>
    <n v="2"/>
    <s v="고체향수"/>
    <s v="스테이포에버"/>
    <n v="201210"/>
    <m/>
    <n v="76000"/>
    <n v="71554"/>
    <n v="5566"/>
    <n v="69090.90909090909"/>
    <s v="카페24고체향수유즈 스테이포에버 솔리드퍼퓸 002 (12/14 입고 이후 순차배송)제품선택=스테이포에버 솔리드퍼퓸 002[Pre-order 이벤트 17% 할인]201210"/>
  </r>
  <r>
    <x v="192"/>
    <s v="수"/>
    <m/>
    <s v="카페24"/>
    <s v="유즈 스테이포에버 솔리드퍼퓸 002 (12/4 부터 순차배송)제품선택=스테이포에버 솔리드퍼퓸 002[Pre-order 이벤트 17% 할인]"/>
    <n v="83"/>
    <s v="고체향수"/>
    <s v="스테이포에버"/>
    <n v="201210"/>
    <m/>
    <n v="3154000"/>
    <n v="2969491"/>
    <n v="230989"/>
    <n v="2867272.727272727"/>
    <s v="카페24고체향수유즈 스테이포에버 솔리드퍼퓸 002 (12/4 부터 순차배송)제품선택=스테이포에버 솔리드퍼퓸 002[Pre-order 이벤트 17% 할인]201210"/>
  </r>
  <r>
    <x v="192"/>
    <s v="수"/>
    <m/>
    <s v="카페24"/>
    <s v="유즈 스테이포에버 솔리드퍼퓸 002 (12/4 부터 순차배송)제품선택=스테이포에버 2개 세트[Pre-order 이벤트 28% 할인]"/>
    <n v="25"/>
    <s v="고체향수"/>
    <s v="스테이포에버 2set"/>
    <n v="201210"/>
    <m/>
    <n v="1470000"/>
    <n v="1384005"/>
    <n v="139150"/>
    <n v="1336363.636363636"/>
    <s v="카페24고체향수유즈 스테이포에버 솔리드퍼퓸 002 (12/4 부터 순차배송)제품선택=스테이포에버 2개 세트[Pre-order 이벤트 28% 할인]201210"/>
  </r>
  <r>
    <x v="192"/>
    <s v="수"/>
    <m/>
    <s v="카페24"/>
    <s v="유즈 스테이포에버 솔리드퍼퓸 002 (12/4 부터 순차배송)제품선택=스테이포에버 + 이그나이트 세트"/>
    <n v="6"/>
    <s v="고체향수"/>
    <s v="이그나이트 + 스테이포에버"/>
    <n v="201210"/>
    <m/>
    <n v="414000"/>
    <n v="389781"/>
    <n v="34026"/>
    <n v="376363.6363636364"/>
    <s v="카페24고체향수유즈 스테이포에버 솔리드퍼퓸 002 (12/4 부터 순차배송)제품선택=스테이포에버 + 이그나이트 세트201210"/>
  </r>
  <r>
    <x v="193"/>
    <s v="목"/>
    <m/>
    <s v="카페24"/>
    <s v="유즈 스테이포에버 솔리드퍼퓸 002 (스테이포에버 주문시 12/14 순차배송)제품선택=스테이포에버 솔리드퍼퓸 002[Pre-order 이벤트 17% 할인]"/>
    <n v="712"/>
    <s v="고체향수"/>
    <s v="스테이포에버"/>
    <n v="201210"/>
    <m/>
    <n v="27056000"/>
    <n v="25473224"/>
    <n v="1981496"/>
    <n v="24596363.63636363"/>
    <s v="카페24고체향수유즈 스테이포에버 솔리드퍼퓸 002 (스테이포에버 주문시 12/14 순차배송)제품선택=스테이포에버 솔리드퍼퓸 002[Pre-order 이벤트 17% 할인]201210"/>
  </r>
  <r>
    <x v="193"/>
    <s v="목"/>
    <m/>
    <s v="카페24"/>
    <s v="유즈 스테이포에버 솔리드퍼퓸 002 (스테이포에버 주문시 12/14 순차배송)제품선택=스테이포에버 2개 세트[Pre-order 이벤트 28% 할인]"/>
    <n v="260"/>
    <s v="고체향수"/>
    <s v="스테이포에버 2set"/>
    <n v="201210"/>
    <m/>
    <n v="15288000"/>
    <n v="14393652"/>
    <n v="1447160"/>
    <n v="13898181.81818182"/>
    <s v="카페24고체향수유즈 스테이포에버 솔리드퍼퓸 002 (스테이포에버 주문시 12/14 순차배송)제품선택=스테이포에버 2개 세트[Pre-order 이벤트 28% 할인]201210"/>
  </r>
  <r>
    <x v="193"/>
    <s v="목"/>
    <m/>
    <s v="카페24"/>
    <s v="유즈 스테이포에버 솔리드퍼퓸 002 (스테이포에버 주문시 12/14 순차배송)제품선택=스테이포에버 + 이그나이트 세트"/>
    <n v="57"/>
    <s v="고체향수"/>
    <s v="이그나이트 + 스테이포에버"/>
    <n v="201210"/>
    <m/>
    <n v="3933000"/>
    <n v="3702919.5"/>
    <n v="323247"/>
    <n v="3575454.545454545"/>
    <s v="카페24고체향수유즈 스테이포에버 솔리드퍼퓸 002 (스테이포에버 주문시 12/14 순차배송)제품선택=스테이포에버 + 이그나이트 세트201210"/>
  </r>
  <r>
    <x v="197"/>
    <s v="월"/>
    <m/>
    <s v="카페24"/>
    <s v="유즈 스테이포에버 솔리드퍼퓸 002 (스테이포에버 주문시 12/15 순차배송)제품선택=스테이포에버 솔리드퍼퓸 002[Pre-order 이벤트 17% 할인]"/>
    <n v="322"/>
    <s v="고체향수"/>
    <s v="스테이포에버"/>
    <n v="201210"/>
    <m/>
    <n v="12236000"/>
    <n v="11520194"/>
    <n v="896126"/>
    <n v="11123636.36363636"/>
    <s v="카페24고체향수유즈 스테이포에버 솔리드퍼퓸 002 (스테이포에버 주문시 12/15 순차배송)제품선택=스테이포에버 솔리드퍼퓸 002[Pre-order 이벤트 17% 할인]201210"/>
  </r>
  <r>
    <x v="197"/>
    <s v="월"/>
    <m/>
    <s v="카페24"/>
    <s v="유즈 스테이포에버 솔리드퍼퓸 002 (스테이포에버 주문시 12/15 순차배송)제품선택=스테이포에버 2개 세트[Pre-order 이벤트 28% 할인]"/>
    <n v="120"/>
    <s v="고체향수"/>
    <s v="스테이포에버 2set"/>
    <n v="201210"/>
    <m/>
    <n v="7056000"/>
    <n v="6643224"/>
    <n v="667920"/>
    <n v="6414545.454545454"/>
    <s v="카페24고체향수유즈 스테이포에버 솔리드퍼퓸 002 (스테이포에버 주문시 12/15 순차배송)제품선택=스테이포에버 2개 세트[Pre-order 이벤트 28% 할인]201210"/>
  </r>
  <r>
    <x v="197"/>
    <s v="월"/>
    <m/>
    <s v="카페24"/>
    <s v="유즈 스테이포에버 솔리드퍼퓸 002 (스테이포에버 주문시 12/15 순차배송)제품선택=스테이포에버 + 이그나이트 세트"/>
    <n v="18"/>
    <s v="고체향수"/>
    <s v="이그나이트 + 스테이포에버"/>
    <n v="201210"/>
    <m/>
    <n v="1242000"/>
    <n v="1169343"/>
    <n v="102078"/>
    <n v="1129090.909090909"/>
    <s v="카페24고체향수유즈 스테이포에버 솔리드퍼퓸 002 (스테이포에버 주문시 12/15 순차배송)제품선택=스테이포에버 + 이그나이트 세트201210"/>
  </r>
  <r>
    <x v="197"/>
    <s v="월"/>
    <m/>
    <s v="카페24"/>
    <s v="유즈 스테이포에버 솔리드퍼퓸 002 (스테이포에버 주문시 12/15 순차배송)쇼핑백=선물용 쇼핑백"/>
    <n v="10"/>
    <s v="쇼핑백"/>
    <s v="쇼핑백"/>
    <n v="201210"/>
    <m/>
    <n v="20000"/>
    <n v="18830"/>
    <n v="12100"/>
    <n v="18181.81818181818"/>
    <s v="카페24쇼핑백유즈 스테이포에버 솔리드퍼퓸 002 (스테이포에버 주문시 12/15 순차배송)쇼핑백=선물용 쇼핑백201210"/>
  </r>
  <r>
    <x v="193"/>
    <s v="목"/>
    <m/>
    <s v="카페24"/>
    <s v="유즈 이그나이트 솔리드퍼퓸 001제품선택=이그나이트 솔리드퍼퓸 - 30ml"/>
    <n v="17"/>
    <s v="고체향수"/>
    <s v="이그나이트"/>
    <n v="201210"/>
    <m/>
    <n v="646000"/>
    <n v="608209"/>
    <n v="49096"/>
    <n v="587272.7272727272"/>
    <s v="카페24고체향수유즈 이그나이트 솔리드퍼퓸 001제품선택=이그나이트 솔리드퍼퓸 - 30ml201210"/>
  </r>
  <r>
    <x v="193"/>
    <s v="목"/>
    <m/>
    <s v="카페24"/>
    <s v="유즈 이그나이트 솔리드퍼퓸 001제품선택=이그나이트 2개 세트"/>
    <n v="5"/>
    <s v="고체향수"/>
    <s v="이그나이트 2set"/>
    <n v="201210"/>
    <m/>
    <n v="294000"/>
    <n v="276801"/>
    <n v="28880"/>
    <n v="267272.7272727272"/>
    <s v="카페24고체향수유즈 이그나이트 솔리드퍼퓸 001제품선택=이그나이트 2개 세트201210"/>
  </r>
  <r>
    <x v="194"/>
    <s v="금"/>
    <m/>
    <s v="유즈 CS"/>
    <s v="유즈 솔리드퍼퓸 - 30ml (스테이포에버 주문 시 12/14 순차배송)향=스테이포에버, 세트 선택=1 개"/>
    <n v="1"/>
    <s v="고체향수"/>
    <s v="스테이포에버"/>
    <n v="201210"/>
    <m/>
    <n v="0"/>
    <n v="0"/>
    <n v="5671"/>
    <n v="0"/>
    <s v="유즈 CS고체향수유즈 솔리드퍼퓸 - 30ml (스테이포에버 주문 시 12/14 순차배송)향=스테이포에버, 세트 선택=1 개201210"/>
  </r>
  <r>
    <x v="194"/>
    <s v="금"/>
    <m/>
    <s v="유즈 CS"/>
    <s v="유즈 스테이포에버 솔리드퍼퓸 002 (스테이포에버 주문시 12/14 순차배송)제품선택=스테이포에버 솔리드퍼퓸 002[Pre-order 이벤트 17% 할인]"/>
    <n v="1"/>
    <s v="고체향수"/>
    <s v="스테이포에버"/>
    <n v="201210"/>
    <m/>
    <n v="0"/>
    <n v="0"/>
    <n v="5671"/>
    <n v="0"/>
    <s v="유즈 CS고체향수유즈 스테이포에버 솔리드퍼퓸 002 (스테이포에버 주문시 12/14 순차배송)제품선택=스테이포에버 솔리드퍼퓸 002[Pre-order 이벤트 17% 할인]201210"/>
  </r>
  <r>
    <x v="194"/>
    <s v="금"/>
    <m/>
    <s v="카페24"/>
    <s v="유즈 솔리드퍼퓸 - 30ml (스테이포에버 주문 시 12/14 순차배송)향=스테이포에버, 세트 선택=1 개"/>
    <n v="14"/>
    <s v="고체향수"/>
    <s v="스테이포에버"/>
    <n v="201210"/>
    <m/>
    <n v="532000"/>
    <n v="500878"/>
    <n v="38962"/>
    <n v="483636.3636363636"/>
    <s v="카페24고체향수유즈 솔리드퍼퓸 - 30ml (스테이포에버 주문 시 12/14 순차배송)향=스테이포에버, 세트 선택=1 개201210"/>
  </r>
  <r>
    <x v="194"/>
    <s v="금"/>
    <m/>
    <s v="카페24"/>
    <s v="유즈 솔리드퍼퓸 - 30ml (스테이포에버 주문 시 12/14 순차배송)향=스테이포에버, 세트 선택=2개 (28% off)"/>
    <n v="1"/>
    <s v="고체향수"/>
    <s v="스테이포에버 2set"/>
    <n v="201210"/>
    <m/>
    <n v="58800"/>
    <n v="55360.2"/>
    <n v="5566"/>
    <n v="53454.54545454545"/>
    <s v="카페24고체향수유즈 솔리드퍼퓸 - 30ml (스테이포에버 주문 시 12/14 순차배송)향=스테이포에버, 세트 선택=2개 (28% off)201210"/>
  </r>
  <r>
    <x v="194"/>
    <s v="금"/>
    <m/>
    <s v="카페24"/>
    <s v="유즈 솔리드퍼퓸 - 30ml (스테이포에버 주문 시 12/14 순차배송)향=이그나이트 + 스테이포에버, 세트 선택=1 SET"/>
    <n v="4"/>
    <s v="고체향수"/>
    <s v="이그나이트 + 스테이포에버"/>
    <n v="201210"/>
    <m/>
    <n v="276000"/>
    <n v="259854"/>
    <n v="22684"/>
    <n v="250909.0909090909"/>
    <s v="카페24고체향수유즈 솔리드퍼퓸 - 30ml (스테이포에버 주문 시 12/14 순차배송)향=이그나이트 + 스테이포에버, 세트 선택=1 SET201210"/>
  </r>
  <r>
    <x v="194"/>
    <s v="금"/>
    <m/>
    <s v="카페24"/>
    <s v="유즈 스테이포에버 솔리드퍼퓸 002 (12/4 부터 순차배송)제품선택=스테이포에버 솔리드퍼퓸 002[Pre-order 이벤트 17% 할인]"/>
    <n v="1"/>
    <s v="고체향수"/>
    <s v="스테이포에버"/>
    <n v="201210"/>
    <m/>
    <n v="38000"/>
    <n v="35777"/>
    <n v="2783"/>
    <n v="34545.45454545454"/>
    <s v="카페24고체향수유즈 스테이포에버 솔리드퍼퓸 002 (12/4 부터 순차배송)제품선택=스테이포에버 솔리드퍼퓸 002[Pre-order 이벤트 17% 할인]201210"/>
  </r>
  <r>
    <x v="194"/>
    <s v="금"/>
    <m/>
    <s v="카페24"/>
    <s v="유즈 스테이포에버 솔리드퍼퓸 002 (스테이포에버 주문시 12/14 순차배송)제품선택=스테이포에버 솔리드퍼퓸 002[Pre-order 이벤트 17% 할인]"/>
    <n v="166"/>
    <s v="고체향수"/>
    <s v="스테이포에버"/>
    <n v="201210"/>
    <m/>
    <n v="6308000"/>
    <n v="5938982"/>
    <n v="461978"/>
    <n v="5734545.454545454"/>
    <s v="카페24고체향수유즈 스테이포에버 솔리드퍼퓸 002 (스테이포에버 주문시 12/14 순차배송)제품선택=스테이포에버 솔리드퍼퓸 002[Pre-order 이벤트 17% 할인]201210"/>
  </r>
  <r>
    <x v="194"/>
    <s v="금"/>
    <m/>
    <s v="카페24"/>
    <s v="유즈 스테이포에버 솔리드퍼퓸 002 (스테이포에버 주문시 12/14 순차배송)제품선택=스테이포에버 2개 세트[Pre-order 이벤트 28% 할인]"/>
    <n v="47"/>
    <s v="고체향수"/>
    <s v="스테이포에버 2set"/>
    <n v="201210"/>
    <m/>
    <n v="2763600"/>
    <n v="2601929.4"/>
    <n v="261602"/>
    <n v="2512363.636363636"/>
    <s v="카페24고체향수유즈 스테이포에버 솔리드퍼퓸 002 (스테이포에버 주문시 12/14 순차배송)제품선택=스테이포에버 2개 세트[Pre-order 이벤트 28% 할인]201210"/>
  </r>
  <r>
    <x v="194"/>
    <s v="금"/>
    <m/>
    <s v="카페24"/>
    <s v="유즈 스테이포에버 솔리드퍼퓸 002 (스테이포에버 주문시 12/14 순차배송)제품선택=스테이포에버 + 이그나이트 세트"/>
    <n v="12"/>
    <s v="고체향수"/>
    <s v="이그나이트 + 스테이포에버"/>
    <n v="201210"/>
    <m/>
    <n v="828000"/>
    <n v="779562"/>
    <n v="68052"/>
    <n v="752727.2727272727"/>
    <s v="카페24고체향수유즈 스테이포에버 솔리드퍼퓸 002 (스테이포에버 주문시 12/14 순차배송)제품선택=스테이포에버 + 이그나이트 세트201210"/>
  </r>
  <r>
    <x v="194"/>
    <s v="금"/>
    <m/>
    <s v="카페24"/>
    <s v="유즈 스테이포에버 솔리드퍼퓸 002 (스테이포에버 주문시 12/14 순차배송)쇼핑백=선물용 쇼핑백"/>
    <n v="5"/>
    <s v="쇼핑백"/>
    <s v="쇼핑백"/>
    <n v="201210"/>
    <m/>
    <n v="10000"/>
    <n v="9415"/>
    <n v="6050"/>
    <n v="9090.90909090909"/>
    <s v="카페24쇼핑백유즈 스테이포에버 솔리드퍼퓸 002 (스테이포에버 주문시 12/14 순차배송)쇼핑백=선물용 쇼핑백201210"/>
  </r>
  <r>
    <x v="194"/>
    <s v="금"/>
    <m/>
    <s v="카페24"/>
    <s v="유즈 이그나이트 솔리드퍼퓸 001제품선택=이그나이트 솔리드퍼퓸 - 30ml"/>
    <n v="2"/>
    <s v="고체향수"/>
    <s v="이그나이트"/>
    <n v="201210"/>
    <m/>
    <n v="76000"/>
    <n v="71554"/>
    <n v="5776"/>
    <n v="69090.90909090909"/>
    <s v="카페24고체향수유즈 이그나이트 솔리드퍼퓸 001제품선택=이그나이트 솔리드퍼퓸 - 30ml201210"/>
  </r>
  <r>
    <x v="196"/>
    <s v="일"/>
    <m/>
    <s v="카페24"/>
    <s v="유즈 솔리드퍼퓸 - 30ml (스테이포에버 주문 시 12/14 부터 순차배송)향=스테이포에버, 세트 선택=1 개"/>
    <n v="1"/>
    <s v="고체향수"/>
    <s v="스테이포에버"/>
    <n v="201210"/>
    <m/>
    <n v="38000"/>
    <n v="35777"/>
    <n v="2783"/>
    <n v="34545.45454545454"/>
    <s v="카페24고체향수유즈 솔리드퍼퓸 - 30ml (스테이포에버 주문 시 12/14 부터 순차배송)향=스테이포에버, 세트 선택=1 개201210"/>
  </r>
  <r>
    <x v="196"/>
    <s v="일"/>
    <m/>
    <s v="카페24"/>
    <s v="유즈 솔리드퍼퓸 - 30ml (스테이포에버 주문 시 12/14 순차배송)향=이그나이트, 세트 선택=1 개"/>
    <n v="1"/>
    <s v="고체향수"/>
    <s v="이그나이트"/>
    <n v="201210"/>
    <m/>
    <n v="38000"/>
    <n v="35777"/>
    <n v="2888"/>
    <n v="34545.45454545454"/>
    <s v="카페24고체향수유즈 솔리드퍼퓸 - 30ml (스테이포에버 주문 시 12/14 순차배송)향=이그나이트, 세트 선택=1 개201210"/>
  </r>
  <r>
    <x v="196"/>
    <s v="일"/>
    <m/>
    <s v="카페24"/>
    <s v="유즈 솔리드퍼퓸 - 30ml (스테이포에버 주문 시 12/14 순차배송)향=스테이포에버, 세트 선택=1 개"/>
    <n v="11"/>
    <s v="고체향수"/>
    <s v="스테이포에버"/>
    <n v="201210"/>
    <m/>
    <n v="418000"/>
    <n v="393547"/>
    <n v="30613"/>
    <n v="379999.9999999999"/>
    <s v="카페24고체향수유즈 솔리드퍼퓸 - 30ml (스테이포에버 주문 시 12/14 순차배송)향=스테이포에버, 세트 선택=1 개201210"/>
  </r>
  <r>
    <x v="196"/>
    <s v="일"/>
    <m/>
    <s v="카페24"/>
    <s v="유즈 솔리드퍼퓸 - 30ml (스테이포에버 주문 시 12/14 순차배송)향=스테이포에버, 세트 선택=2개 (28% off)"/>
    <n v="3"/>
    <s v="고체향수"/>
    <s v="스테이포에버 2set"/>
    <n v="201210"/>
    <m/>
    <n v="176400"/>
    <n v="166080.6"/>
    <n v="16698"/>
    <n v="160363.6363636364"/>
    <s v="카페24고체향수유즈 솔리드퍼퓸 - 30ml (스테이포에버 주문 시 12/14 순차배송)향=스테이포에버, 세트 선택=2개 (28% off)201210"/>
  </r>
  <r>
    <x v="196"/>
    <s v="일"/>
    <m/>
    <s v="카페24"/>
    <s v="유즈 솔리드퍼퓸 - 30ml (스테이포에버 주문 시 12/14 순차배송)향=이그나이트 + 스테이포에버, 세트 선택=1 SET"/>
    <n v="7"/>
    <s v="고체향수"/>
    <s v="이그나이트 + 스테이포에버"/>
    <n v="201210"/>
    <m/>
    <n v="483000"/>
    <n v="454744.5"/>
    <n v="39697"/>
    <n v="439090.9090909091"/>
    <s v="카페24고체향수유즈 솔리드퍼퓸 - 30ml (스테이포에버 주문 시 12/14 순차배송)향=이그나이트 + 스테이포에버, 세트 선택=1 SET201210"/>
  </r>
  <r>
    <x v="196"/>
    <s v="일"/>
    <m/>
    <s v="카페24"/>
    <s v="유즈 스테이포에버 솔리드퍼퓸 002 (12/4 부터 순차배송)제품선택=스테이포에버 + 이그나이트 세트"/>
    <n v="1"/>
    <s v="고체향수"/>
    <s v="이그나이트 + 스테이포에버"/>
    <n v="201210"/>
    <m/>
    <n v="69000"/>
    <n v="64963.5"/>
    <n v="5671"/>
    <n v="62727.27272727272"/>
    <s v="카페24고체향수유즈 스테이포에버 솔리드퍼퓸 002 (12/4 부터 순차배송)제품선택=스테이포에버 + 이그나이트 세트201210"/>
  </r>
  <r>
    <x v="196"/>
    <s v="일"/>
    <m/>
    <s v="카페24"/>
    <s v="유즈 스테이포에버 솔리드퍼퓸 002 (스테이포에버 주문시 12/14 순차배송)제품선택=스테이포에버 솔리드퍼퓸 002[Pre-order 이벤트 17% 할인]"/>
    <n v="189"/>
    <s v="고체향수"/>
    <s v="스테이포에버"/>
    <n v="201210"/>
    <m/>
    <n v="7182000"/>
    <n v="6761853"/>
    <n v="525987"/>
    <n v="6529090.909090908"/>
    <s v="카페24고체향수유즈 스테이포에버 솔리드퍼퓸 002 (스테이포에버 주문시 12/14 순차배송)제품선택=스테이포에버 솔리드퍼퓸 002[Pre-order 이벤트 17% 할인]201210"/>
  </r>
  <r>
    <x v="196"/>
    <s v="일"/>
    <m/>
    <s v="카페24"/>
    <s v="유즈 스테이포에버 솔리드퍼퓸 002 (스테이포에버 주문시 12/14 순차배송)제품선택=스테이포에버 2개 세트[Pre-order 이벤트 28% 할인]"/>
    <n v="73"/>
    <s v="고체향수"/>
    <s v="스테이포에버 2set"/>
    <n v="201210"/>
    <m/>
    <n v="4292400"/>
    <n v="4041294.6"/>
    <n v="406318"/>
    <n v="3902181.818181818"/>
    <s v="카페24고체향수유즈 스테이포에버 솔리드퍼퓸 002 (스테이포에버 주문시 12/14 순차배송)제품선택=스테이포에버 2개 세트[Pre-order 이벤트 28% 할인]201210"/>
  </r>
  <r>
    <x v="196"/>
    <s v="일"/>
    <m/>
    <s v="카페24"/>
    <s v="유즈 스테이포에버 솔리드퍼퓸 002 (스테이포에버 주문시 12/14 순차배송)제품선택=스테이포에버 + 이그나이트 세트"/>
    <n v="17"/>
    <s v="고체향수"/>
    <s v="이그나이트 + 스테이포에버"/>
    <n v="201210"/>
    <m/>
    <n v="1173000"/>
    <n v="1104379.5"/>
    <n v="96407"/>
    <n v="1066363.636363636"/>
    <s v="카페24고체향수유즈 스테이포에버 솔리드퍼퓸 002 (스테이포에버 주문시 12/14 순차배송)제품선택=스테이포에버 + 이그나이트 세트201210"/>
  </r>
  <r>
    <x v="196"/>
    <s v="일"/>
    <m/>
    <s v="카페24"/>
    <s v="유즈 스테이포에버 솔리드퍼퓸 002 (스테이포에버 주문시 12/14 순차배송)쇼핑백=선물용 쇼핑백"/>
    <n v="8"/>
    <s v="쇼핑백"/>
    <s v="쇼핑백"/>
    <n v="201210"/>
    <m/>
    <n v="16000"/>
    <n v="15064"/>
    <n v="9680"/>
    <n v="14545.45454545454"/>
    <s v="카페24쇼핑백유즈 스테이포에버 솔리드퍼퓸 002 (스테이포에버 주문시 12/14 순차배송)쇼핑백=선물용 쇼핑백201210"/>
  </r>
  <r>
    <x v="196"/>
    <s v="일"/>
    <m/>
    <s v="카페24"/>
    <s v="유즈 이그나이트 솔리드퍼퓸 001제품선택=이그나이트 솔리드퍼퓸 - 30ml"/>
    <n v="2"/>
    <s v="고체향수"/>
    <s v="이그나이트"/>
    <n v="201210"/>
    <m/>
    <n v="76000"/>
    <n v="71554"/>
    <n v="5776"/>
    <n v="69090.90909090909"/>
    <s v="카페24고체향수유즈 이그나이트 솔리드퍼퓸 001제품선택=이그나이트 솔리드퍼퓸 - 30ml201210"/>
  </r>
  <r>
    <x v="196"/>
    <s v="일"/>
    <m/>
    <s v="카페24"/>
    <s v="유즈 이그나이트 솔리드퍼퓸 001제품선택=이그나이트 2개 세트"/>
    <n v="2"/>
    <s v="고체향수"/>
    <s v="이그나이트 2set"/>
    <n v="201210"/>
    <m/>
    <n v="117600"/>
    <n v="110720.4"/>
    <n v="11552"/>
    <n v="106909.0909090909"/>
    <s v="카페24고체향수유즈 이그나이트 솔리드퍼퓸 001제품선택=이그나이트 2개 세트201210"/>
  </r>
  <r>
    <x v="198"/>
    <s v="화"/>
    <m/>
    <s v="카페24"/>
    <s v="유즈 솔리드퍼퓸 - 30ml (스테이포에버 주문 시 12/15 순차배송)향=스테이포에버, 세트 선택=1 개"/>
    <n v="8"/>
    <s v="고체향수"/>
    <s v="스테이포에버"/>
    <n v="201210"/>
    <m/>
    <n v="304000"/>
    <n v="286216"/>
    <n v="22264"/>
    <n v="276363.6363636364"/>
    <s v="카페24고체향수유즈 솔리드퍼퓸 - 30ml (스테이포에버 주문 시 12/15 순차배송)향=스테이포에버, 세트 선택=1 개201210"/>
  </r>
  <r>
    <x v="198"/>
    <s v="화"/>
    <m/>
    <s v="카페24"/>
    <s v="유즈 솔리드퍼퓸 - 30ml (스테이포에버 주문 시 12/15 순차배송)향=스테이포에버, 세트 선택=2개 (28% off)"/>
    <n v="4"/>
    <s v="고체향수"/>
    <s v="스테이포에버 2set"/>
    <n v="201210"/>
    <m/>
    <n v="235200"/>
    <n v="221440.8"/>
    <n v="22264"/>
    <n v="213818.1818181818"/>
    <s v="카페24고체향수유즈 솔리드퍼퓸 - 30ml (스테이포에버 주문 시 12/15 순차배송)향=스테이포에버, 세트 선택=2개 (28% off)201210"/>
  </r>
  <r>
    <x v="198"/>
    <s v="화"/>
    <m/>
    <s v="카페24"/>
    <s v="유즈 솔리드퍼퓸 - 30ml (스테이포에버 주문 시 12/15 순차배송)향=이그나이트 + 스테이포에버, 세트 선택=1 SET"/>
    <n v="4"/>
    <s v="고체향수"/>
    <s v="이그나이트 + 스테이포에버"/>
    <n v="201210"/>
    <m/>
    <n v="276000"/>
    <n v="259854"/>
    <n v="22684"/>
    <n v="250909.0909090909"/>
    <s v="카페24고체향수유즈 솔리드퍼퓸 - 30ml (스테이포에버 주문 시 12/15 순차배송)향=이그나이트 + 스테이포에버, 세트 선택=1 SET201210"/>
  </r>
  <r>
    <x v="198"/>
    <s v="화"/>
    <m/>
    <s v="카페24"/>
    <s v="유즈 솔리드퍼퓸 - 30ml (스테이포에버 주문 시 12/15 순차배송)향=이그나이트 + 스테이포에버, 세트 선택=2 SET (42% off)"/>
    <n v="1"/>
    <s v="고체향수"/>
    <s v="스테이포에버 2set"/>
    <n v="201210"/>
    <m/>
    <n v="58800"/>
    <n v="55360.2"/>
    <n v="5566"/>
    <n v="53454.54545454545"/>
    <s v="카페24고체향수유즈 솔리드퍼퓸 - 30ml (스테이포에버 주문 시 12/15 순차배송)향=이그나이트 + 스테이포에버, 세트 선택=2 SET (42% off)201210"/>
  </r>
  <r>
    <x v="198"/>
    <s v="화"/>
    <m/>
    <s v="카페24"/>
    <s v="유즈 스테이포에버 솔리드퍼퓸 002 (스테이포에버 주문시 12/14 순차배송)제품선택=스테이포에버 2개 세트[Pre-order 이벤트 28% 할인]"/>
    <n v="3"/>
    <s v="고체향수"/>
    <s v="스테이포에버 2set"/>
    <n v="201210"/>
    <m/>
    <n v="176400"/>
    <n v="166080.6"/>
    <n v="16698"/>
    <n v="160363.6363636364"/>
    <s v="카페24고체향수유즈 스테이포에버 솔리드퍼퓸 002 (스테이포에버 주문시 12/14 순차배송)제품선택=스테이포에버 2개 세트[Pre-order 이벤트 28% 할인]201210"/>
  </r>
  <r>
    <x v="198"/>
    <s v="화"/>
    <m/>
    <s v="카페24"/>
    <s v="유즈 스테이포에버 솔리드퍼퓸 002 (스테이포에버 주문시 12/15 순차배송)제품선택=스테이포에버 솔리드퍼퓸 002[Pre-order 이벤트 17% 할인]"/>
    <n v="148"/>
    <s v="고체향수"/>
    <s v="스테이포에버"/>
    <n v="201210"/>
    <m/>
    <n v="5624000"/>
    <n v="5294996"/>
    <n v="411884"/>
    <n v="5112727.272727272"/>
    <s v="카페24고체향수유즈 스테이포에버 솔리드퍼퓸 002 (스테이포에버 주문시 12/15 순차배송)제품선택=스테이포에버 솔리드퍼퓸 002[Pre-order 이벤트 17% 할인]201210"/>
  </r>
  <r>
    <x v="198"/>
    <s v="화"/>
    <m/>
    <s v="카페24"/>
    <s v="유즈 스테이포에버 솔리드퍼퓸 002 (스테이포에버 주문시 12/15 순차배송)제품선택=스테이포에버 2개 세트[Pre-order 이벤트 28% 할인]"/>
    <n v="59"/>
    <s v="고체향수"/>
    <s v="스테이포에버 2set"/>
    <n v="201210"/>
    <m/>
    <n v="3469200"/>
    <n v="3266251.8"/>
    <n v="328394"/>
    <n v="3153818.181818182"/>
    <s v="카페24고체향수유즈 스테이포에버 솔리드퍼퓸 002 (스테이포에버 주문시 12/15 순차배송)제품선택=스테이포에버 2개 세트[Pre-order 이벤트 28% 할인]201210"/>
  </r>
  <r>
    <x v="198"/>
    <s v="화"/>
    <m/>
    <s v="카페24"/>
    <s v="유즈 스테이포에버 솔리드퍼퓸 002 (스테이포에버 주문시 12/15 순차배송)제품선택=스테이포에버 + 이그나이트 세트"/>
    <n v="11"/>
    <s v="고체향수"/>
    <s v="이그나이트 + 스테이포에버"/>
    <n v="201210"/>
    <m/>
    <n v="759000"/>
    <n v="714598.5"/>
    <n v="62381"/>
    <n v="690000"/>
    <s v="카페24고체향수유즈 스테이포에버 솔리드퍼퓸 002 (스테이포에버 주문시 12/15 순차배송)제품선택=스테이포에버 + 이그나이트 세트201210"/>
  </r>
  <r>
    <x v="198"/>
    <s v="화"/>
    <m/>
    <s v="카페24"/>
    <s v="유즈 스테이포에버 솔리드퍼퓸 002 (스테이포에버 주문시 12/15 순차배송)쇼핑백=선물용 쇼핑백"/>
    <n v="3"/>
    <s v="쇼핑백"/>
    <s v="쇼핑백"/>
    <n v="201210"/>
    <m/>
    <n v="6000"/>
    <n v="5649"/>
    <n v="3630"/>
    <n v="5454.545454545454"/>
    <s v="카페24쇼핑백유즈 스테이포에버 솔리드퍼퓸 002 (스테이포에버 주문시 12/15 순차배송)쇼핑백=선물용 쇼핑백201210"/>
  </r>
  <r>
    <x v="198"/>
    <s v="화"/>
    <m/>
    <s v="카페24"/>
    <s v="유즈 이그나이트 솔리드퍼퓸 001제품선택=이그나이트 솔리드퍼퓸 - 30ml"/>
    <n v="3"/>
    <s v="고체향수"/>
    <s v="이그나이트"/>
    <n v="201210"/>
    <m/>
    <n v="114000"/>
    <n v="107331"/>
    <n v="8664"/>
    <n v="103636.3636363636"/>
    <s v="카페24고체향수유즈 이그나이트 솔리드퍼퓸 001제품선택=이그나이트 솔리드퍼퓸 - 30ml201210"/>
  </r>
  <r>
    <x v="199"/>
    <s v="수"/>
    <m/>
    <s v="카페24"/>
    <s v="유즈 솔리드퍼퓸 - 30ml (스테이포에버 주문 시 12/15 순차배송)향=스테이포에버, 세트 선택=1 개"/>
    <n v="14"/>
    <s v="고체향수"/>
    <s v="스테이포에버"/>
    <n v="201210"/>
    <m/>
    <n v="532000"/>
    <n v="500878"/>
    <n v="38962"/>
    <n v="483636.3636363636"/>
    <s v="카페24고체향수유즈 솔리드퍼퓸 - 30ml (스테이포에버 주문 시 12/15 순차배송)향=스테이포에버, 세트 선택=1 개201210"/>
  </r>
  <r>
    <x v="199"/>
    <s v="수"/>
    <m/>
    <s v="카페24"/>
    <s v="유즈 솔리드퍼퓸 - 30ml (스테이포에버 주문 시 12/15 순차배송)향=스테이포에버, 세트 선택=2개 (28% off)"/>
    <n v="4"/>
    <s v="고체향수"/>
    <s v="스테이포에버 2set"/>
    <n v="201210"/>
    <m/>
    <n v="235200"/>
    <n v="221440.8"/>
    <n v="22264"/>
    <n v="213818.1818181818"/>
    <s v="카페24고체향수유즈 솔리드퍼퓸 - 30ml (스테이포에버 주문 시 12/15 순차배송)향=스테이포에버, 세트 선택=2개 (28% off)201210"/>
  </r>
  <r>
    <x v="199"/>
    <s v="수"/>
    <m/>
    <s v="카페24"/>
    <s v="유즈 솔리드퍼퓸 - 30ml (스테이포에버 주문 시 12/15 순차배송)향=이그나이트 + 스테이포에버, 세트 선택=1 SET"/>
    <n v="3"/>
    <s v="고체향수"/>
    <s v="이그나이트 + 스테이포에버"/>
    <n v="201210"/>
    <m/>
    <n v="207000"/>
    <n v="194890.5"/>
    <n v="17013"/>
    <n v="188181.8181818182"/>
    <s v="카페24고체향수유즈 솔리드퍼퓸 - 30ml (스테이포에버 주문 시 12/15 순차배송)향=이그나이트 + 스테이포에버, 세트 선택=1 SET201210"/>
  </r>
  <r>
    <x v="199"/>
    <s v="수"/>
    <m/>
    <s v="카페24"/>
    <s v="유즈 솔리드퍼퓸 - 30ml (스테이포에버 주문 시 12/15 순차배송)향=이그나이트 + 스테이포에버, 세트 선택=2 SET (42% off)"/>
    <n v="2"/>
    <s v="고체향수"/>
    <s v="스테이포에버 2set"/>
    <n v="201210"/>
    <m/>
    <n v="117600"/>
    <n v="110720.4"/>
    <n v="11132"/>
    <n v="106909.0909090909"/>
    <s v="카페24고체향수유즈 솔리드퍼퓸 - 30ml (스테이포에버 주문 시 12/15 순차배송)향=이그나이트 + 스테이포에버, 세트 선택=2 SET (42% off)201210"/>
  </r>
  <r>
    <x v="199"/>
    <s v="수"/>
    <m/>
    <s v="카페24"/>
    <s v="유즈 스테이포에버 솔리드퍼퓸 002 (스테이포에버 주문시 12/15 순차배송)제품선택=스테이포에버 솔리드퍼퓸 002[Pre-order 이벤트 17% 할인]"/>
    <n v="150"/>
    <s v="고체향수"/>
    <s v="스테이포에버"/>
    <n v="201210"/>
    <m/>
    <n v="5700000"/>
    <n v="5366550"/>
    <n v="417450"/>
    <n v="5181818.181818182"/>
    <s v="카페24고체향수유즈 스테이포에버 솔리드퍼퓸 002 (스테이포에버 주문시 12/15 순차배송)제품선택=스테이포에버 솔리드퍼퓸 002[Pre-order 이벤트 17% 할인]201210"/>
  </r>
  <r>
    <x v="199"/>
    <s v="수"/>
    <m/>
    <s v="카페24"/>
    <s v="유즈 스테이포에버 솔리드퍼퓸 002 (스테이포에버 주문시 12/15 순차배송)제품선택=스테이포에버 2개 세트[Pre-order 이벤트 28% 할인]"/>
    <n v="51"/>
    <s v="고체향수"/>
    <s v="스테이포에버 2set"/>
    <n v="201210"/>
    <m/>
    <n v="2998800"/>
    <n v="2823370.2"/>
    <n v="283866"/>
    <n v="2726181.818181818"/>
    <s v="카페24고체향수유즈 스테이포에버 솔리드퍼퓸 002 (스테이포에버 주문시 12/15 순차배송)제품선택=스테이포에버 2개 세트[Pre-order 이벤트 28% 할인]201210"/>
  </r>
  <r>
    <x v="199"/>
    <s v="수"/>
    <m/>
    <s v="카페24"/>
    <s v="유즈 스테이포에버 솔리드퍼퓸 002 (스테이포에버 주문시 12/15 순차배송)제품선택=스테이포에버 + 이그나이트 세트"/>
    <n v="7"/>
    <s v="고체향수"/>
    <s v="이그나이트 + 스테이포에버"/>
    <n v="201210"/>
    <m/>
    <n v="483000"/>
    <n v="454744.5"/>
    <n v="39697"/>
    <n v="439090.9090909091"/>
    <s v="카페24고체향수유즈 스테이포에버 솔리드퍼퓸 002 (스테이포에버 주문시 12/15 순차배송)제품선택=스테이포에버 + 이그나이트 세트201210"/>
  </r>
  <r>
    <x v="199"/>
    <s v="수"/>
    <m/>
    <s v="카페24"/>
    <s v="유즈 스테이포에버 솔리드퍼퓸 002 (스테이포에버 주문시 12/15 순차배송)쇼핑백=선물용 쇼핑백"/>
    <n v="4"/>
    <s v="쇼핑백"/>
    <s v="쇼핑백"/>
    <n v="201210"/>
    <m/>
    <n v="8000"/>
    <n v="7532"/>
    <n v="4840"/>
    <n v="7272.727272727272"/>
    <s v="카페24쇼핑백유즈 스테이포에버 솔리드퍼퓸 002 (스테이포에버 주문시 12/15 순차배송)쇼핑백=선물용 쇼핑백201210"/>
  </r>
  <r>
    <x v="199"/>
    <s v="수"/>
    <m/>
    <s v="카페24"/>
    <s v="유즈 이그나이트 솔리드퍼퓸 001제품선택=이그나이트 솔리드퍼퓸 - 30ml"/>
    <n v="1"/>
    <s v="고체향수"/>
    <s v="이그나이트"/>
    <n v="201210"/>
    <m/>
    <n v="38000"/>
    <n v="35777"/>
    <n v="2888"/>
    <n v="34545.45454545454"/>
    <s v="카페24고체향수유즈 이그나이트 솔리드퍼퓸 001제품선택=이그나이트 솔리드퍼퓸 - 30ml201210"/>
  </r>
  <r>
    <x v="199"/>
    <s v="수"/>
    <m/>
    <s v="카페24"/>
    <s v="유즈 이그나이트 솔리드퍼퓸 001제품선택=이그나이트 2개 세트"/>
    <n v="4"/>
    <s v="고체향수"/>
    <s v="이그나이트 2set"/>
    <n v="201210"/>
    <m/>
    <n v="235200"/>
    <n v="221440.8"/>
    <n v="23104"/>
    <n v="213818.1818181818"/>
    <s v="카페24고체향수유즈 이그나이트 솔리드퍼퓸 001제품선택=이그나이트 2개 세트201210"/>
  </r>
  <r>
    <x v="200"/>
    <s v="목"/>
    <m/>
    <s v="유즈 CS"/>
    <s v="솔리드퍼퓸 스테이포에버 002 30ml"/>
    <n v="2"/>
    <s v="고체향수"/>
    <s v="스테이포에버"/>
    <n v="201210"/>
    <m/>
    <n v="0"/>
    <n v="0"/>
    <n v="5566"/>
    <n v="0"/>
    <s v="유즈 CS고체향수솔리드퍼퓸 스테이포에버 002 30ml201210"/>
  </r>
  <r>
    <x v="200"/>
    <s v="목"/>
    <m/>
    <s v="카페24"/>
    <s v="유즈 솔리드퍼퓸 - 30ml (스테이포에버 주문 시 12/15 순차배송)향=스테이포에버, 세트 선택=1 개"/>
    <n v="12"/>
    <s v="고체향수"/>
    <s v="스테이포에버"/>
    <n v="201210"/>
    <m/>
    <n v="456000"/>
    <n v="429324"/>
    <n v="33396"/>
    <n v="414545.4545454545"/>
    <s v="카페24고체향수유즈 솔리드퍼퓸 - 30ml (스테이포에버 주문 시 12/15 순차배송)향=스테이포에버, 세트 선택=1 개201210"/>
  </r>
  <r>
    <x v="200"/>
    <s v="목"/>
    <m/>
    <s v="카페24"/>
    <s v="유즈 솔리드퍼퓸 - 30ml (스테이포에버 주문 시 12/15 순차배송)향=스테이포에버, 세트 선택=2개 (28% off)"/>
    <n v="4"/>
    <s v="고체향수"/>
    <s v="스테이포에버 2set"/>
    <n v="201210"/>
    <m/>
    <n v="235200"/>
    <n v="221440.8"/>
    <n v="22264"/>
    <n v="213818.1818181818"/>
    <s v="카페24고체향수유즈 솔리드퍼퓸 - 30ml (스테이포에버 주문 시 12/15 순차배송)향=스테이포에버, 세트 선택=2개 (28% off)201210"/>
  </r>
  <r>
    <x v="200"/>
    <s v="목"/>
    <m/>
    <s v="카페24"/>
    <s v="유즈 솔리드퍼퓸 - 30ml (스테이포에버 주문 시 12/15 순차배송)향=이그나이트 + 스테이포에버, 세트 선택=1 SET"/>
    <n v="7"/>
    <s v="고체향수"/>
    <s v="이그나이트 + 스테이포에버"/>
    <n v="201210"/>
    <m/>
    <n v="483000"/>
    <n v="454744.5"/>
    <n v="39697"/>
    <n v="439090.9090909091"/>
    <s v="카페24고체향수유즈 솔리드퍼퓸 - 30ml (스테이포에버 주문 시 12/15 순차배송)향=이그나이트 + 스테이포에버, 세트 선택=1 SET201210"/>
  </r>
  <r>
    <x v="200"/>
    <s v="목"/>
    <m/>
    <s v="카페24"/>
    <s v="유즈 스테이포에버 솔리드퍼퓸 002 (스테이포에버 주문시 12/15 순차배송)제품선택=스테이포에버 솔리드퍼퓸 002[Pre-order 이벤트 17% 할인]"/>
    <n v="170"/>
    <s v="고체향수"/>
    <s v="스테이포에버"/>
    <n v="201210"/>
    <m/>
    <n v="6460000"/>
    <n v="6082090"/>
    <n v="473110"/>
    <n v="5872727.272727272"/>
    <s v="카페24고체향수유즈 스테이포에버 솔리드퍼퓸 002 (스테이포에버 주문시 12/15 순차배송)제품선택=스테이포에버 솔리드퍼퓸 002[Pre-order 이벤트 17% 할인]201210"/>
  </r>
  <r>
    <x v="200"/>
    <s v="목"/>
    <m/>
    <s v="카페24"/>
    <s v="유즈 스테이포에버 솔리드퍼퓸 002 (스테이포에버 주문시 12/15 순차배송)제품선택=스테이포에버 2개 세트[Pre-order 이벤트 28% 할인]"/>
    <n v="41"/>
    <s v="고체향수"/>
    <s v="스테이포에버 2set"/>
    <n v="201210"/>
    <m/>
    <n v="2410800"/>
    <n v="2269768.2"/>
    <n v="228206"/>
    <n v="2191636.363636363"/>
    <s v="카페24고체향수유즈 스테이포에버 솔리드퍼퓸 002 (스테이포에버 주문시 12/15 순차배송)제품선택=스테이포에버 2개 세트[Pre-order 이벤트 28% 할인]201210"/>
  </r>
  <r>
    <x v="200"/>
    <s v="목"/>
    <m/>
    <s v="카페24"/>
    <s v="유즈 스테이포에버 솔리드퍼퓸 002 (스테이포에버 주문시 12/15 순차배송)제품선택=스테이포에버 + 이그나이트 세트"/>
    <n v="9"/>
    <s v="고체향수"/>
    <s v="이그나이트 + 스테이포에버"/>
    <n v="201210"/>
    <m/>
    <n v="621000"/>
    <n v="584671.5"/>
    <n v="51039"/>
    <n v="564545.4545454545"/>
    <s v="카페24고체향수유즈 스테이포에버 솔리드퍼퓸 002 (스테이포에버 주문시 12/15 순차배송)제품선택=스테이포에버 + 이그나이트 세트201210"/>
  </r>
  <r>
    <x v="200"/>
    <s v="목"/>
    <m/>
    <s v="카페24"/>
    <s v="유즈 스테이포에버 솔리드퍼퓸 002 (스테이포에버 주문시 12/15 순차배송)쇼핑백=선물용 쇼핑백"/>
    <n v="5"/>
    <s v="쇼핑백"/>
    <s v="쇼핑백"/>
    <n v="201210"/>
    <m/>
    <n v="10000"/>
    <n v="9415"/>
    <n v="6050"/>
    <n v="9090.90909090909"/>
    <s v="카페24쇼핑백유즈 스테이포에버 솔리드퍼퓸 002 (스테이포에버 주문시 12/15 순차배송)쇼핑백=선물용 쇼핑백201210"/>
  </r>
  <r>
    <x v="200"/>
    <s v="목"/>
    <m/>
    <s v="카페24"/>
    <s v="유즈 이그나이트 솔리드퍼퓸 001제품선택=이그나이트 솔리드퍼퓸 - 30ml"/>
    <n v="1"/>
    <s v="고체향수"/>
    <s v="이그나이트"/>
    <n v="201210"/>
    <m/>
    <n v="38000"/>
    <n v="35777"/>
    <n v="2888"/>
    <n v="34545.45454545454"/>
    <s v="카페24고체향수유즈 이그나이트 솔리드퍼퓸 001제품선택=이그나이트 솔리드퍼퓸 - 30ml201210"/>
  </r>
  <r>
    <x v="200"/>
    <s v="목"/>
    <m/>
    <s v="카페24"/>
    <s v="유즈 이그나이트 솔리드퍼퓸 001제품선택=이그나이트 2개 세트"/>
    <n v="1"/>
    <s v="고체향수"/>
    <s v="이그나이트 2set"/>
    <n v="201210"/>
    <m/>
    <n v="58800"/>
    <n v="55360.2"/>
    <n v="5776"/>
    <n v="53454.54545454545"/>
    <s v="카페24고체향수유즈 이그나이트 솔리드퍼퓸 001제품선택=이그나이트 2개 세트201210"/>
  </r>
  <r>
    <x v="201"/>
    <s v="금"/>
    <m/>
    <s v="카페24"/>
    <s v="솔리드퍼퓸 스테이포에버 002 30ml"/>
    <n v="1"/>
    <s v="고체향수"/>
    <s v="스테이포에버"/>
    <n v="201210"/>
    <m/>
    <n v="38000"/>
    <n v="35777"/>
    <n v="2783"/>
    <n v="34545.45454545454"/>
    <s v="카페24고체향수솔리드퍼퓸 스테이포에버 002 30ml201210"/>
  </r>
  <r>
    <x v="201"/>
    <s v="금"/>
    <m/>
    <s v="카페24"/>
    <s v="유즈 솔리드퍼퓸 - 30ml (스테이포에버 주문 시 12/15 순차배송)향=스테이포에버 002 SOLID PERFUME, 세트 선택=1"/>
    <n v="1"/>
    <s v="고체향수"/>
    <s v="스테이포에버"/>
    <n v="201210"/>
    <m/>
    <n v="38000"/>
    <n v="35777"/>
    <n v="2783"/>
    <n v="34545.45454545454"/>
    <s v="카페24고체향수유즈 솔리드퍼퓸 - 30ml (스테이포에버 주문 시 12/15 순차배송)향=스테이포에버 002 SOLID PERFUME, 세트 선택=1201210"/>
  </r>
  <r>
    <x v="201"/>
    <s v="금"/>
    <m/>
    <s v="카페24"/>
    <s v="유즈 솔리드퍼퓸 - 30ml (스테이포에버 주문 시 12/15 순차배송)향=스테이포에버 002 SOLID PERFUME, 세트 선택=1 개(17% 할인)"/>
    <n v="2"/>
    <s v="고체향수"/>
    <s v="스테이포에버"/>
    <n v="201210"/>
    <m/>
    <n v="76000"/>
    <n v="71554"/>
    <n v="5566"/>
    <n v="69090.90909090909"/>
    <s v="카페24고체향수유즈 솔리드퍼퓸 - 30ml (스테이포에버 주문 시 12/15 순차배송)향=스테이포에버 002 SOLID PERFUME, 세트 선택=1 개(17% 할인)201210"/>
  </r>
  <r>
    <x v="201"/>
    <s v="금"/>
    <m/>
    <s v="카페24"/>
    <s v="유즈 솔리드퍼퓸 - 30ml (스테이포에버 주문 시 12/15 순차배송)향=스테이포에버, 세트 선택=1 개"/>
    <n v="3"/>
    <s v="고체향수"/>
    <s v="스테이포에버"/>
    <n v="201210"/>
    <m/>
    <n v="114000"/>
    <n v="107331"/>
    <n v="8349"/>
    <n v="103636.3636363636"/>
    <s v="카페24고체향수유즈 솔리드퍼퓸 - 30ml (스테이포에버 주문 시 12/15 순차배송)향=스테이포에버, 세트 선택=1 개201210"/>
  </r>
  <r>
    <x v="201"/>
    <s v="금"/>
    <m/>
    <s v="카페24"/>
    <s v="유즈 솔리드퍼퓸 - 30ml (스테이포에버 주문 시 12/15 순차배송)향=스테이포에버 002 SOLID PERFUME, 세트 선택=best"/>
    <n v="2"/>
    <s v="고체향수"/>
    <s v="스테이포에버"/>
    <n v="201210"/>
    <m/>
    <n v="76000"/>
    <n v="71554"/>
    <n v="5566"/>
    <n v="69090.90909090909"/>
    <s v="카페24고체향수유즈 솔리드퍼퓸 - 30ml (스테이포에버 주문 시 12/15 순차배송)향=스테이포에버 002 SOLID PERFUME, 세트 선택=best201210"/>
  </r>
  <r>
    <x v="201"/>
    <s v="금"/>
    <m/>
    <s v="카페24"/>
    <s v="유즈 솔리드퍼퓸 - 30ml (스테이포에버 주문 시 12/15 순차배송)향=스테이포에버 002 SOLID PERFUME, 세트 선택=best(28% 할인)2개"/>
    <n v="1"/>
    <s v="고체향수"/>
    <s v="스테이포에버 2set"/>
    <n v="201210"/>
    <m/>
    <n v="58800"/>
    <n v="55360.2"/>
    <n v="5566"/>
    <n v="53454.54545454545"/>
    <s v="카페24고체향수유즈 솔리드퍼퓸 - 30ml (스테이포에버 주문 시 12/15 순차배송)향=스테이포에버 002 SOLID PERFUME, 세트 선택=best(28% 할인)2개201210"/>
  </r>
  <r>
    <x v="201"/>
    <s v="금"/>
    <m/>
    <s v="카페24"/>
    <s v="유즈 솔리드퍼퓸 - 30ml (스테이포에버 주문 시 12/15 순차배송)향=스테이포에버, 세트 선택=2개 (28% off)"/>
    <n v="2"/>
    <s v="고체향수"/>
    <s v="스테이포에버 2set"/>
    <n v="201210"/>
    <m/>
    <n v="117600"/>
    <n v="110720.4"/>
    <n v="11132"/>
    <n v="106909.0909090909"/>
    <s v="카페24고체향수유즈 솔리드퍼퓸 - 30ml (스테이포에버 주문 시 12/15 순차배송)향=스테이포에버, 세트 선택=2개 (28% off)201210"/>
  </r>
  <r>
    <x v="201"/>
    <s v="금"/>
    <m/>
    <s v="카페24"/>
    <s v="유즈 솔리드퍼퓸 - 30ml (스테이포에버 주문 시 12/15 순차배송)향=이그나이트 + 스테이포에버, 세트 선택=1 SET"/>
    <n v="1"/>
    <s v="고체향수"/>
    <s v="이그나이트 + 스테이포에버"/>
    <n v="201210"/>
    <m/>
    <n v="69000"/>
    <n v="64963.5"/>
    <n v="5671"/>
    <n v="62727.27272727272"/>
    <s v="카페24고체향수유즈 솔리드퍼퓸 - 30ml (스테이포에버 주문 시 12/15 순차배송)향=이그나이트 + 스테이포에버, 세트 선택=1 SET201210"/>
  </r>
  <r>
    <x v="201"/>
    <s v="금"/>
    <m/>
    <s v="카페24"/>
    <s v="유즈 솔리드퍼퓸 - 30ml (스테이포에버 주문 시 12/15 순차배송)향=커플세트"/>
    <n v="1"/>
    <s v="고체향수"/>
    <s v="이그나이트 + 스테이포에버"/>
    <n v="201210"/>
    <m/>
    <n v="69000"/>
    <n v="64963.5"/>
    <n v="5671"/>
    <n v="62727.27272727272"/>
    <s v="카페24고체향수유즈 솔리드퍼퓸 - 30ml (스테이포에버 주문 시 12/15 순차배송)향=커플세트201210"/>
  </r>
  <r>
    <x v="201"/>
    <s v="금"/>
    <m/>
    <s v="카페24"/>
    <s v="유즈 솔리드퍼퓸 - 30ml (스테이포에버 주문 시 12/15 순차배송)향=커플세트(이그나이트 + 스테이포에버), 세트 선택=1 SET"/>
    <n v="4"/>
    <s v="고체향수"/>
    <s v="이그나이트 + 스테이포에버"/>
    <n v="201210"/>
    <m/>
    <n v="276000"/>
    <n v="259854"/>
    <n v="22684"/>
    <n v="250909.0909090909"/>
    <s v="카페24고체향수유즈 솔리드퍼퓸 - 30ml (스테이포에버 주문 시 12/15 순차배송)향=커플세트(이그나이트 + 스테이포에버), 세트 선택=1 SET201210"/>
  </r>
  <r>
    <x v="201"/>
    <s v="금"/>
    <m/>
    <s v="카페24"/>
    <s v="유즈 솔리드퍼퓸 - 30ml (스테이포에버 주문 시 12/15 순차배송)향=이그나이트 + 스테이포에버, 세트 선택=2 SET (42% off)"/>
    <n v="1"/>
    <s v="고체향수"/>
    <s v="스테이포에버 2set"/>
    <n v="201210"/>
    <m/>
    <n v="58800"/>
    <n v="55360.2"/>
    <n v="5566"/>
    <n v="53454.54545454545"/>
    <s v="카페24고체향수유즈 솔리드퍼퓸 - 30ml (스테이포에버 주문 시 12/15 순차배송)향=이그나이트 + 스테이포에버, 세트 선택=2 SET (42% off)201210"/>
  </r>
  <r>
    <x v="201"/>
    <s v="금"/>
    <m/>
    <s v="카페24"/>
    <s v="유즈 솔리드퍼퓸 - 30ml (스테이포에버 주문 시 12/15 순차배송)향=커플세트"/>
    <n v="1"/>
    <s v="고체향수"/>
    <s v="이그나이트 + 스테이포에버"/>
    <n v="201210"/>
    <m/>
    <n v="69000"/>
    <n v="64963.5"/>
    <n v="5671"/>
    <n v="62727.27272727272"/>
    <s v="카페24고체향수유즈 솔리드퍼퓸 - 30ml (스테이포에버 주문 시 12/15 순차배송)향=커플세트201210"/>
  </r>
  <r>
    <x v="201"/>
    <s v="금"/>
    <m/>
    <s v="카페24"/>
    <s v="유즈 스테이포에버 솔리드퍼퓸 002 (12/4 부터 순차배송)제품선택=스테이포에버 솔리드퍼퓸 002[Pre-order 이벤트 17% 할인]"/>
    <n v="1"/>
    <s v="고체향수"/>
    <s v="스테이포에버"/>
    <n v="201210"/>
    <m/>
    <n v="38000"/>
    <n v="35777"/>
    <n v="2783"/>
    <n v="34545.45454545454"/>
    <s v="카페24고체향수유즈 스테이포에버 솔리드퍼퓸 002 (12/4 부터 순차배송)제품선택=스테이포에버 솔리드퍼퓸 002[Pre-order 이벤트 17% 할인]201210"/>
  </r>
  <r>
    <x v="201"/>
    <s v="금"/>
    <m/>
    <s v="카페24"/>
    <s v="유즈 스테이포에버 솔리드퍼퓸 002 (스테이포에버 주문시 12/14 순차배송)제품선택=스테이포에버 솔리드퍼퓸 002[Pre-order 이벤트 17% 할인]"/>
    <n v="2"/>
    <s v="고체향수"/>
    <s v="스테이포에버"/>
    <n v="201210"/>
    <m/>
    <n v="76000"/>
    <n v="71554"/>
    <n v="5566"/>
    <n v="69090.90909090909"/>
    <s v="카페24고체향수유즈 스테이포에버 솔리드퍼퓸 002 (스테이포에버 주문시 12/14 순차배송)제품선택=스테이포에버 솔리드퍼퓸 002[Pre-order 이벤트 17% 할인]201210"/>
  </r>
  <r>
    <x v="201"/>
    <s v="금"/>
    <m/>
    <s v="카페24"/>
    <s v="유즈 스테이포에버 솔리드퍼퓸 002 (스테이포에버 주문시 12/15 순차배송)제품선택=스테이포에버 1개"/>
    <n v="28"/>
    <s v="고체향수"/>
    <s v="스테이포에버"/>
    <n v="201210"/>
    <m/>
    <n v="1064000"/>
    <n v="1001756"/>
    <n v="77924"/>
    <n v="967272.7272727272"/>
    <s v="카페24고체향수유즈 스테이포에버 솔리드퍼퓸 002 (스테이포에버 주문시 12/15 순차배송)제품선택=스테이포에버 1개201210"/>
  </r>
  <r>
    <x v="201"/>
    <s v="금"/>
    <m/>
    <s v="카페24"/>
    <s v="유즈 스테이포에버 솔리드퍼퓸 002 (스테이포에버 주문시 12/15 순차배송)제품선택=스테이포에버 1개 [17% 할인]"/>
    <n v="35"/>
    <s v="고체향수"/>
    <s v="스테이포에버"/>
    <n v="201210"/>
    <m/>
    <n v="1330000"/>
    <n v="1252195"/>
    <n v="97405"/>
    <n v="1209090.909090909"/>
    <s v="카페24고체향수유즈 스테이포에버 솔리드퍼퓸 002 (스테이포에버 주문시 12/15 순차배송)제품선택=스테이포에버 1개 [17% 할인]201210"/>
  </r>
  <r>
    <x v="201"/>
    <s v="금"/>
    <m/>
    <s v="카페24"/>
    <s v="유즈 스테이포에버 솔리드퍼퓸 002 (스테이포에버 주문시 12/15 순차배송)제품선택=스테이포에버 [17% 할인]"/>
    <n v="36"/>
    <s v="고체향수"/>
    <s v="스테이포에버"/>
    <n v="201210"/>
    <m/>
    <n v="1368000"/>
    <n v="1287972"/>
    <n v="100188"/>
    <n v="1243636.363636364"/>
    <s v="카페24고체향수유즈 스테이포에버 솔리드퍼퓸 002 (스테이포에버 주문시 12/15 순차배송)제품선택=스테이포에버 [17% 할인]201210"/>
  </r>
  <r>
    <x v="201"/>
    <s v="금"/>
    <m/>
    <s v="카페24"/>
    <s v="유즈 스테이포에버 솔리드퍼퓸 002 (스테이포에버 주문시 12/15 순차배송)제품선택=스테이포에버 솔리드퍼퓸 002[Pre-order 이벤트 17% 할인]"/>
    <n v="56"/>
    <s v="고체향수"/>
    <s v="스테이포에버"/>
    <n v="201210"/>
    <m/>
    <n v="2128000"/>
    <n v="2003512"/>
    <n v="155848"/>
    <n v="1934545.454545454"/>
    <s v="카페24고체향수유즈 스테이포에버 솔리드퍼퓸 002 (스테이포에버 주문시 12/15 순차배송)제품선택=스테이포에버 솔리드퍼퓸 002[Pre-order 이벤트 17% 할인]201210"/>
  </r>
  <r>
    <x v="201"/>
    <s v="금"/>
    <m/>
    <s v="카페24"/>
    <s v="유즈 스테이포에버 솔리드퍼퓸 002 (스테이포에버 주문시 12/15 순차배송)제품선택=best"/>
    <n v="17"/>
    <s v="고체향수"/>
    <s v="스테이포에버 2set"/>
    <n v="201210"/>
    <m/>
    <n v="999600"/>
    <n v="941123.4"/>
    <n v="94622"/>
    <n v="908727.2727272727"/>
    <s v="카페24고체향수유즈 스테이포에버 솔리드퍼퓸 002 (스테이포에버 주문시 12/15 순차배송)제품선택=best201210"/>
  </r>
  <r>
    <x v="201"/>
    <s v="금"/>
    <m/>
    <s v="카페24"/>
    <s v="유즈 스테이포에버 솔리드퍼퓸 002 (스테이포에버 주문시 12/15 순차배송)제품선택=best스테이포에버 2개[28% 할인]"/>
    <n v="30"/>
    <s v="고체향수"/>
    <s v="스테이포에버 2set"/>
    <n v="201210"/>
    <m/>
    <n v="1764000"/>
    <n v="1660806"/>
    <n v="166980"/>
    <n v="1603636.363636364"/>
    <s v="카페24고체향수유즈 스테이포에버 솔리드퍼퓸 002 (스테이포에버 주문시 12/15 순차배송)제품선택=best스테이포에버 2개[28% 할인]201210"/>
  </r>
  <r>
    <x v="201"/>
    <s v="금"/>
    <m/>
    <s v="카페24"/>
    <s v="유즈 스테이포에버 솔리드퍼퓸 002 (스테이포에버 주문시 12/15 순차배송)제품선택=스테이포에버 2개 세트[Pre-order 이벤트 28% 할인]"/>
    <n v="22"/>
    <s v="고체향수"/>
    <s v="스테이포에버 2set"/>
    <n v="201210"/>
    <m/>
    <n v="1293600"/>
    <n v="1217924.4"/>
    <n v="122452"/>
    <n v="1176000"/>
    <s v="카페24고체향수유즈 스테이포에버 솔리드퍼퓸 002 (스테이포에버 주문시 12/15 순차배송)제품선택=스테이포에버 2개 세트[Pre-order 이벤트 28% 할인]201210"/>
  </r>
  <r>
    <x v="201"/>
    <s v="금"/>
    <m/>
    <s v="카페24"/>
    <s v="유즈 스테이포에버 솔리드퍼퓸 002 (스테이포에버 주문시 12/15 순차배송)제품선택=스테이포에버 + 이그나이트 세트"/>
    <n v="2"/>
    <s v="고체향수"/>
    <s v="이그나이트 + 스테이포에버"/>
    <n v="201210"/>
    <m/>
    <n v="138000"/>
    <n v="129927"/>
    <n v="11342"/>
    <n v="125454.5454545454"/>
    <s v="카페24고체향수유즈 스테이포에버 솔리드퍼퓸 002 (스테이포에버 주문시 12/15 순차배송)제품선택=스테이포에버 + 이그나이트 세트201210"/>
  </r>
  <r>
    <x v="201"/>
    <s v="금"/>
    <m/>
    <s v="카페24"/>
    <s v="유즈 스테이포에버 솔리드퍼퓸 002 (스테이포에버 주문시 12/15 순차배송)제품선택=커플추천"/>
    <n v="3"/>
    <s v="고체향수"/>
    <s v="이그나이트 + 스테이포에버"/>
    <n v="201210"/>
    <m/>
    <n v="207000"/>
    <n v="194890.5"/>
    <n v="17013"/>
    <n v="188181.8181818182"/>
    <s v="카페24고체향수유즈 스테이포에버 솔리드퍼퓸 002 (스테이포에버 주문시 12/15 순차배송)제품선택=커플추천201210"/>
  </r>
  <r>
    <x v="201"/>
    <s v="금"/>
    <m/>
    <s v="카페24"/>
    <s v="유즈 스테이포에버 솔리드퍼퓸 002 (스테이포에버 주문시 12/15 순차배송)쇼핑백=선물용 쇼핑백"/>
    <n v="6"/>
    <s v="쇼핑백"/>
    <s v="쇼핑백"/>
    <n v="201210"/>
    <m/>
    <n v="12000"/>
    <n v="11298"/>
    <n v="7260"/>
    <n v="10909.09090909091"/>
    <s v="카페24쇼핑백유즈 스테이포에버 솔리드퍼퓸 002 (스테이포에버 주문시 12/15 순차배송)쇼핑백=선물용 쇼핑백201210"/>
  </r>
  <r>
    <x v="201"/>
    <s v="금"/>
    <m/>
    <s v="카페24"/>
    <s v="유즈 이그나이트 솔리드퍼퓸 001제품선택=이그나이트 솔리드퍼퓸 - 30ml"/>
    <n v="3"/>
    <s v="고체향수"/>
    <s v="이그나이트"/>
    <n v="201210"/>
    <m/>
    <n v="114000"/>
    <n v="107331"/>
    <n v="8664"/>
    <n v="103636.3636363636"/>
    <s v="카페24고체향수유즈 이그나이트 솔리드퍼퓸 001제품선택=이그나이트 솔리드퍼퓸 - 30ml201210"/>
  </r>
  <r>
    <x v="201"/>
    <s v="금"/>
    <m/>
    <s v="카페24"/>
    <s v="유즈 이그나이트 솔리드퍼퓸 001제품선택=이그나이트 2개 세트"/>
    <n v="2"/>
    <s v="고체향수"/>
    <s v="이그나이트 2set"/>
    <n v="201210"/>
    <m/>
    <n v="117600"/>
    <n v="110720.4"/>
    <n v="11552"/>
    <n v="106909.0909090909"/>
    <s v="카페24고체향수유즈 이그나이트 솔리드퍼퓸 001제품선택=이그나이트 2개 세트201210"/>
  </r>
  <r>
    <x v="202"/>
    <s v="토"/>
    <m/>
    <s v="카페24"/>
    <s v="유즈 솔리드퍼퓸 - 30ml (스테이포에버 주문 시 12/15 순차배송)향=이그나이트 001 SOLID PERFUME, 세트 선택=1"/>
    <n v="1"/>
    <s v="고체향수"/>
    <s v="이그나이트"/>
    <n v="201210"/>
    <m/>
    <n v="38000"/>
    <n v="35777"/>
    <n v="2888"/>
    <n v="34545.45454545454"/>
    <s v="카페24고체향수유즈 솔리드퍼퓸 - 30ml (스테이포에버 주문 시 12/15 순차배송)향=이그나이트 001 SOLID PERFUME, 세트 선택=1201210"/>
  </r>
  <r>
    <x v="202"/>
    <s v="토"/>
    <m/>
    <s v="카페24"/>
    <s v="유즈 솔리드퍼퓸 - 30ml (스테이포에버 주문 시 12/15 순차배송)향=스테이포에버 002 SOLID PERFUME, 세트 선택=1"/>
    <n v="14"/>
    <s v="고체향수"/>
    <s v="스테이포에버"/>
    <n v="201210"/>
    <m/>
    <n v="532000"/>
    <n v="500878"/>
    <n v="38962"/>
    <n v="483636.3636363636"/>
    <s v="카페24고체향수유즈 솔리드퍼퓸 - 30ml (스테이포에버 주문 시 12/15 순차배송)향=스테이포에버 002 SOLID PERFUME, 세트 선택=1201210"/>
  </r>
  <r>
    <x v="202"/>
    <s v="토"/>
    <m/>
    <s v="카페24"/>
    <s v="유즈 솔리드퍼퓸 - 30ml (스테이포에버 주문 시 12/15 순차배송)향=스테이포에버 002 SOLID PERFUME, 세트 선택=best"/>
    <n v="5"/>
    <s v="고체향수"/>
    <s v="스테이포에버"/>
    <n v="201210"/>
    <m/>
    <n v="190000"/>
    <n v="178885"/>
    <n v="13915"/>
    <n v="172727.2727272727"/>
    <s v="카페24고체향수유즈 솔리드퍼퓸 - 30ml (스테이포에버 주문 시 12/15 순차배송)향=스테이포에버 002 SOLID PERFUME, 세트 선택=best201210"/>
  </r>
  <r>
    <x v="202"/>
    <s v="토"/>
    <m/>
    <s v="카페24"/>
    <s v="유즈 솔리드퍼퓸 - 30ml (스테이포에버 주문 시 12/15 순차배송)향=스테이포에버 002 SOLID PERFUME, 세트 선택=best(28% 할인)2개"/>
    <n v="5"/>
    <s v="고체향수"/>
    <s v="스테이포에버 2set"/>
    <n v="201210"/>
    <m/>
    <n v="294000"/>
    <n v="276801"/>
    <n v="27830"/>
    <n v="267272.7272727272"/>
    <s v="카페24고체향수유즈 솔리드퍼퓸 - 30ml (스테이포에버 주문 시 12/15 순차배송)향=스테이포에버 002 SOLID PERFUME, 세트 선택=best(28% 할인)2개201210"/>
  </r>
  <r>
    <x v="202"/>
    <s v="토"/>
    <m/>
    <s v="카페24"/>
    <s v="유즈 솔리드퍼퓸 - 30ml (스테이포에버 주문 시 12/15 순차배송)향=커플세트"/>
    <n v="6"/>
    <s v="고체향수"/>
    <s v="이그나이트 + 스테이포에버"/>
    <n v="201210"/>
    <m/>
    <n v="414000"/>
    <n v="389781"/>
    <n v="34026"/>
    <n v="376363.6363636364"/>
    <s v="카페24고체향수유즈 솔리드퍼퓸 - 30ml (스테이포에버 주문 시 12/15 순차배송)향=커플세트201210"/>
  </r>
  <r>
    <x v="202"/>
    <s v="토"/>
    <m/>
    <s v="카페24"/>
    <s v="유즈 솔리드퍼퓸 - 30ml (스테이포에버 주문 시 12/15 순차배송)향=커플세트(이그나이트 + 스테이포에버), 세트 선택=1 SET"/>
    <n v="5"/>
    <s v="고체향수"/>
    <s v="이그나이트 + 스테이포에버"/>
    <n v="201210"/>
    <m/>
    <n v="345000"/>
    <n v="324817.5"/>
    <n v="28355"/>
    <n v="313636.3636363636"/>
    <s v="카페24고체향수유즈 솔리드퍼퓸 - 30ml (스테이포에버 주문 시 12/15 순차배송)향=커플세트(이그나이트 + 스테이포에버), 세트 선택=1 SET201210"/>
  </r>
  <r>
    <x v="202"/>
    <s v="토"/>
    <m/>
    <s v="카페24"/>
    <s v="유즈 솔리드퍼퓸 - 30ml (스테이포에버 주문 시 12/15 순차배송)향=커플세트"/>
    <n v="1"/>
    <s v="고체향수"/>
    <s v="이그나이트 + 스테이포에버"/>
    <n v="201210"/>
    <m/>
    <n v="69000"/>
    <n v="64963.5"/>
    <n v="5671"/>
    <n v="62727.27272727272"/>
    <s v="카페24고체향수유즈 솔리드퍼퓸 - 30ml (스테이포에버 주문 시 12/15 순차배송)향=커플세트201210"/>
  </r>
  <r>
    <x v="202"/>
    <s v="토"/>
    <m/>
    <s v="카페24"/>
    <s v="유즈 솔리드퍼퓸 - 30ml (스테이포에버 주문 시 12/15 순차배송)향=커플세트(이그나이트 + 스테이포에버), 세트 선택=2 SET (42% 할인)"/>
    <n v="2"/>
    <s v="고체향수"/>
    <s v="이그나이트 + 스테이포에버"/>
    <n v="201210"/>
    <m/>
    <n v="138000"/>
    <n v="129927"/>
    <n v="11342"/>
    <n v="125454.5454545454"/>
    <s v="카페24고체향수유즈 솔리드퍼퓸 - 30ml (스테이포에버 주문 시 12/15 순차배송)향=커플세트(이그나이트 + 스테이포에버), 세트 선택=2 SET (42% 할인)201210"/>
  </r>
  <r>
    <x v="202"/>
    <s v="토"/>
    <m/>
    <s v="카페24"/>
    <s v="유즈 스테이포에버 솔리드퍼퓸 002 (스테이포에버 주문시 12/14 순차배송)제품선택=스테이포에버 2개 세트[Pre-order 이벤트 28% 할인]"/>
    <n v="1"/>
    <s v="고체향수"/>
    <s v="스테이포에버 2set"/>
    <n v="201210"/>
    <m/>
    <n v="58800"/>
    <n v="55360.2"/>
    <n v="5566"/>
    <n v="53454.54545454545"/>
    <s v="카페24고체향수유즈 스테이포에버 솔리드퍼퓸 002 (스테이포에버 주문시 12/14 순차배송)제품선택=스테이포에버 2개 세트[Pre-order 이벤트 28% 할인]201210"/>
  </r>
  <r>
    <x v="202"/>
    <s v="토"/>
    <m/>
    <s v="카페24"/>
    <s v="유즈 스테이포에버 솔리드퍼퓸 002 (스테이포에버 주문시 12/15 순차배송)제품선택=스테이포에버 1개"/>
    <n v="190"/>
    <s v="고체향수"/>
    <s v="스테이포에버"/>
    <n v="201210"/>
    <m/>
    <n v="7220000"/>
    <n v="6797630"/>
    <n v="528770"/>
    <n v="6563636.363636363"/>
    <s v="카페24고체향수유즈 스테이포에버 솔리드퍼퓸 002 (스테이포에버 주문시 12/15 순차배송)제품선택=스테이포에버 1개201210"/>
  </r>
  <r>
    <x v="202"/>
    <s v="토"/>
    <m/>
    <s v="카페24"/>
    <s v="유즈 스테이포에버 솔리드퍼퓸 002 (스테이포에버 주문시 12/15 순차배송)제품선택=스테이포에버 [17% 할인]"/>
    <n v="1"/>
    <s v="고체향수"/>
    <s v="스테이포에버"/>
    <n v="201210"/>
    <m/>
    <n v="38000"/>
    <n v="35777"/>
    <n v="2783"/>
    <n v="34545.45454545454"/>
    <s v="카페24고체향수유즈 스테이포에버 솔리드퍼퓸 002 (스테이포에버 주문시 12/15 순차배송)제품선택=스테이포에버 [17% 할인]201210"/>
  </r>
  <r>
    <x v="202"/>
    <s v="토"/>
    <m/>
    <s v="카페24"/>
    <s v="유즈 스테이포에버 솔리드퍼퓸 002 (스테이포에버 주문시 12/15 순차배송)제품선택=best"/>
    <n v="45"/>
    <s v="고체향수"/>
    <s v="스테이포에버 2set"/>
    <n v="201210"/>
    <m/>
    <n v="2646000"/>
    <n v="2491209"/>
    <n v="250470"/>
    <n v="2405454.545454545"/>
    <s v="카페24고체향수유즈 스테이포에버 솔리드퍼퓸 002 (스테이포에버 주문시 12/15 순차배송)제품선택=best201210"/>
  </r>
  <r>
    <x v="202"/>
    <s v="토"/>
    <m/>
    <s v="카페24"/>
    <s v="유즈 스테이포에버 솔리드퍼퓸 002 (스테이포에버 주문시 12/15 순차배송)제품선택=best스테이포에버 2개[28% 할인]"/>
    <n v="55"/>
    <s v="고체향수"/>
    <s v="스테이포에버 2set"/>
    <n v="201210"/>
    <m/>
    <n v="3234000"/>
    <n v="3044811"/>
    <n v="306130"/>
    <n v="2940000"/>
    <s v="카페24고체향수유즈 스테이포에버 솔리드퍼퓸 002 (스테이포에버 주문시 12/15 순차배송)제품선택=best스테이포에버 2개[28% 할인]201210"/>
  </r>
  <r>
    <x v="202"/>
    <s v="토"/>
    <m/>
    <s v="카페24"/>
    <s v="유즈 스테이포에버 솔리드퍼퓸 002 (스테이포에버 주문시 12/15 순차배송)제품선택=스테이포에버 2개 세트[Pre-order 이벤트 28% 할인]"/>
    <n v="1"/>
    <s v="고체향수"/>
    <s v="스테이포에버 2set"/>
    <n v="201210"/>
    <m/>
    <n v="58800"/>
    <n v="55360.2"/>
    <n v="5566"/>
    <n v="53454.54545454545"/>
    <s v="카페24고체향수유즈 스테이포에버 솔리드퍼퓸 002 (스테이포에버 주문시 12/15 순차배송)제품선택=스테이포에버 2개 세트[Pre-order 이벤트 28% 할인]201210"/>
  </r>
  <r>
    <x v="202"/>
    <s v="토"/>
    <m/>
    <s v="카페24"/>
    <s v="유즈 스테이포에버 솔리드퍼퓸 002 (스테이포에버 주문시 12/15 순차배송)제품선택=커플추천"/>
    <n v="6"/>
    <s v="고체향수"/>
    <s v="이그나이트 + 스테이포에버"/>
    <n v="201210"/>
    <m/>
    <n v="414000"/>
    <n v="389781"/>
    <n v="34026"/>
    <n v="376363.6363636364"/>
    <s v="카페24고체향수유즈 스테이포에버 솔리드퍼퓸 002 (스테이포에버 주문시 12/15 순차배송)제품선택=커플추천201210"/>
  </r>
  <r>
    <x v="202"/>
    <s v="토"/>
    <m/>
    <s v="카페24"/>
    <s v="유즈 스테이포에버 솔리드퍼퓸 002 (스테이포에버 주문시 12/15 순차배송)제품선택=커플추천스테이포에버 + 이그나이트 세트"/>
    <n v="7"/>
    <s v="고체향수"/>
    <s v="이그나이트 + 스테이포에버"/>
    <n v="201210"/>
    <m/>
    <n v="483000"/>
    <n v="454744.5"/>
    <n v="39697"/>
    <n v="439090.9090909091"/>
    <s v="카페24고체향수유즈 스테이포에버 솔리드퍼퓸 002 (스테이포에버 주문시 12/15 순차배송)제품선택=커플추천스테이포에버 + 이그나이트 세트201210"/>
  </r>
  <r>
    <x v="202"/>
    <s v="토"/>
    <m/>
    <s v="카페24"/>
    <s v="유즈 스테이포에버 솔리드퍼퓸 002 (스테이포에버 주문시 12/15 순차배송)쇼핑백=선물용 쇼핑백"/>
    <n v="8"/>
    <s v="쇼핑백"/>
    <s v="쇼핑백"/>
    <n v="201210"/>
    <m/>
    <n v="16000"/>
    <n v="15064"/>
    <n v="9680"/>
    <n v="14545.45454545454"/>
    <s v="카페24쇼핑백유즈 스테이포에버 솔리드퍼퓸 002 (스테이포에버 주문시 12/15 순차배송)쇼핑백=선물용 쇼핑백201210"/>
  </r>
  <r>
    <x v="202"/>
    <s v="토"/>
    <m/>
    <s v="카페24"/>
    <s v="유즈 이그나이트 솔리드퍼퓸 001제품선택=이그나이트 솔리드퍼퓸 - 30ml"/>
    <n v="4"/>
    <s v="고체향수"/>
    <s v="이그나이트"/>
    <n v="201210"/>
    <m/>
    <n v="152000"/>
    <n v="143108"/>
    <n v="11552"/>
    <n v="138181.8181818182"/>
    <s v="카페24고체향수유즈 이그나이트 솔리드퍼퓸 001제품선택=이그나이트 솔리드퍼퓸 - 30ml201210"/>
  </r>
  <r>
    <x v="202"/>
    <s v="토"/>
    <m/>
    <s v="카페24"/>
    <s v="유즈 이그나이트 솔리드퍼퓸 001제품선택=이그나이트 2개 세트"/>
    <n v="1"/>
    <s v="고체향수"/>
    <s v="이그나이트 2set"/>
    <n v="201210"/>
    <m/>
    <n v="58800"/>
    <n v="55360.2"/>
    <n v="5776"/>
    <n v="53454.54545454545"/>
    <s v="카페24고체향수유즈 이그나이트 솔리드퍼퓸 001제품선택=이그나이트 2개 세트201210"/>
  </r>
  <r>
    <x v="203"/>
    <s v="일"/>
    <m/>
    <s v="카페24"/>
    <s v="유즈 솔리드퍼퓸 - 30ml (스테이포에버 주문 시 12/15 순차배송)향=이그나이트 001 SOLID PERFUME, 세트 선택=1"/>
    <n v="1"/>
    <s v="고체향수"/>
    <s v="이그나이트"/>
    <n v="201210"/>
    <m/>
    <n v="38000"/>
    <n v="35777"/>
    <n v="2888"/>
    <n v="34545.45454545454"/>
    <s v="카페24고체향수유즈 솔리드퍼퓸 - 30ml (스테이포에버 주문 시 12/15 순차배송)향=이그나이트 001 SOLID PERFUME, 세트 선택=1201210"/>
  </r>
  <r>
    <x v="203"/>
    <s v="일"/>
    <m/>
    <s v="카페24"/>
    <s v="유즈 솔리드퍼퓸 - 30ml (스테이포에버 주문 시 12/15 순차배송)향=스테이포에버 002 SOLID PERFUME, 세트 선택=1"/>
    <n v="19"/>
    <s v="고체향수"/>
    <s v="스테이포에버"/>
    <n v="201210"/>
    <m/>
    <n v="722000"/>
    <n v="679763"/>
    <n v="52877"/>
    <n v="656363.6363636364"/>
    <s v="카페24고체향수유즈 솔리드퍼퓸 - 30ml (스테이포에버 주문 시 12/15 순차배송)향=스테이포에버 002 SOLID PERFUME, 세트 선택=1201210"/>
  </r>
  <r>
    <x v="203"/>
    <s v="일"/>
    <m/>
    <s v="카페24"/>
    <s v="유즈 솔리드퍼퓸 - 30ml (스테이포에버 주문 시 12/15 순차배송)향=스테이포에버 002 SOLID PERFUME, 세트 선택=best"/>
    <n v="3"/>
    <s v="고체향수"/>
    <s v="스테이포에버"/>
    <n v="201210"/>
    <m/>
    <n v="114000"/>
    <n v="107331"/>
    <n v="8349"/>
    <n v="103636.3636363636"/>
    <s v="카페24고체향수유즈 솔리드퍼퓸 - 30ml (스테이포에버 주문 시 12/15 순차배송)향=스테이포에버 002 SOLID PERFUME, 세트 선택=best201210"/>
  </r>
  <r>
    <x v="203"/>
    <s v="일"/>
    <m/>
    <s v="카페24"/>
    <s v="유즈 솔리드퍼퓸 - 30ml (스테이포에버 주문 시 12/15 순차배송)향=커플세트"/>
    <n v="5"/>
    <s v="고체향수"/>
    <s v="이그나이트 + 스테이포에버"/>
    <n v="201210"/>
    <m/>
    <n v="345000"/>
    <n v="324817.5"/>
    <n v="28355"/>
    <n v="313636.3636363636"/>
    <s v="카페24고체향수유즈 솔리드퍼퓸 - 30ml (스테이포에버 주문 시 12/15 순차배송)향=커플세트201210"/>
  </r>
  <r>
    <x v="203"/>
    <s v="일"/>
    <m/>
    <s v="카페24"/>
    <s v="유즈 솔리드퍼퓸 - 30ml (스테이포에버 주문 시 12/15 순차배송)향=커플세트(이그나이트 + 스테이포에버), 세트 선택=1 SET"/>
    <n v="4"/>
    <s v="고체향수"/>
    <s v="이그나이트 + 스테이포에버"/>
    <n v="201210"/>
    <m/>
    <n v="276000"/>
    <n v="259854"/>
    <n v="22684"/>
    <n v="250909.0909090909"/>
    <s v="카페24고체향수유즈 솔리드퍼퓸 - 30ml (스테이포에버 주문 시 12/15 순차배송)향=커플세트(이그나이트 + 스테이포에버), 세트 선택=1 SET201210"/>
  </r>
  <r>
    <x v="203"/>
    <s v="일"/>
    <m/>
    <s v="카페24"/>
    <s v="유즈 솔리드퍼퓸 - 30ml (스테이포에버 주문 시 12/15 순차배송)향=커플세트(이그나이트 + 스테이포에버), 세트 선택=2 SET (42% 할인)"/>
    <n v="1"/>
    <s v="고체향수"/>
    <s v="이그나이트 + 스테이포에버"/>
    <n v="201210"/>
    <m/>
    <n v="69000"/>
    <n v="64963.5"/>
    <n v="5671"/>
    <n v="62727.27272727272"/>
    <s v="카페24고체향수유즈 솔리드퍼퓸 - 30ml (스테이포에버 주문 시 12/15 순차배송)향=커플세트(이그나이트 + 스테이포에버), 세트 선택=2 SET (42% 할인)201210"/>
  </r>
  <r>
    <x v="203"/>
    <s v="일"/>
    <m/>
    <s v="카페24"/>
    <s v="유즈 스테이포에버 솔리드퍼퓸 002 (스테이포에버 주문시 12/15 순차배송)제품선택=스테이포에버 1개"/>
    <n v="197"/>
    <s v="고체향수"/>
    <s v="스테이포에버"/>
    <n v="201210"/>
    <m/>
    <n v="7486000"/>
    <n v="7048069"/>
    <n v="548251"/>
    <n v="6805454.545454545"/>
    <s v="카페24고체향수유즈 스테이포에버 솔리드퍼퓸 002 (스테이포에버 주문시 12/15 순차배송)제품선택=스테이포에버 1개201210"/>
  </r>
  <r>
    <x v="203"/>
    <s v="일"/>
    <m/>
    <s v="카페24"/>
    <s v="유즈 스테이포에버 솔리드퍼퓸 002 (스테이포에버 주문시 12/15 순차배송)제품선택=스테이포에버 솔리드퍼퓸 002[Pre-order 이벤트 17% 할인]"/>
    <n v="1"/>
    <s v="고체향수"/>
    <s v="스테이포에버"/>
    <n v="201210"/>
    <m/>
    <n v="38000"/>
    <n v="35777"/>
    <n v="2783"/>
    <n v="34545.45454545454"/>
    <s v="카페24고체향수유즈 스테이포에버 솔리드퍼퓸 002 (스테이포에버 주문시 12/15 순차배송)제품선택=스테이포에버 솔리드퍼퓸 002[Pre-order 이벤트 17% 할인]201210"/>
  </r>
  <r>
    <x v="203"/>
    <s v="일"/>
    <m/>
    <s v="카페24"/>
    <s v="유즈 스테이포에버 솔리드퍼퓸 002 (스테이포에버 주문시 12/15 순차배송)제품선택=best"/>
    <n v="44"/>
    <s v="고체향수"/>
    <s v="스테이포에버 2set"/>
    <n v="201210"/>
    <m/>
    <n v="2587200"/>
    <n v="2435848.8"/>
    <n v="244904"/>
    <n v="2352000"/>
    <s v="카페24고체향수유즈 스테이포에버 솔리드퍼퓸 002 (스테이포에버 주문시 12/15 순차배송)제품선택=best201210"/>
  </r>
  <r>
    <x v="203"/>
    <s v="일"/>
    <m/>
    <s v="카페24"/>
    <s v="유즈 스테이포에버 솔리드퍼퓸 002 (스테이포에버 주문시 12/15 순차배송)제품선택=best스테이포에버 2개[28% 할인]"/>
    <n v="54"/>
    <s v="고체향수"/>
    <s v="스테이포에버 2set"/>
    <n v="201210"/>
    <m/>
    <n v="3175200"/>
    <n v="2989450.8"/>
    <n v="300564"/>
    <n v="2886545.454545454"/>
    <s v="카페24고체향수유즈 스테이포에버 솔리드퍼퓸 002 (스테이포에버 주문시 12/15 순차배송)제품선택=best스테이포에버 2개[28% 할인]201210"/>
  </r>
  <r>
    <x v="203"/>
    <s v="일"/>
    <m/>
    <s v="카페24"/>
    <s v="유즈 스테이포에버 솔리드퍼퓸 002 (스테이포에버 주문시 12/15 순차배송)제품선택=커플추천"/>
    <n v="2"/>
    <s v="고체향수"/>
    <s v="이그나이트 + 스테이포에버"/>
    <n v="201210"/>
    <m/>
    <n v="138000"/>
    <n v="129927"/>
    <n v="11342"/>
    <n v="125454.5454545454"/>
    <s v="카페24고체향수유즈 스테이포에버 솔리드퍼퓸 002 (스테이포에버 주문시 12/15 순차배송)제품선택=커플추천201210"/>
  </r>
  <r>
    <x v="203"/>
    <s v="일"/>
    <m/>
    <s v="카페24"/>
    <s v="유즈 스테이포에버 솔리드퍼퓸 002 (스테이포에버 주문시 12/15 순차배송)제품선택=커플추천스테이포에버 + 이그나이트 세트"/>
    <n v="8"/>
    <s v="고체향수"/>
    <s v="이그나이트 + 스테이포에버"/>
    <n v="201210"/>
    <m/>
    <n v="552000"/>
    <n v="519708"/>
    <n v="45368"/>
    <n v="501818.1818181818"/>
    <s v="카페24고체향수유즈 스테이포에버 솔리드퍼퓸 002 (스테이포에버 주문시 12/15 순차배송)제품선택=커플추천스테이포에버 + 이그나이트 세트201210"/>
  </r>
  <r>
    <x v="203"/>
    <s v="일"/>
    <m/>
    <s v="카페24"/>
    <s v="유즈 스테이포에버 솔리드퍼퓸 002 (스테이포에버 주문시 12/15 순차배송)쇼핑백=선물용 쇼핑백"/>
    <n v="3"/>
    <s v="쇼핑백"/>
    <s v="쇼핑백"/>
    <n v="201210"/>
    <m/>
    <n v="6000"/>
    <n v="5649"/>
    <n v="3630"/>
    <n v="5454.545454545454"/>
    <s v="카페24쇼핑백유즈 스테이포에버 솔리드퍼퓸 002 (스테이포에버 주문시 12/15 순차배송)쇼핑백=선물용 쇼핑백201210"/>
  </r>
  <r>
    <x v="203"/>
    <s v="일"/>
    <m/>
    <s v="카페24"/>
    <s v="유즈 이그나이트 솔리드퍼퓸 001제품선택=이그나이트 솔리드퍼퓸 - 30ml"/>
    <n v="3"/>
    <s v="고체향수"/>
    <s v="이그나이트"/>
    <n v="201210"/>
    <m/>
    <n v="114000"/>
    <n v="107331"/>
    <n v="8664"/>
    <n v="103636.3636363636"/>
    <s v="카페24고체향수유즈 이그나이트 솔리드퍼퓸 001제품선택=이그나이트 솔리드퍼퓸 - 30ml201210"/>
  </r>
  <r>
    <x v="203"/>
    <s v="일"/>
    <m/>
    <s v="카페24"/>
    <s v="유즈 이그나이트 솔리드퍼퓸 001제품선택=이그나이트 2개 세트"/>
    <n v="1"/>
    <s v="고체향수"/>
    <s v="이그나이트 2set"/>
    <n v="201210"/>
    <m/>
    <n v="58800"/>
    <n v="55360.2"/>
    <n v="5776"/>
    <n v="53454.54545454545"/>
    <s v="카페24고체향수유즈 이그나이트 솔리드퍼퓸 001제품선택=이그나이트 2개 세트201210"/>
  </r>
  <r>
    <x v="204"/>
    <s v="월"/>
    <m/>
    <s v="카페24"/>
    <s v="스테이포에버 솔리드퍼퓸 002 (10차 재입고 완료제품선택=스테이포에버 1개"/>
    <n v="20"/>
    <s v="고체향수"/>
    <s v="스테이포에버"/>
    <n v="201210"/>
    <m/>
    <n v="760000"/>
    <n v="715540"/>
    <n v="55660"/>
    <n v="690909.0909090908"/>
    <s v="카페24고체향수스테이포에버 솔리드퍼퓸 002 (10차 재입고 완료제품선택=스테이포에버 1개201210"/>
  </r>
  <r>
    <x v="204"/>
    <s v="월"/>
    <m/>
    <s v="카페24"/>
    <s v="스테이포에버 솔리드퍼퓸 002 (10차 재입고 완료제품선택=best"/>
    <n v="15"/>
    <s v="고체향수"/>
    <s v="스테이포에버 2set"/>
    <n v="201210"/>
    <m/>
    <n v="882000"/>
    <n v="830403"/>
    <n v="83490"/>
    <n v="801818.1818181818"/>
    <s v="카페24고체향수스테이포에버 솔리드퍼퓸 002 (10차 재입고 완료제품선택=best201210"/>
  </r>
  <r>
    <x v="204"/>
    <s v="월"/>
    <m/>
    <s v="카페24"/>
    <s v="스테이포에버 솔리드퍼퓸 002 (10차 재입고 완료제품선택=커플추천"/>
    <n v="2"/>
    <s v="고체향수"/>
    <s v="이그나이트 + 스테이포에버"/>
    <n v="201210"/>
    <m/>
    <n v="138000"/>
    <n v="129927"/>
    <n v="11342"/>
    <n v="125454.5454545454"/>
    <s v="카페24고체향수스테이포에버 솔리드퍼퓸 002 (10차 재입고 완료제품선택=커플추천201210"/>
  </r>
  <r>
    <x v="204"/>
    <s v="월"/>
    <m/>
    <s v="카페24"/>
    <s v="스테이포에버 솔리드퍼퓸 002 (10차 재입고 완료쇼핑백=선물용 쇼핑백"/>
    <n v="1"/>
    <s v="쇼핑백"/>
    <s v="쇼핑백"/>
    <n v="201210"/>
    <m/>
    <n v="2000"/>
    <n v="1883"/>
    <n v="1210"/>
    <n v="1818.181818181818"/>
    <s v="카페24쇼핑백스테이포에버 솔리드퍼퓸 002 (10차 재입고 완료쇼핑백=선물용 쇼핑백201210"/>
  </r>
  <r>
    <x v="204"/>
    <s v="월"/>
    <m/>
    <s v="카페24"/>
    <s v="스테이포에버 솔리드퍼퓸 002 (10차 재입고 완료)제품선택=스테이포에버 1개"/>
    <n v="45"/>
    <s v="고체향수"/>
    <s v="스테이포에버"/>
    <n v="201210"/>
    <m/>
    <n v="1710000"/>
    <n v="1609965"/>
    <n v="125235"/>
    <n v="1554545.454545454"/>
    <s v="카페24고체향수스테이포에버 솔리드퍼퓸 002 (10차 재입고 완료)제품선택=스테이포에버 1개201210"/>
  </r>
  <r>
    <x v="204"/>
    <s v="월"/>
    <m/>
    <s v="카페24"/>
    <s v="스테이포에버 솔리드퍼퓸 002 (10차 재입고 완료)제품선택=best스테이포에버 2개[28% 할인]"/>
    <n v="12"/>
    <s v="고체향수"/>
    <s v="스테이포에버 2set"/>
    <n v="201210"/>
    <m/>
    <n v="705600"/>
    <n v="664322.4"/>
    <n v="66792"/>
    <n v="641454.5454545454"/>
    <s v="카페24고체향수스테이포에버 솔리드퍼퓸 002 (10차 재입고 완료)제품선택=best스테이포에버 2개[28% 할인]201210"/>
  </r>
  <r>
    <x v="204"/>
    <s v="월"/>
    <m/>
    <s v="카페24"/>
    <s v="스테이포에버 솔리드퍼퓸 002 (10차 재입고 완료)제품선택=커플추천스테이포에버 + 이그나이트 세트"/>
    <n v="1"/>
    <s v="고체향수"/>
    <s v="이그나이트 + 스테이포에버"/>
    <n v="201210"/>
    <m/>
    <n v="69000"/>
    <n v="64963.5"/>
    <n v="5671"/>
    <n v="62727.27272727272"/>
    <s v="카페24고체향수스테이포에버 솔리드퍼퓸 002 (10차 재입고 완료)제품선택=커플추천스테이포에버 + 이그나이트 세트201210"/>
  </r>
  <r>
    <x v="204"/>
    <s v="월"/>
    <m/>
    <s v="카페24"/>
    <s v="스테이포에버 솔리드퍼퓸 002 (10차 재입고 완료)쇼핑백=선물용 쇼핑백"/>
    <n v="4"/>
    <s v="쇼핑백"/>
    <s v="쇼핑백"/>
    <n v="201210"/>
    <m/>
    <n v="8000"/>
    <n v="7532"/>
    <n v="4840"/>
    <n v="7272.727272727272"/>
    <s v="카페24쇼핑백스테이포에버 솔리드퍼퓸 002 (10차 재입고 완료)쇼핑백=선물용 쇼핑백201210"/>
  </r>
  <r>
    <x v="204"/>
    <s v="월"/>
    <m/>
    <s v="카페24"/>
    <s v="유즈 솔리드퍼퓸 - 30ml (10차 재입고 완료향=스테이포에버 002 SOLID PERFUME, 세트 선택=1개"/>
    <n v="3"/>
    <s v="고체향수"/>
    <s v="스테이포에버"/>
    <n v="201210"/>
    <m/>
    <n v="114000"/>
    <n v="107331"/>
    <n v="8349"/>
    <n v="103636.3636363636"/>
    <s v="카페24고체향수유즈 솔리드퍼퓸 - 30ml (10차 재입고 완료향=스테이포에버 002 SOLID PERFUME, 세트 선택=1개201210"/>
  </r>
  <r>
    <x v="204"/>
    <s v="월"/>
    <m/>
    <s v="카페24"/>
    <s v="유즈 솔리드퍼퓸 - 30ml (10차 재입고 완료 )향=스테이포에버 002 SOLID PERFUME, 세트 선택=1개"/>
    <n v="3"/>
    <s v="고체향수"/>
    <s v="스테이포에버"/>
    <n v="201210"/>
    <m/>
    <n v="114000"/>
    <n v="107331"/>
    <n v="8349"/>
    <n v="103636.3636363636"/>
    <s v="카페24고체향수유즈 솔리드퍼퓸 - 30ml (10차 재입고 완료 )향=스테이포에버 002 SOLID PERFUME, 세트 선택=1개201210"/>
  </r>
  <r>
    <x v="204"/>
    <s v="월"/>
    <m/>
    <s v="카페24"/>
    <s v="유즈 솔리드퍼퓸 - 30ml (10차 재입고 완료 )향=스테이포에버 002 SOLID PERFUME, 세트 선택=best 2개 (28% 할인)"/>
    <n v="2"/>
    <s v="고체향수"/>
    <s v="스테이포에버 2set"/>
    <n v="201210"/>
    <m/>
    <n v="117600"/>
    <n v="110720.4"/>
    <n v="11132"/>
    <n v="106909.0909090909"/>
    <s v="카페24고체향수유즈 솔리드퍼퓸 - 30ml (10차 재입고 완료 )향=스테이포에버 002 SOLID PERFUME, 세트 선택=best 2개 (28% 할인)201210"/>
  </r>
  <r>
    <x v="204"/>
    <s v="월"/>
    <m/>
    <s v="카페24"/>
    <s v="유즈 솔리드퍼퓸 - 30ml (스테이포에버 주문 시 12/15 순차배송)향=스테이포에버 002 SOLID PERFUME, 세트 선택=1"/>
    <n v="7"/>
    <s v="고체향수"/>
    <s v="스테이포에버"/>
    <n v="201210"/>
    <m/>
    <n v="266000"/>
    <n v="250439"/>
    <n v="19481"/>
    <n v="241818.1818181818"/>
    <s v="카페24고체향수유즈 솔리드퍼퓸 - 30ml (스테이포에버 주문 시 12/15 순차배송)향=스테이포에버 002 SOLID PERFUME, 세트 선택=1201210"/>
  </r>
  <r>
    <x v="204"/>
    <s v="월"/>
    <m/>
    <s v="카페24"/>
    <s v="유즈 솔리드퍼퓸 - 30ml (스테이포에버 주문 시 12/15 순차배송)향=스테이포에버, 세트 선택=1 개"/>
    <n v="2"/>
    <s v="고체향수"/>
    <s v="스테이포에버"/>
    <n v="201210"/>
    <m/>
    <n v="76000"/>
    <n v="71554"/>
    <n v="5566"/>
    <n v="69090.90909090909"/>
    <s v="카페24고체향수유즈 솔리드퍼퓸 - 30ml (스테이포에버 주문 시 12/15 순차배송)향=스테이포에버, 세트 선택=1 개201210"/>
  </r>
  <r>
    <x v="204"/>
    <s v="월"/>
    <m/>
    <s v="카페24"/>
    <s v="유즈 솔리드퍼퓸 - 30ml (스테이포에버 주문 시 12/15 순차배송)향=스테이포에버 002 SOLID PERFUME, 세트 선택=best"/>
    <n v="3"/>
    <s v="고체향수"/>
    <s v="스테이포에버"/>
    <n v="201210"/>
    <m/>
    <n v="114000"/>
    <n v="107331"/>
    <n v="8349"/>
    <n v="103636.3636363636"/>
    <s v="카페24고체향수유즈 솔리드퍼퓸 - 30ml (스테이포에버 주문 시 12/15 순차배송)향=스테이포에버 002 SOLID PERFUME, 세트 선택=best201210"/>
  </r>
  <r>
    <x v="204"/>
    <s v="월"/>
    <m/>
    <s v="카페24"/>
    <s v="유즈 솔리드퍼퓸 - 30ml (스테이포에버 주문 시 12/15 순차배송)향=스테이포에버 002 SOLID PERFUME, 세트 선택=best(28% 할인)2개"/>
    <n v="1"/>
    <s v="고체향수"/>
    <s v="스테이포에버 2set"/>
    <n v="201210"/>
    <m/>
    <n v="58800"/>
    <n v="55360.2"/>
    <n v="5566"/>
    <n v="53454.54545454545"/>
    <s v="카페24고체향수유즈 솔리드퍼퓸 - 30ml (스테이포에버 주문 시 12/15 순차배송)향=스테이포에버 002 SOLID PERFUME, 세트 선택=best(28% 할인)2개201210"/>
  </r>
  <r>
    <x v="204"/>
    <s v="월"/>
    <m/>
    <s v="카페24"/>
    <s v="유즈 솔리드퍼퓸 - 30ml (스테이포에버 주문 시 12/15 순차배송)향=이그나이트 + 스테이포에버, 세트 선택=1 SET"/>
    <n v="3"/>
    <s v="고체향수"/>
    <s v="이그나이트 + 스테이포에버"/>
    <n v="201210"/>
    <m/>
    <n v="207000"/>
    <n v="194890.5"/>
    <n v="17013"/>
    <n v="188181.8181818182"/>
    <s v="카페24고체향수유즈 솔리드퍼퓸 - 30ml (스테이포에버 주문 시 12/15 순차배송)향=이그나이트 + 스테이포에버, 세트 선택=1 SET201210"/>
  </r>
  <r>
    <x v="204"/>
    <s v="월"/>
    <m/>
    <s v="카페24"/>
    <s v="유즈 솔리드퍼퓸 - 30ml (스테이포에버 주문 시 12/15 순차배송)향=커플세트"/>
    <n v="7"/>
    <s v="고체향수"/>
    <s v="이그나이트 + 스테이포에버"/>
    <n v="201210"/>
    <m/>
    <n v="483000"/>
    <n v="454744.5"/>
    <n v="39697"/>
    <n v="439090.9090909091"/>
    <s v="카페24고체향수유즈 솔리드퍼퓸 - 30ml (스테이포에버 주문 시 12/15 순차배송)향=커플세트201210"/>
  </r>
  <r>
    <x v="204"/>
    <s v="월"/>
    <m/>
    <s v="카페24"/>
    <s v="유즈 솔리드퍼퓸 - 30ml (스테이포에버 주문 시 12/15 순차배송)향=커플세트(이그나이트 + 스테이포에버), 세트 선택=1 SET"/>
    <n v="2"/>
    <s v="고체향수"/>
    <s v="이그나이트 + 스테이포에버"/>
    <n v="201210"/>
    <m/>
    <n v="138000"/>
    <n v="129927"/>
    <n v="11342"/>
    <n v="125454.5454545454"/>
    <s v="카페24고체향수유즈 솔리드퍼퓸 - 30ml (스테이포에버 주문 시 12/15 순차배송)향=커플세트(이그나이트 + 스테이포에버), 세트 선택=1 SET201210"/>
  </r>
  <r>
    <x v="204"/>
    <s v="월"/>
    <m/>
    <s v="카페24"/>
    <s v="유즈 스테이포에버 솔리드퍼퓸 002 (10차 재입고 완료제품선택=커플추천"/>
    <n v="1"/>
    <s v="고체향수"/>
    <s v="이그나이트 + 스테이포에버"/>
    <n v="201210"/>
    <m/>
    <n v="69000"/>
    <n v="64963.5"/>
    <n v="5671"/>
    <n v="62727.27272727272"/>
    <s v="카페24고체향수유즈 스테이포에버 솔리드퍼퓸 002 (10차 재입고 완료제품선택=커플추천201210"/>
  </r>
  <r>
    <x v="204"/>
    <s v="월"/>
    <m/>
    <s v="카페24"/>
    <s v="유즈 스테이포에버 솔리드퍼퓸 002 (10차 재입고 완료)제품선택=스테이포에버 1개"/>
    <n v="1"/>
    <s v="고체향수"/>
    <s v="스테이포에버"/>
    <n v="201210"/>
    <m/>
    <n v="38000"/>
    <n v="35777"/>
    <n v="2783"/>
    <n v="34545.45454545454"/>
    <s v="카페24고체향수유즈 스테이포에버 솔리드퍼퓸 002 (10차 재입고 완료)제품선택=스테이포에버 1개201210"/>
  </r>
  <r>
    <x v="204"/>
    <s v="월"/>
    <m/>
    <s v="카페24"/>
    <s v="유즈 스테이포에버 솔리드퍼퓸 002 (스테이포에버 주문시 12/14 순차배송)제품선택=스테이포에버 솔리드퍼퓸 002[Pre-order 이벤트 17% 할인]"/>
    <n v="1"/>
    <s v="고체향수"/>
    <s v="스테이포에버"/>
    <n v="201210"/>
    <m/>
    <n v="38000"/>
    <n v="35777"/>
    <n v="2783"/>
    <n v="34545.45454545454"/>
    <s v="카페24고체향수유즈 스테이포에버 솔리드퍼퓸 002 (스테이포에버 주문시 12/14 순차배송)제품선택=스테이포에버 솔리드퍼퓸 002[Pre-order 이벤트 17% 할인]201210"/>
  </r>
  <r>
    <x v="204"/>
    <s v="월"/>
    <m/>
    <s v="카페24"/>
    <s v="유즈 스테이포에버 솔리드퍼퓸 002 (스테이포에버 주문시 12/15 순차배송)제품선택=스테이포에버 1개"/>
    <n v="166"/>
    <s v="고체향수"/>
    <s v="스테이포에버"/>
    <n v="201210"/>
    <m/>
    <n v="6308000"/>
    <n v="5938982"/>
    <n v="461978"/>
    <n v="5734545.454545454"/>
    <s v="카페24고체향수유즈 스테이포에버 솔리드퍼퓸 002 (스테이포에버 주문시 12/15 순차배송)제품선택=스테이포에버 1개201210"/>
  </r>
  <r>
    <x v="204"/>
    <s v="월"/>
    <m/>
    <s v="카페24"/>
    <s v="유즈 스테이포에버 솔리드퍼퓸 002 (스테이포에버 주문시 12/15 순차배송)제품선택=스테이포에버 1개 [17% 할인]"/>
    <n v="3"/>
    <s v="고체향수"/>
    <s v="스테이포에버"/>
    <n v="201210"/>
    <m/>
    <n v="114000"/>
    <n v="107331"/>
    <n v="8349"/>
    <n v="103636.3636363636"/>
    <s v="카페24고체향수유즈 스테이포에버 솔리드퍼퓸 002 (스테이포에버 주문시 12/15 순차배송)제품선택=스테이포에버 1개 [17% 할인]201210"/>
  </r>
  <r>
    <x v="204"/>
    <s v="월"/>
    <m/>
    <s v="카페24"/>
    <s v="유즈 스테이포에버 솔리드퍼퓸 002 (스테이포에버 주문시 12/15 순차배송)제품선택=스테이포에버 [17% 할인]"/>
    <n v="3"/>
    <s v="고체향수"/>
    <s v="스테이포에버"/>
    <n v="201210"/>
    <m/>
    <n v="114000"/>
    <n v="107331"/>
    <n v="8349"/>
    <n v="103636.3636363636"/>
    <s v="카페24고체향수유즈 스테이포에버 솔리드퍼퓸 002 (스테이포에버 주문시 12/15 순차배송)제품선택=스테이포에버 [17% 할인]201210"/>
  </r>
  <r>
    <x v="204"/>
    <s v="월"/>
    <m/>
    <s v="카페24"/>
    <s v="유즈 스테이포에버 솔리드퍼퓸 002 (스테이포에버 주문시 12/15 순차배송)제품선택=스테이포에버 솔리드퍼퓸 002[Pre-order 이벤트 17% 할인]"/>
    <n v="20"/>
    <s v="고체향수"/>
    <s v="스테이포에버"/>
    <n v="201210"/>
    <m/>
    <n v="760000"/>
    <n v="715540"/>
    <n v="55660"/>
    <n v="690909.0909090908"/>
    <s v="카페24고체향수유즈 스테이포에버 솔리드퍼퓸 002 (스테이포에버 주문시 12/15 순차배송)제품선택=스테이포에버 솔리드퍼퓸 002[Pre-order 이벤트 17% 할인]201210"/>
  </r>
  <r>
    <x v="204"/>
    <s v="월"/>
    <m/>
    <s v="카페24"/>
    <s v="유즈 스테이포에버 솔리드퍼퓸 002 (스테이포에버 주문시 12/15 순차배송)제품선택=best"/>
    <n v="44"/>
    <s v="고체향수"/>
    <s v="스테이포에버 2set"/>
    <n v="201210"/>
    <m/>
    <n v="2587200"/>
    <n v="2435848.8"/>
    <n v="244904"/>
    <n v="2352000"/>
    <s v="카페24고체향수유즈 스테이포에버 솔리드퍼퓸 002 (스테이포에버 주문시 12/15 순차배송)제품선택=best201210"/>
  </r>
  <r>
    <x v="204"/>
    <s v="월"/>
    <m/>
    <s v="카페24"/>
    <s v="유즈 스테이포에버 솔리드퍼퓸 002 (스테이포에버 주문시 12/15 순차배송)제품선택=best스테이포에버 2개[28% 할인]"/>
    <n v="33"/>
    <s v="고체향수"/>
    <s v="스테이포에버 2set"/>
    <n v="201210"/>
    <m/>
    <n v="1940400"/>
    <n v="1826886.6"/>
    <n v="183678"/>
    <n v="1764000"/>
    <s v="카페24고체향수유즈 스테이포에버 솔리드퍼퓸 002 (스테이포에버 주문시 12/15 순차배송)제품선택=best스테이포에버 2개[28% 할인]201210"/>
  </r>
  <r>
    <x v="204"/>
    <s v="월"/>
    <m/>
    <s v="카페24"/>
    <s v="유즈 스테이포에버 솔리드퍼퓸 002 (스테이포에버 주문시 12/15 순차배송)제품선택=스테이포에버 2개 세트[Pre-order 이벤트 28% 할인]"/>
    <n v="7"/>
    <s v="고체향수"/>
    <s v="스테이포에버 2set"/>
    <n v="201210"/>
    <m/>
    <n v="411600"/>
    <n v="387521.4"/>
    <n v="38962"/>
    <n v="374181.8181818182"/>
    <s v="카페24고체향수유즈 스테이포에버 솔리드퍼퓸 002 (스테이포에버 주문시 12/15 순차배송)제품선택=스테이포에버 2개 세트[Pre-order 이벤트 28% 할인]201210"/>
  </r>
  <r>
    <x v="204"/>
    <s v="월"/>
    <m/>
    <s v="카페24"/>
    <s v="유즈 스테이포에버 솔리드퍼퓸 002 (스테이포에버 주문시 12/15 순차배송)제품선택=스테이포에버 + 이그나이트 세트"/>
    <n v="1"/>
    <s v="고체향수"/>
    <s v="이그나이트 + 스테이포에버"/>
    <n v="201210"/>
    <m/>
    <n v="69000"/>
    <n v="64963.5"/>
    <n v="5671"/>
    <n v="62727.27272727272"/>
    <s v="카페24고체향수유즈 스테이포에버 솔리드퍼퓸 002 (스테이포에버 주문시 12/15 순차배송)제품선택=스테이포에버 + 이그나이트 세트201210"/>
  </r>
  <r>
    <x v="204"/>
    <s v="월"/>
    <m/>
    <s v="카페24"/>
    <s v="유즈 스테이포에버 솔리드퍼퓸 002 (스테이포에버 주문시 12/15 순차배송)제품선택=커플추천"/>
    <n v="4"/>
    <s v="고체향수"/>
    <s v="이그나이트 + 스테이포에버"/>
    <n v="201210"/>
    <m/>
    <n v="276000"/>
    <n v="259854"/>
    <n v="22684"/>
    <n v="250909.0909090909"/>
    <s v="카페24고체향수유즈 스테이포에버 솔리드퍼퓸 002 (스테이포에버 주문시 12/15 순차배송)제품선택=커플추천201210"/>
  </r>
  <r>
    <x v="204"/>
    <s v="월"/>
    <m/>
    <s v="카페24"/>
    <s v="유즈 스테이포에버 솔리드퍼퓸 002 (스테이포에버 주문시 12/15 순차배송)제품선택=커플추천스테이포에버 + 이그나이트 세트"/>
    <n v="6"/>
    <s v="고체향수"/>
    <s v="이그나이트 + 스테이포에버"/>
    <n v="201210"/>
    <m/>
    <n v="414000"/>
    <n v="389781"/>
    <n v="34026"/>
    <n v="376363.6363636364"/>
    <s v="카페24고체향수유즈 스테이포에버 솔리드퍼퓸 002 (스테이포에버 주문시 12/15 순차배송)제품선택=커플추천스테이포에버 + 이그나이트 세트201210"/>
  </r>
  <r>
    <x v="204"/>
    <s v="월"/>
    <m/>
    <s v="카페24"/>
    <s v="유즈 스테이포에버 솔리드퍼퓸 002 (스테이포에버 주문시 12/15 순차배송)쇼핑백=선물용 쇼핑백"/>
    <n v="4"/>
    <s v="쇼핑백"/>
    <s v="쇼핑백"/>
    <n v="201210"/>
    <m/>
    <n v="8000"/>
    <n v="7532"/>
    <n v="4840"/>
    <n v="7272.727272727272"/>
    <s v="카페24쇼핑백유즈 스테이포에버 솔리드퍼퓸 002 (스테이포에버 주문시 12/15 순차배송)쇼핑백=선물용 쇼핑백201210"/>
  </r>
  <r>
    <x v="204"/>
    <s v="월"/>
    <m/>
    <s v="카페24"/>
    <s v="유즈 이그나이트 솔리드퍼퓸 001제품선택=이그나이트 솔리드퍼퓸 - 30ml"/>
    <n v="4"/>
    <s v="고체향수"/>
    <s v="이그나이트"/>
    <n v="201210"/>
    <m/>
    <n v="152000"/>
    <n v="143108"/>
    <n v="11552"/>
    <n v="138181.8181818182"/>
    <s v="카페24고체향수유즈 이그나이트 솔리드퍼퓸 001제품선택=이그나이트 솔리드퍼퓸 - 30ml201210"/>
  </r>
  <r>
    <x v="204"/>
    <s v="월"/>
    <m/>
    <s v="카페24"/>
    <s v="유즈 이그나이트 솔리드퍼퓸 001제품선택=이그나이트 2개 세트"/>
    <n v="2"/>
    <s v="고체향수"/>
    <s v="이그나이트 2set"/>
    <n v="201210"/>
    <m/>
    <n v="117600"/>
    <n v="110720.4"/>
    <n v="11552"/>
    <n v="106909.0909090909"/>
    <s v="카페24고체향수유즈 이그나이트 솔리드퍼퓸 001제품선택=이그나이트 2개 세트201210"/>
  </r>
  <r>
    <x v="205"/>
    <s v="화"/>
    <m/>
    <s v="유즈 CS"/>
    <s v="솔리드퍼퓸 스테이포에버 002 30ml"/>
    <n v="40"/>
    <s v="고체향수"/>
    <s v="스테이포에버"/>
    <n v="201210"/>
    <m/>
    <n v="0"/>
    <n v="0"/>
    <n v="111320"/>
    <n v="0"/>
    <s v="유즈 CS고체향수솔리드퍼퓸 스테이포에버 002 30ml201210"/>
  </r>
  <r>
    <x v="205"/>
    <s v="화"/>
    <m/>
    <s v="카페24"/>
    <s v="스테이포에버 솔리드퍼퓸 002 (10차 재입고 완료제품선택=스테이포에버 1개"/>
    <n v="137"/>
    <s v="고체향수"/>
    <s v="스테이포에버"/>
    <n v="201210"/>
    <m/>
    <n v="5206000"/>
    <n v="4901449"/>
    <n v="381271"/>
    <n v="4732727.272727272"/>
    <s v="카페24고체향수스테이포에버 솔리드퍼퓸 002 (10차 재입고 완료제품선택=스테이포에버 1개201210"/>
  </r>
  <r>
    <x v="205"/>
    <s v="화"/>
    <m/>
    <s v="카페24"/>
    <s v="스테이포에버 솔리드퍼퓸 002 (10차 재입고 완료제품선택=best"/>
    <n v="65"/>
    <s v="고체향수"/>
    <s v="스테이포에버 2set"/>
    <n v="201210"/>
    <m/>
    <n v="3822000"/>
    <n v="3598413"/>
    <n v="361790"/>
    <n v="3474545.454545454"/>
    <s v="카페24고체향수스테이포에버 솔리드퍼퓸 002 (10차 재입고 완료제품선택=best201210"/>
  </r>
  <r>
    <x v="205"/>
    <s v="화"/>
    <m/>
    <s v="카페24"/>
    <s v="스테이포에버 솔리드퍼퓸 002 (10차 재입고 완료제품선택=커플추천"/>
    <n v="10"/>
    <s v="고체향수"/>
    <s v="이그나이트 + 스테이포에버"/>
    <n v="201210"/>
    <m/>
    <n v="690000"/>
    <n v="649635"/>
    <n v="56710"/>
    <n v="627272.7272727272"/>
    <s v="카페24고체향수스테이포에버 솔리드퍼퓸 002 (10차 재입고 완료제품선택=커플추천201210"/>
  </r>
  <r>
    <x v="205"/>
    <s v="화"/>
    <m/>
    <s v="카페24"/>
    <s v="스테이포에버 솔리드퍼퓸 002 (10차 재입고 완료쇼핑백=선물용 쇼핑백"/>
    <n v="5"/>
    <s v="쇼핑백"/>
    <s v="쇼핑백"/>
    <n v="201210"/>
    <m/>
    <n v="10000"/>
    <n v="9415"/>
    <n v="6050"/>
    <n v="9090.90909090909"/>
    <s v="카페24쇼핑백스테이포에버 솔리드퍼퓸 002 (10차 재입고 완료쇼핑백=선물용 쇼핑백201210"/>
  </r>
  <r>
    <x v="205"/>
    <s v="화"/>
    <m/>
    <s v="카페24"/>
    <s v="스테이포에버 솔리드퍼퓸 002 (10차 재입고 완료)제품선택=스테이포에버 1개"/>
    <n v="134"/>
    <s v="고체향수"/>
    <s v="스테이포에버"/>
    <n v="201210"/>
    <m/>
    <n v="5092000"/>
    <n v="4794118"/>
    <n v="372922"/>
    <n v="4629090.909090909"/>
    <s v="카페24고체향수스테이포에버 솔리드퍼퓸 002 (10차 재입고 완료)제품선택=스테이포에버 1개201210"/>
  </r>
  <r>
    <x v="205"/>
    <s v="화"/>
    <m/>
    <s v="카페24"/>
    <s v="스테이포에버 솔리드퍼퓸 002 (10차 재입고 완료)제품선택=best스테이포에버 2개[28% 할인]"/>
    <n v="62"/>
    <s v="고체향수"/>
    <s v="스테이포에버 2set"/>
    <n v="201210"/>
    <m/>
    <n v="3645600"/>
    <n v="3432332.4"/>
    <n v="345092"/>
    <n v="3314181.818181818"/>
    <s v="카페24고체향수스테이포에버 솔리드퍼퓸 002 (10차 재입고 완료)제품선택=best스테이포에버 2개[28% 할인]201210"/>
  </r>
  <r>
    <x v="205"/>
    <s v="화"/>
    <m/>
    <s v="카페24"/>
    <s v="스테이포에버 솔리드퍼퓸 002 (10차 재입고 완료)제품선택=커플추천스테이포에버 + 이그나이트 세트"/>
    <n v="8"/>
    <s v="고체향수"/>
    <s v="이그나이트 + 스테이포에버"/>
    <n v="201210"/>
    <m/>
    <n v="552000"/>
    <n v="519708"/>
    <n v="45368"/>
    <n v="501818.1818181818"/>
    <s v="카페24고체향수스테이포에버 솔리드퍼퓸 002 (10차 재입고 완료)제품선택=커플추천스테이포에버 + 이그나이트 세트201210"/>
  </r>
  <r>
    <x v="205"/>
    <s v="화"/>
    <m/>
    <s v="카페24"/>
    <s v="스테이포에버 솔리드퍼퓸 002 (10차 재입고 완료)쇼핑백=선물용 쇼핑백"/>
    <n v="9"/>
    <s v="쇼핑백"/>
    <s v="쇼핑백"/>
    <n v="201210"/>
    <m/>
    <n v="18000"/>
    <n v="16947"/>
    <n v="10890"/>
    <n v="16363.63636363636"/>
    <s v="카페24쇼핑백스테이포에버 솔리드퍼퓸 002 (10차 재입고 완료)쇼핑백=선물용 쇼핑백201210"/>
  </r>
  <r>
    <x v="205"/>
    <s v="화"/>
    <m/>
    <s v="카페24"/>
    <s v="유즈 솔리드퍼퓸 - 30ml (10차 재입고 완료향=이그나이트 001 SOLID PERFUME, 세트 선택=1개"/>
    <n v="1"/>
    <s v="고체향수"/>
    <s v="이그나이트"/>
    <n v="201210"/>
    <m/>
    <n v="38000"/>
    <n v="35777"/>
    <n v="2888"/>
    <n v="34545.45454545454"/>
    <s v="카페24고체향수유즈 솔리드퍼퓸 - 30ml (10차 재입고 완료향=이그나이트 001 SOLID PERFUME, 세트 선택=1개201210"/>
  </r>
  <r>
    <x v="205"/>
    <s v="화"/>
    <m/>
    <s v="카페24"/>
    <s v="유즈 솔리드퍼퓸 - 30ml (10차 재입고 완료향=스테이포에버 002 SOLID PERFUME, 세트 선택=1개"/>
    <n v="7"/>
    <s v="고체향수"/>
    <s v="스테이포에버"/>
    <n v="201210"/>
    <m/>
    <n v="266000"/>
    <n v="250439"/>
    <n v="19481"/>
    <n v="241818.1818181818"/>
    <s v="카페24고체향수유즈 솔리드퍼퓸 - 30ml (10차 재입고 완료향=스테이포에버 002 SOLID PERFUME, 세트 선택=1개201210"/>
  </r>
  <r>
    <x v="205"/>
    <s v="화"/>
    <m/>
    <s v="카페24"/>
    <s v="유즈 솔리드퍼퓸 - 30ml (10차 재입고 완료향=스테이포에버 002 SOLID PERFUME, 세트 선택=best"/>
    <n v="3"/>
    <s v="고체향수"/>
    <s v="스테이포에버 2set"/>
    <n v="201210"/>
    <m/>
    <n v="176400"/>
    <n v="166080.6"/>
    <n v="16698"/>
    <n v="160363.6363636364"/>
    <s v="카페24고체향수유즈 솔리드퍼퓸 - 30ml (10차 재입고 완료향=스테이포에버 002 SOLID PERFUME, 세트 선택=best201210"/>
  </r>
  <r>
    <x v="205"/>
    <s v="화"/>
    <m/>
    <s v="카페24"/>
    <s v="유즈 솔리드퍼퓸 - 30ml (10차 재입고 완료향=커플세트"/>
    <n v="3"/>
    <s v="고체향수"/>
    <s v="이그나이트 + 스테이포에버"/>
    <n v="201210"/>
    <m/>
    <n v="207000"/>
    <n v="194890.5"/>
    <n v="17013"/>
    <n v="188181.8181818182"/>
    <s v="카페24고체향수유즈 솔리드퍼퓸 - 30ml (10차 재입고 완료향=커플세트201210"/>
  </r>
  <r>
    <x v="205"/>
    <s v="화"/>
    <m/>
    <s v="카페24"/>
    <s v="유즈 솔리드퍼퓸 - 30ml (10차 재입고 완료향=커플세트"/>
    <n v="3"/>
    <s v="고체향수"/>
    <s v="이그나이트 + 스테이포에버"/>
    <n v="201210"/>
    <m/>
    <n v="207000"/>
    <n v="194890.5"/>
    <n v="17013"/>
    <n v="188181.8181818182"/>
    <s v="카페24고체향수유즈 솔리드퍼퓸 - 30ml (10차 재입고 완료향=커플세트201210"/>
  </r>
  <r>
    <x v="205"/>
    <s v="화"/>
    <m/>
    <s v="카페24"/>
    <s v="유즈 솔리드퍼퓸 - 30ml (10차 재입고 완료 )향=이그나이트 001 SOLID PERFUME, 세트 선택=1개"/>
    <n v="1"/>
    <s v="고체향수"/>
    <s v="이그나이트"/>
    <n v="201210"/>
    <m/>
    <n v="38000"/>
    <n v="35777"/>
    <n v="2888"/>
    <n v="34545.45454545454"/>
    <s v="카페24고체향수유즈 솔리드퍼퓸 - 30ml (10차 재입고 완료 )향=이그나이트 001 SOLID PERFUME, 세트 선택=1개201210"/>
  </r>
  <r>
    <x v="205"/>
    <s v="화"/>
    <m/>
    <s v="카페24"/>
    <s v="유즈 솔리드퍼퓸 - 30ml (10차 재입고 완료 )향=스테이포에버 002 SOLID PERFUME, 세트 선택=1개"/>
    <n v="5"/>
    <s v="고체향수"/>
    <s v="스테이포에버"/>
    <n v="201210"/>
    <m/>
    <n v="190000"/>
    <n v="178885"/>
    <n v="13915"/>
    <n v="172727.2727272727"/>
    <s v="카페24고체향수유즈 솔리드퍼퓸 - 30ml (10차 재입고 완료 )향=스테이포에버 002 SOLID PERFUME, 세트 선택=1개201210"/>
  </r>
  <r>
    <x v="205"/>
    <s v="화"/>
    <m/>
    <s v="카페24"/>
    <s v="유즈 솔리드퍼퓸 - 30ml (10차 재입고 완료 )향=스테이포에버 002 SOLID PERFUME, 세트 선택=best 2개 (28% 할인)"/>
    <n v="1"/>
    <s v="고체향수"/>
    <s v="스테이포에버 2set"/>
    <n v="201210"/>
    <m/>
    <n v="58800"/>
    <n v="55360.2"/>
    <n v="5566"/>
    <n v="53454.54545454545"/>
    <s v="카페24고체향수유즈 솔리드퍼퓸 - 30ml (10차 재입고 완료 )향=스테이포에버 002 SOLID PERFUME, 세트 선택=best 2개 (28% 할인)201210"/>
  </r>
  <r>
    <x v="205"/>
    <s v="화"/>
    <m/>
    <s v="카페24"/>
    <s v="유즈 솔리드퍼퓸 - 30ml (10차 재입고 완료 )향=커플세트(이그나이트 + 스테이포에버), 세트 선택=1 SET"/>
    <n v="1"/>
    <s v="고체향수"/>
    <s v="이그나이트 + 스테이포에버"/>
    <n v="201210"/>
    <m/>
    <n v="69000"/>
    <n v="64963.5"/>
    <n v="5671"/>
    <n v="62727.27272727272"/>
    <s v="카페24고체향수유즈 솔리드퍼퓸 - 30ml (10차 재입고 완료 )향=커플세트(이그나이트 + 스테이포에버), 세트 선택=1 SET201210"/>
  </r>
  <r>
    <x v="205"/>
    <s v="화"/>
    <m/>
    <s v="카페24"/>
    <s v="유즈 솔리드퍼퓸 - 30ml (스테이포에버 주문 시 12/15 순차배송)향=스테이포에버 002 SOLID PERFUME, 세트 선택=1"/>
    <n v="1"/>
    <s v="고체향수"/>
    <s v="스테이포에버"/>
    <n v="201210"/>
    <m/>
    <n v="38000"/>
    <n v="35777"/>
    <n v="2783"/>
    <n v="34545.45454545454"/>
    <s v="카페24고체향수유즈 솔리드퍼퓸 - 30ml (스테이포에버 주문 시 12/15 순차배송)향=스테이포에버 002 SOLID PERFUME, 세트 선택=1201210"/>
  </r>
  <r>
    <x v="205"/>
    <s v="화"/>
    <m/>
    <s v="카페24"/>
    <s v="유즈 스테이포에버 솔리드퍼퓸 002 (스테이포에버 주문시 12/15 순차배송)제품선택=스테이포에버 1개"/>
    <n v="5"/>
    <s v="고체향수"/>
    <s v="스테이포에버"/>
    <n v="201210"/>
    <m/>
    <n v="190000"/>
    <n v="178885"/>
    <n v="13915"/>
    <n v="172727.2727272727"/>
    <s v="카페24고체향수유즈 스테이포에버 솔리드퍼퓸 002 (스테이포에버 주문시 12/15 순차배송)제품선택=스테이포에버 1개201210"/>
  </r>
  <r>
    <x v="205"/>
    <s v="화"/>
    <m/>
    <s v="카페24"/>
    <s v="유즈 스테이포에버 솔리드퍼퓸 002 (스테이포에버 주문시 12/15 순차배송)제품선택=스테이포에버 1개 [17% 할인]"/>
    <n v="1"/>
    <s v="고체향수"/>
    <s v="스테이포에버"/>
    <n v="201210"/>
    <m/>
    <n v="38000"/>
    <n v="35777"/>
    <n v="2783"/>
    <n v="34545.45454545454"/>
    <s v="카페24고체향수유즈 스테이포에버 솔리드퍼퓸 002 (스테이포에버 주문시 12/15 순차배송)제품선택=스테이포에버 1개 [17% 할인]201210"/>
  </r>
  <r>
    <x v="205"/>
    <s v="화"/>
    <m/>
    <s v="카페24"/>
    <s v="유즈 이그나이트 솔리드퍼퓸 001제품선택=이그나이트 솔리드퍼퓸 - 30ml"/>
    <n v="5"/>
    <s v="고체향수"/>
    <s v="이그나이트"/>
    <n v="201210"/>
    <m/>
    <n v="190000"/>
    <n v="178885"/>
    <n v="14440"/>
    <n v="172727.2727272727"/>
    <s v="카페24고체향수유즈 이그나이트 솔리드퍼퓸 001제품선택=이그나이트 솔리드퍼퓸 - 30ml201210"/>
  </r>
  <r>
    <x v="206"/>
    <s v="수"/>
    <m/>
    <s v="유즈 CS"/>
    <s v="솔리드퍼퓸 스테이포에버 002 30ml"/>
    <n v="3"/>
    <s v="고체향수"/>
    <s v="스테이포에버"/>
    <n v="201210"/>
    <m/>
    <n v="0"/>
    <n v="0"/>
    <n v="8349"/>
    <n v="0"/>
    <s v="유즈 CS고체향수솔리드퍼퓸 스테이포에버 002 30ml201210"/>
  </r>
  <r>
    <x v="206"/>
    <s v="수"/>
    <m/>
    <s v="카페24"/>
    <s v="스테이포에버 솔리드퍼퓸 002 (10차 재입고 완료제품선택=스테이포에버 1개"/>
    <n v="94"/>
    <s v="고체향수"/>
    <s v="스테이포에버"/>
    <n v="201210"/>
    <m/>
    <n v="3572000"/>
    <n v="3363038"/>
    <n v="261602"/>
    <n v="3247272.727272727"/>
    <s v="카페24고체향수스테이포에버 솔리드퍼퓸 002 (10차 재입고 완료제품선택=스테이포에버 1개201210"/>
  </r>
  <r>
    <x v="206"/>
    <s v="수"/>
    <m/>
    <s v="카페24"/>
    <s v="스테이포에버 솔리드퍼퓸 002 (10차 재입고 완료제품선택=best"/>
    <n v="44"/>
    <s v="고체향수"/>
    <s v="스테이포에버 2set"/>
    <n v="201210"/>
    <m/>
    <n v="2587200"/>
    <n v="2435848.8"/>
    <n v="244904"/>
    <n v="2352000"/>
    <s v="카페24고체향수스테이포에버 솔리드퍼퓸 002 (10차 재입고 완료제품선택=best201210"/>
  </r>
  <r>
    <x v="206"/>
    <s v="수"/>
    <m/>
    <s v="카페24"/>
    <s v="스테이포에버 솔리드퍼퓸 002 (10차 재입고 완료제품선택=커플추천"/>
    <n v="9"/>
    <s v="고체향수"/>
    <s v="이그나이트 + 스테이포에버"/>
    <n v="201210"/>
    <m/>
    <n v="621000"/>
    <n v="584671.5"/>
    <n v="51039"/>
    <n v="564545.4545454545"/>
    <s v="카페24고체향수스테이포에버 솔리드퍼퓸 002 (10차 재입고 완료제품선택=커플추천201210"/>
  </r>
  <r>
    <x v="206"/>
    <s v="수"/>
    <m/>
    <s v="카페24"/>
    <s v="스테이포에버 솔리드퍼퓸 002 (10차 재입고 완료쇼핑백=선물용 쇼핑백"/>
    <n v="2"/>
    <s v="쇼핑백"/>
    <s v="쇼핑백"/>
    <n v="201210"/>
    <m/>
    <n v="4000"/>
    <n v="3766"/>
    <n v="2420"/>
    <n v="3636.363636363636"/>
    <s v="카페24쇼핑백스테이포에버 솔리드퍼퓸 002 (10차 재입고 완료쇼핑백=선물용 쇼핑백201210"/>
  </r>
  <r>
    <x v="206"/>
    <s v="수"/>
    <m/>
    <s v="카페24"/>
    <s v="스테이포에버 솔리드퍼퓸 002 (10차 재입고 완료)제품선택=스테이포에버 1개"/>
    <n v="158"/>
    <s v="고체향수"/>
    <s v="스테이포에버"/>
    <n v="201210"/>
    <m/>
    <n v="6004000"/>
    <n v="5652766"/>
    <n v="439714"/>
    <n v="5458181.818181817"/>
    <s v="카페24고체향수스테이포에버 솔리드퍼퓸 002 (10차 재입고 완료)제품선택=스테이포에버 1개201210"/>
  </r>
  <r>
    <x v="206"/>
    <s v="수"/>
    <m/>
    <s v="카페24"/>
    <s v="스테이포에버 솔리드퍼퓸 002 (10차 재입고 완료)제품선택=best스테이포에버 2개[28% 할인]"/>
    <n v="60"/>
    <s v="고체향수"/>
    <s v="스테이포에버 2set"/>
    <n v="201210"/>
    <m/>
    <n v="3528000"/>
    <n v="3321612"/>
    <n v="333960"/>
    <n v="3207272.727272727"/>
    <s v="카페24고체향수스테이포에버 솔리드퍼퓸 002 (10차 재입고 완료)제품선택=best스테이포에버 2개[28% 할인]201210"/>
  </r>
  <r>
    <x v="206"/>
    <s v="수"/>
    <m/>
    <s v="카페24"/>
    <s v="스테이포에버 솔리드퍼퓸 002 (10차 재입고 완료)제품선택=커플추천스테이포에버 + 이그나이트 세트"/>
    <n v="9"/>
    <s v="고체향수"/>
    <s v="이그나이트 + 스테이포에버"/>
    <n v="201210"/>
    <m/>
    <n v="621000"/>
    <n v="584671.5"/>
    <n v="51039"/>
    <n v="564545.4545454545"/>
    <s v="카페24고체향수스테이포에버 솔리드퍼퓸 002 (10차 재입고 완료)제품선택=커플추천스테이포에버 + 이그나이트 세트201210"/>
  </r>
  <r>
    <x v="206"/>
    <s v="수"/>
    <m/>
    <s v="카페24"/>
    <s v="스테이포에버 솔리드퍼퓸 002 (10차 재입고 완료)쇼핑백=선물용 쇼핑백"/>
    <n v="5"/>
    <s v="쇼핑백"/>
    <s v="쇼핑백"/>
    <n v="201210"/>
    <m/>
    <n v="10000"/>
    <n v="9415"/>
    <n v="6050"/>
    <n v="9090.90909090909"/>
    <s v="카페24쇼핑백스테이포에버 솔리드퍼퓸 002 (10차 재입고 완료)쇼핑백=선물용 쇼핑백201210"/>
  </r>
  <r>
    <x v="206"/>
    <s v="수"/>
    <m/>
    <s v="카페24"/>
    <s v="유즈 솔리드퍼퓸 - 30ml (10차 재입고 완료향=스테이포에버 002 SOLID PERFUME, 세트 선택=1개"/>
    <n v="5"/>
    <s v="고체향수"/>
    <s v="스테이포에버"/>
    <n v="201210"/>
    <m/>
    <n v="190000"/>
    <n v="178885"/>
    <n v="13915"/>
    <n v="172727.2727272727"/>
    <s v="카페24고체향수유즈 솔리드퍼퓸 - 30ml (10차 재입고 완료향=스테이포에버 002 SOLID PERFUME, 세트 선택=1개201210"/>
  </r>
  <r>
    <x v="206"/>
    <s v="수"/>
    <m/>
    <s v="카페24"/>
    <s v="유즈 솔리드퍼퓸 - 30ml (10차 재입고 완료향=스테이포에버 002 SOLID PERFUME, 세트 선택=best"/>
    <n v="6"/>
    <s v="고체향수"/>
    <s v="스테이포에버 2set"/>
    <n v="201210"/>
    <m/>
    <n v="352800"/>
    <n v="332161.2"/>
    <n v="33396"/>
    <n v="320727.2727272727"/>
    <s v="카페24고체향수유즈 솔리드퍼퓸 - 30ml (10차 재입고 완료향=스테이포에버 002 SOLID PERFUME, 세트 선택=best201210"/>
  </r>
  <r>
    <x v="206"/>
    <s v="수"/>
    <m/>
    <s v="카페24"/>
    <s v="유즈 솔리드퍼퓸 - 30ml (10차 재입고 완료향=커플세트"/>
    <n v="7"/>
    <s v="고체향수"/>
    <s v="이그나이트 + 스테이포에버"/>
    <n v="201210"/>
    <m/>
    <n v="483000"/>
    <n v="454744.5"/>
    <n v="39697"/>
    <n v="439090.9090909091"/>
    <s v="카페24고체향수유즈 솔리드퍼퓸 - 30ml (10차 재입고 완료향=커플세트201210"/>
  </r>
  <r>
    <x v="206"/>
    <s v="수"/>
    <m/>
    <s v="카페24"/>
    <s v="유즈 솔리드퍼퓸 - 30ml (10차 재입고 완료향=커플세트"/>
    <n v="1"/>
    <s v="고체향수"/>
    <s v="이그나이트 + 스테이포에버"/>
    <n v="201210"/>
    <m/>
    <n v="69000"/>
    <n v="64963.5"/>
    <n v="5671"/>
    <n v="62727.27272727272"/>
    <s v="카페24고체향수유즈 솔리드퍼퓸 - 30ml (10차 재입고 완료향=커플세트201210"/>
  </r>
  <r>
    <x v="206"/>
    <s v="수"/>
    <m/>
    <s v="카페24"/>
    <s v="유즈 솔리드퍼퓸 - 30ml (10차 재입고 완료 )향=이그나이트 001 SOLID PERFUME, 세트 선택=1개"/>
    <n v="2"/>
    <s v="고체향수"/>
    <s v="이그나이트"/>
    <n v="201210"/>
    <m/>
    <n v="76000"/>
    <n v="71554"/>
    <n v="5776"/>
    <n v="69090.90909090909"/>
    <s v="카페24고체향수유즈 솔리드퍼퓸 - 30ml (10차 재입고 완료 )향=이그나이트 001 SOLID PERFUME, 세트 선택=1개201210"/>
  </r>
  <r>
    <x v="206"/>
    <s v="수"/>
    <m/>
    <s v="카페24"/>
    <s v="유즈 솔리드퍼퓸 - 30ml (10차 재입고 완료 )향=스테이포에버 002 SOLID PERFUME, 세트 선택=1개"/>
    <n v="6"/>
    <s v="고체향수"/>
    <s v="스테이포에버"/>
    <n v="201210"/>
    <m/>
    <n v="228000"/>
    <n v="214662"/>
    <n v="16698"/>
    <n v="207272.7272727273"/>
    <s v="카페24고체향수유즈 솔리드퍼퓸 - 30ml (10차 재입고 완료 )향=스테이포에버 002 SOLID PERFUME, 세트 선택=1개201210"/>
  </r>
  <r>
    <x v="206"/>
    <s v="수"/>
    <m/>
    <s v="카페24"/>
    <s v="유즈 솔리드퍼퓸 - 30ml (10차 재입고 완료 )향=스테이포에버 002 SOLID PERFUME, 세트 선택=best 2개 (28% 할인)"/>
    <n v="1"/>
    <s v="고체향수"/>
    <s v="스테이포에버 2set"/>
    <n v="201210"/>
    <m/>
    <n v="58800"/>
    <n v="55360.2"/>
    <n v="5566"/>
    <n v="53454.54545454545"/>
    <s v="카페24고체향수유즈 솔리드퍼퓸 - 30ml (10차 재입고 완료 )향=스테이포에버 002 SOLID PERFUME, 세트 선택=best 2개 (28% 할인)201210"/>
  </r>
  <r>
    <x v="206"/>
    <s v="수"/>
    <m/>
    <s v="카페24"/>
    <s v="유즈 솔리드퍼퓸 - 30ml (10차 재입고 완료 )향=커플세트(이그나이트 + 스테이포에버), 세트 선택=1 SET"/>
    <n v="3"/>
    <s v="고체향수"/>
    <s v="이그나이트 + 스테이포에버"/>
    <n v="201210"/>
    <m/>
    <n v="207000"/>
    <n v="194890.5"/>
    <n v="17013"/>
    <n v="188181.8181818182"/>
    <s v="카페24고체향수유즈 솔리드퍼퓸 - 30ml (10차 재입고 완료 )향=커플세트(이그나이트 + 스테이포에버), 세트 선택=1 SET201210"/>
  </r>
  <r>
    <x v="206"/>
    <s v="수"/>
    <m/>
    <s v="카페24"/>
    <s v="유즈 스테이포에버 솔리드퍼퓸 002 (스테이포에버 주문시 12/15 순차배송)제품선택=스테이포에버 1개"/>
    <n v="3"/>
    <s v="고체향수"/>
    <s v="스테이포에버"/>
    <n v="201210"/>
    <m/>
    <n v="114000"/>
    <n v="107331"/>
    <n v="8349"/>
    <n v="103636.3636363636"/>
    <s v="카페24고체향수유즈 스테이포에버 솔리드퍼퓸 002 (스테이포에버 주문시 12/15 순차배송)제품선택=스테이포에버 1개201210"/>
  </r>
  <r>
    <x v="206"/>
    <s v="수"/>
    <m/>
    <s v="카페24"/>
    <s v="유즈 스테이포에버 솔리드퍼퓸 002 (스테이포에버 주문시 12/15 순차배송)제품선택=best"/>
    <n v="1"/>
    <s v="고체향수"/>
    <s v="스테이포에버 2set"/>
    <n v="201210"/>
    <m/>
    <n v="58800"/>
    <n v="55360.2"/>
    <n v="5566"/>
    <n v="53454.54545454545"/>
    <s v="카페24고체향수유즈 스테이포에버 솔리드퍼퓸 002 (스테이포에버 주문시 12/15 순차배송)제품선택=best201210"/>
  </r>
  <r>
    <x v="206"/>
    <s v="수"/>
    <m/>
    <s v="카페24"/>
    <s v="유즈 이그나이트 솔리드퍼퓸 001제품선택=이그나이트 솔리드퍼퓸 - 30ml"/>
    <n v="1"/>
    <s v="고체향수"/>
    <s v="이그나이트"/>
    <n v="201210"/>
    <m/>
    <n v="38000"/>
    <n v="35777"/>
    <n v="2888"/>
    <n v="34545.45454545454"/>
    <s v="카페24고체향수유즈 이그나이트 솔리드퍼퓸 001제품선택=이그나이트 솔리드퍼퓸 - 30ml201210"/>
  </r>
  <r>
    <x v="206"/>
    <s v="수"/>
    <m/>
    <s v="카페24"/>
    <s v="유즈 이그나이트 솔리드퍼퓸 001제품선택=이그나이트 2개 세트"/>
    <n v="1"/>
    <s v="고체향수"/>
    <s v="이그나이트 2set"/>
    <n v="201210"/>
    <m/>
    <n v="58800"/>
    <n v="55360.2"/>
    <n v="5776"/>
    <n v="53454.54545454545"/>
    <s v="카페24고체향수유즈 이그나이트 솔리드퍼퓸 001제품선택=이그나이트 2개 세트201210"/>
  </r>
  <r>
    <x v="207"/>
    <s v="목"/>
    <m/>
    <s v="유즈 CS"/>
    <s v="솔리드퍼퓸 스테이포에버 002 30ml"/>
    <n v="8"/>
    <s v="고체향수"/>
    <s v="스테이포에버"/>
    <n v="201210"/>
    <m/>
    <n v="0"/>
    <n v="0"/>
    <n v="22264"/>
    <n v="0"/>
    <s v="유즈 CS고체향수솔리드퍼퓸 스테이포에버 002 30ml201210"/>
  </r>
  <r>
    <x v="207"/>
    <s v="목"/>
    <m/>
    <s v="유즈 CS"/>
    <s v="유즈 솔리드퍼퓸 - 30ml (10차 재입고 완료향=커플세트"/>
    <n v="1"/>
    <s v="고체향수"/>
    <s v="이그나이트 + 스테이포에버"/>
    <n v="201210"/>
    <m/>
    <n v="0"/>
    <n v="0"/>
    <n v="5671"/>
    <n v="0"/>
    <s v="유즈 CS고체향수유즈 솔리드퍼퓸 - 30ml (10차 재입고 완료향=커플세트201210"/>
  </r>
  <r>
    <x v="207"/>
    <s v="목"/>
    <m/>
    <s v="카페24"/>
    <s v="유즈 솔리드퍼퓸 - 30ml (10차 재입고 완료향=이그나이트 001 SOLID PERFUME, 세트 선택=best"/>
    <n v="1"/>
    <s v="고체향수"/>
    <s v="이그나이트 2set"/>
    <n v="201210"/>
    <m/>
    <n v="58800"/>
    <n v="55360.2"/>
    <n v="5776"/>
    <n v="53454.54545454545"/>
    <s v="카페24고체향수유즈 솔리드퍼퓸 - 30ml (10차 재입고 완료향=이그나이트 001 SOLID PERFUME, 세트 선택=best201210"/>
  </r>
  <r>
    <x v="207"/>
    <s v="목"/>
    <m/>
    <s v="카페24"/>
    <s v="스테이포에버 솔리드퍼퓸 002 (10차 재입고 완료제품선택=스테이포에버 1개"/>
    <n v="101"/>
    <s v="고체향수"/>
    <s v="스테이포에버"/>
    <n v="201210"/>
    <m/>
    <n v="3838000"/>
    <n v="3613477"/>
    <n v="281083"/>
    <n v="3489090.909090909"/>
    <s v="카페24고체향수스테이포에버 솔리드퍼퓸 002 (10차 재입고 완료제품선택=스테이포에버 1개201210"/>
  </r>
  <r>
    <x v="207"/>
    <s v="목"/>
    <m/>
    <s v="카페24"/>
    <s v="스테이포에버 솔리드퍼퓸 002 (10차 재입고 완료제품선택=best"/>
    <n v="53"/>
    <s v="고체향수"/>
    <s v="스테이포에버 2set"/>
    <n v="201210"/>
    <m/>
    <n v="3116400"/>
    <n v="2934090.6"/>
    <n v="294998"/>
    <n v="2833090.909090909"/>
    <s v="카페24고체향수스테이포에버 솔리드퍼퓸 002 (10차 재입고 완료제품선택=best201210"/>
  </r>
  <r>
    <x v="207"/>
    <s v="목"/>
    <m/>
    <s v="카페24"/>
    <s v="스테이포에버 솔리드퍼퓸 002 (10차 재입고 완료제품선택=커플추천"/>
    <n v="6"/>
    <s v="고체향수"/>
    <s v="이그나이트 + 스테이포에버"/>
    <n v="201210"/>
    <m/>
    <n v="414000"/>
    <n v="389781"/>
    <n v="34026"/>
    <n v="376363.6363636364"/>
    <s v="카페24고체향수스테이포에버 솔리드퍼퓸 002 (10차 재입고 완료제품선택=커플추천201210"/>
  </r>
  <r>
    <x v="207"/>
    <s v="목"/>
    <m/>
    <s v="카페24"/>
    <s v="스테이포에버 솔리드퍼퓸 002 (10차 재입고 완료쇼핑백=선물용 쇼핑백"/>
    <n v="4"/>
    <s v="쇼핑백"/>
    <s v="쇼핑백"/>
    <n v="201210"/>
    <m/>
    <n v="8000"/>
    <n v="7532"/>
    <n v="4840"/>
    <n v="7272.727272727272"/>
    <s v="카페24쇼핑백스테이포에버 솔리드퍼퓸 002 (10차 재입고 완료쇼핑백=선물용 쇼핑백201210"/>
  </r>
  <r>
    <x v="207"/>
    <s v="목"/>
    <m/>
    <s v="카페24"/>
    <s v="스테이포에버 솔리드퍼퓸 002 (10차 재입고 완료)제품선택=스테이포에버 1개"/>
    <n v="169"/>
    <s v="고체향수"/>
    <s v="스테이포에버"/>
    <n v="201210"/>
    <m/>
    <n v="6422000"/>
    <n v="6046313"/>
    <n v="470327"/>
    <n v="5838181.818181817"/>
    <s v="카페24고체향수스테이포에버 솔리드퍼퓸 002 (10차 재입고 완료)제품선택=스테이포에버 1개201210"/>
  </r>
  <r>
    <x v="207"/>
    <s v="목"/>
    <m/>
    <s v="카페24"/>
    <s v="스테이포에버 솔리드퍼퓸 002 (10차 재입고 완료)제품선택=best스테이포에버 2개[28% 할인]"/>
    <n v="67"/>
    <s v="고체향수"/>
    <s v="스테이포에버 2set"/>
    <n v="201210"/>
    <m/>
    <n v="3939600"/>
    <n v="3709133.4"/>
    <n v="372922"/>
    <n v="3581454.545454545"/>
    <s v="카페24고체향수스테이포에버 솔리드퍼퓸 002 (10차 재입고 완료)제품선택=best스테이포에버 2개[28% 할인]201210"/>
  </r>
  <r>
    <x v="207"/>
    <s v="목"/>
    <m/>
    <s v="카페24"/>
    <s v="스테이포에버 솔리드퍼퓸 002 (10차 재입고 완료)제품선택=커플추천스테이포에버 + 이그나이트 세트"/>
    <n v="12"/>
    <s v="고체향수"/>
    <s v="이그나이트 + 스테이포에버"/>
    <n v="201210"/>
    <m/>
    <n v="828000"/>
    <n v="779562"/>
    <n v="68052"/>
    <n v="752727.2727272727"/>
    <s v="카페24고체향수스테이포에버 솔리드퍼퓸 002 (10차 재입고 완료)제품선택=커플추천스테이포에버 + 이그나이트 세트201210"/>
  </r>
  <r>
    <x v="207"/>
    <s v="목"/>
    <m/>
    <s v="카페24"/>
    <s v="스테이포에버 솔리드퍼퓸 002 (10차 재입고 완료)쇼핑백=선물용 쇼핑백"/>
    <n v="7"/>
    <s v="쇼핑백"/>
    <s v="쇼핑백"/>
    <n v="201210"/>
    <m/>
    <n v="14000"/>
    <n v="13181"/>
    <n v="8470"/>
    <n v="12727.27272727273"/>
    <s v="카페24쇼핑백스테이포에버 솔리드퍼퓸 002 (10차 재입고 완료)쇼핑백=선물용 쇼핑백201210"/>
  </r>
  <r>
    <x v="207"/>
    <s v="목"/>
    <m/>
    <s v="카페24"/>
    <s v="유즈 솔리드퍼퓸 - 30ml (10차 재입고 완료향=스테이포에버 002 SOLID PERFUME, 세트 선택=1개"/>
    <n v="5"/>
    <s v="고체향수"/>
    <s v="스테이포에버"/>
    <n v="201210"/>
    <m/>
    <n v="190000"/>
    <n v="178885"/>
    <n v="13915"/>
    <n v="172727.2727272727"/>
    <s v="카페24고체향수유즈 솔리드퍼퓸 - 30ml (10차 재입고 완료향=스테이포에버 002 SOLID PERFUME, 세트 선택=1개201210"/>
  </r>
  <r>
    <x v="207"/>
    <s v="목"/>
    <m/>
    <s v="카페24"/>
    <s v="유즈 솔리드퍼퓸 - 30ml (10차 재입고 완료향=스테이포에버 002 SOLID PERFUME, 세트 선택=best"/>
    <n v="3"/>
    <s v="고체향수"/>
    <s v="스테이포에버 2set"/>
    <n v="201210"/>
    <m/>
    <n v="176400"/>
    <n v="166080.6"/>
    <n v="16698"/>
    <n v="160363.6363636364"/>
    <s v="카페24고체향수유즈 솔리드퍼퓸 - 30ml (10차 재입고 완료향=스테이포에버 002 SOLID PERFUME, 세트 선택=best201210"/>
  </r>
  <r>
    <x v="207"/>
    <s v="목"/>
    <m/>
    <s v="카페24"/>
    <s v="유즈 솔리드퍼퓸 - 30ml (10차 재입고 완료향=커플세트"/>
    <n v="8"/>
    <s v="고체향수"/>
    <s v="이그나이트 + 스테이포에버"/>
    <n v="201210"/>
    <m/>
    <n v="552000"/>
    <n v="519708"/>
    <n v="45368"/>
    <n v="501818.1818181818"/>
    <s v="카페24고체향수유즈 솔리드퍼퓸 - 30ml (10차 재입고 완료향=커플세트201210"/>
  </r>
  <r>
    <x v="207"/>
    <s v="목"/>
    <m/>
    <s v="카페24"/>
    <s v="유즈 솔리드퍼퓸 - 30ml (10차 재입고 완료향=커플세트"/>
    <n v="1"/>
    <s v="고체향수"/>
    <s v="이그나이트 + 스테이포에버"/>
    <n v="201210"/>
    <m/>
    <n v="69000"/>
    <n v="64963.5"/>
    <n v="5671"/>
    <n v="62727.27272727272"/>
    <s v="카페24고체향수유즈 솔리드퍼퓸 - 30ml (10차 재입고 완료향=커플세트201210"/>
  </r>
  <r>
    <x v="207"/>
    <s v="목"/>
    <m/>
    <s v="카페24"/>
    <s v="유즈 솔리드퍼퓸 - 30ml (10차 재입고 완료 )향=스테이포에버 002 SOLID PERFUME, 세트 선택=1개"/>
    <n v="7"/>
    <s v="고체향수"/>
    <s v="스테이포에버"/>
    <n v="201210"/>
    <m/>
    <n v="266000"/>
    <n v="250439"/>
    <n v="19481"/>
    <n v="241818.1818181818"/>
    <s v="카페24고체향수유즈 솔리드퍼퓸 - 30ml (10차 재입고 완료 )향=스테이포에버 002 SOLID PERFUME, 세트 선택=1개201210"/>
  </r>
  <r>
    <x v="207"/>
    <s v="목"/>
    <m/>
    <s v="카페24"/>
    <s v="유즈 솔리드퍼퓸 - 30ml (10차 재입고 완료 )향=커플세트(이그나이트 + 스테이포에버), 세트 선택=1 SET"/>
    <n v="3"/>
    <s v="고체향수"/>
    <s v="이그나이트 + 스테이포에버"/>
    <n v="201210"/>
    <m/>
    <n v="207000"/>
    <n v="194890.5"/>
    <n v="17013"/>
    <n v="188181.8181818182"/>
    <s v="카페24고체향수유즈 솔리드퍼퓸 - 30ml (10차 재입고 완료 )향=커플세트(이그나이트 + 스테이포에버), 세트 선택=1 SET201210"/>
  </r>
  <r>
    <x v="207"/>
    <s v="목"/>
    <m/>
    <s v="카페24"/>
    <s v="유즈 이그나이트 솔리드퍼퓸 001제품선택=이그나이트 솔리드퍼퓸 - 30ml"/>
    <n v="5"/>
    <s v="고체향수"/>
    <s v="이그나이트"/>
    <n v="201210"/>
    <m/>
    <n v="190000"/>
    <n v="178885"/>
    <n v="14440"/>
    <n v="172727.2727272727"/>
    <s v="카페24고체향수유즈 이그나이트 솔리드퍼퓸 001제품선택=이그나이트 솔리드퍼퓸 - 30ml201210"/>
  </r>
  <r>
    <x v="207"/>
    <s v="목"/>
    <m/>
    <s v="카페24"/>
    <s v="유즈 이그나이트 솔리드퍼퓸 001제품선택=이그나이트 2개 세트"/>
    <n v="3"/>
    <s v="고체향수"/>
    <s v="이그나이트 2set"/>
    <n v="201210"/>
    <m/>
    <n v="176400"/>
    <n v="166080.6"/>
    <n v="17328"/>
    <n v="160363.6363636364"/>
    <s v="카페24고체향수유즈 이그나이트 솔리드퍼퓸 001제품선택=이그나이트 2개 세트201210"/>
  </r>
  <r>
    <x v="208"/>
    <s v="금"/>
    <m/>
    <s v="카페24"/>
    <s v="스테이포에버 솔리드퍼퓸 002 (10차 재입고 완료제품선택=스테이포에버 1개"/>
    <n v="27"/>
    <s v="고체향수"/>
    <s v="스테이포에버"/>
    <n v="201210"/>
    <m/>
    <n v="1026000"/>
    <n v="965979"/>
    <n v="75141"/>
    <n v="932727.2727272727"/>
    <s v="카페24고체향수스테이포에버 솔리드퍼퓸 002 (10차 재입고 완료제품선택=스테이포에버 1개201210"/>
  </r>
  <r>
    <x v="208"/>
    <s v="금"/>
    <m/>
    <s v="카페24"/>
    <s v="스테이포에버 솔리드퍼퓸 002 (10차 재입고 완료제품선택=best"/>
    <n v="13"/>
    <s v="고체향수"/>
    <s v="스테이포에버 2set"/>
    <n v="201210"/>
    <m/>
    <n v="764400"/>
    <n v="719682.6"/>
    <n v="72358"/>
    <n v="694909.0909090908"/>
    <s v="카페24고체향수스테이포에버 솔리드퍼퓸 002 (10차 재입고 완료제품선택=best201210"/>
  </r>
  <r>
    <x v="208"/>
    <s v="금"/>
    <m/>
    <s v="카페24"/>
    <s v="스테이포에버 솔리드퍼퓸 002 (10차 재입고 완료제품선택=커플추천"/>
    <n v="1"/>
    <s v="고체향수"/>
    <s v="이그나이트 + 스테이포에버"/>
    <n v="201210"/>
    <m/>
    <n v="69000"/>
    <n v="64963.5"/>
    <n v="5671"/>
    <n v="62727.27272727272"/>
    <s v="카페24고체향수스테이포에버 솔리드퍼퓸 002 (10차 재입고 완료제품선택=커플추천201210"/>
  </r>
  <r>
    <x v="208"/>
    <s v="금"/>
    <m/>
    <s v="카페24"/>
    <s v="스테이포에버 솔리드퍼퓸 002 (10차 재입고 완료쇼핑백=선물용 쇼핑백"/>
    <n v="2"/>
    <s v="쇼핑백"/>
    <s v="쇼핑백"/>
    <n v="201210"/>
    <m/>
    <n v="4000"/>
    <n v="3766"/>
    <n v="2420"/>
    <n v="3636.363636363636"/>
    <s v="카페24쇼핑백스테이포에버 솔리드퍼퓸 002 (10차 재입고 완료쇼핑백=선물용 쇼핑백201210"/>
  </r>
  <r>
    <x v="208"/>
    <s v="금"/>
    <m/>
    <s v="카페24"/>
    <s v="스테이포에버 솔리드퍼퓸 002 (10차 재입고 완료)제품선택=스테이포에버 1개"/>
    <n v="44"/>
    <s v="고체향수"/>
    <s v="스테이포에버"/>
    <n v="201210"/>
    <m/>
    <n v="1672000"/>
    <n v="1574188"/>
    <n v="122452"/>
    <n v="1520000"/>
    <s v="카페24고체향수스테이포에버 솔리드퍼퓸 002 (10차 재입고 완료)제품선택=스테이포에버 1개201210"/>
  </r>
  <r>
    <x v="208"/>
    <s v="금"/>
    <m/>
    <s v="카페24"/>
    <s v="스테이포에버 솔리드퍼퓸 002 (10차 재입고 완료)제품선택=best스테이포에버 2개[28% 할인]"/>
    <n v="19"/>
    <s v="고체향수"/>
    <s v="스테이포에버 2set"/>
    <n v="201210"/>
    <m/>
    <n v="1117200"/>
    <n v="1051843.8"/>
    <n v="105754"/>
    <n v="1015636.363636364"/>
    <s v="카페24고체향수스테이포에버 솔리드퍼퓸 002 (10차 재입고 완료)제품선택=best스테이포에버 2개[28% 할인]201210"/>
  </r>
  <r>
    <x v="208"/>
    <s v="금"/>
    <m/>
    <s v="카페24"/>
    <s v="스테이포에버 솔리드퍼퓸 002 (10차 재입고 완료)제품선택=커플추천스테이포에버 + 이그나이트 세트"/>
    <n v="1"/>
    <s v="고체향수"/>
    <s v="이그나이트 + 스테이포에버"/>
    <n v="201210"/>
    <m/>
    <n v="69000"/>
    <n v="64963.5"/>
    <n v="5671"/>
    <n v="62727.27272727272"/>
    <s v="카페24고체향수스테이포에버 솔리드퍼퓸 002 (10차 재입고 완료)제품선택=커플추천스테이포에버 + 이그나이트 세트201210"/>
  </r>
  <r>
    <x v="208"/>
    <s v="금"/>
    <m/>
    <s v="카페24"/>
    <s v="스테이포에버 솔리드퍼퓸 002 (10차 재입고 완료)쇼핑백=선물용 쇼핑백"/>
    <n v="3"/>
    <s v="쇼핑백"/>
    <s v="쇼핑백"/>
    <n v="201210"/>
    <m/>
    <n v="6000"/>
    <n v="5649"/>
    <n v="3630"/>
    <n v="5454.545454545454"/>
    <s v="카페24쇼핑백스테이포에버 솔리드퍼퓸 002 (10차 재입고 완료)쇼핑백=선물용 쇼핑백201210"/>
  </r>
  <r>
    <x v="208"/>
    <s v="금"/>
    <m/>
    <s v="카페24"/>
    <s v="유즈 솔리드퍼퓸 - 30ml (10차 재입고 완료향=스테이포에버 002 SOLID PERFUME, 세트 선택=1개"/>
    <n v="3"/>
    <s v="고체향수"/>
    <s v="스테이포에버"/>
    <n v="201210"/>
    <m/>
    <n v="114000"/>
    <n v="107331"/>
    <n v="8349"/>
    <n v="103636.3636363636"/>
    <s v="카페24고체향수유즈 솔리드퍼퓸 - 30ml (10차 재입고 완료향=스테이포에버 002 SOLID PERFUME, 세트 선택=1개201210"/>
  </r>
  <r>
    <x v="208"/>
    <s v="금"/>
    <m/>
    <s v="카페24"/>
    <s v="유즈 솔리드퍼퓸 - 30ml (10차 재입고 완료향=스테이포에버 002 SOLID PERFUME, 세트 선택=best"/>
    <n v="3"/>
    <s v="고체향수"/>
    <s v="스테이포에버 2set"/>
    <n v="201210"/>
    <m/>
    <n v="176400"/>
    <n v="166080.6"/>
    <n v="16698"/>
    <n v="160363.6363636364"/>
    <s v="카페24고체향수유즈 솔리드퍼퓸 - 30ml (10차 재입고 완료향=스테이포에버 002 SOLID PERFUME, 세트 선택=best201210"/>
  </r>
  <r>
    <x v="208"/>
    <s v="금"/>
    <m/>
    <s v="카페24"/>
    <s v="유즈 솔리드퍼퓸 - 30ml (10차 재입고 완료향=커플세트"/>
    <n v="6"/>
    <s v="고체향수"/>
    <s v="이그나이트 + 스테이포에버"/>
    <n v="201210"/>
    <m/>
    <n v="414000"/>
    <n v="389781"/>
    <n v="34026"/>
    <n v="376363.6363636364"/>
    <s v="카페24고체향수유즈 솔리드퍼퓸 - 30ml (10차 재입고 완료향=커플세트201210"/>
  </r>
  <r>
    <x v="208"/>
    <s v="금"/>
    <m/>
    <s v="카페24"/>
    <s v="유즈 솔리드퍼퓸 - 30ml (10차 재입고 완료향=커플세트"/>
    <n v="1"/>
    <s v="고체향수"/>
    <s v="이그나이트 + 스테이포에버"/>
    <n v="201210"/>
    <m/>
    <n v="69000"/>
    <n v="64963.5"/>
    <n v="5671"/>
    <n v="62727.27272727272"/>
    <s v="카페24고체향수유즈 솔리드퍼퓸 - 30ml (10차 재입고 완료향=커플세트201210"/>
  </r>
  <r>
    <x v="208"/>
    <s v="금"/>
    <m/>
    <s v="카페24"/>
    <s v="유즈 솔리드퍼퓸 - 30ml (10차 재입고 완료 )향=스테이포에버 002 SOLID PERFUME, 세트 선택=1개"/>
    <n v="8"/>
    <s v="고체향수"/>
    <s v="스테이포에버"/>
    <n v="201210"/>
    <m/>
    <n v="304000"/>
    <n v="286216"/>
    <n v="22264"/>
    <n v="276363.6363636364"/>
    <s v="카페24고체향수유즈 솔리드퍼퓸 - 30ml (10차 재입고 완료 )향=스테이포에버 002 SOLID PERFUME, 세트 선택=1개201210"/>
  </r>
  <r>
    <x v="208"/>
    <s v="금"/>
    <m/>
    <s v="카페24"/>
    <s v="유즈 솔리드퍼퓸 - 30ml (10차 재입고 완료 )향=스테이포에버 002 SOLID PERFUME, 세트 선택=best 2개 (28% 할인)"/>
    <n v="2"/>
    <s v="고체향수"/>
    <s v="스테이포에버 2set"/>
    <n v="201210"/>
    <m/>
    <n v="117600"/>
    <n v="110720.4"/>
    <n v="11132"/>
    <n v="106909.0909090909"/>
    <s v="카페24고체향수유즈 솔리드퍼퓸 - 30ml (10차 재입고 완료 )향=스테이포에버 002 SOLID PERFUME, 세트 선택=best 2개 (28% 할인)201210"/>
  </r>
  <r>
    <x v="208"/>
    <s v="금"/>
    <m/>
    <s v="카페24"/>
    <s v="유즈 솔리드퍼퓸 - 30ml (10차 재입고 완료 )향=커플세트(이그나이트 + 스테이포에버), 세트 선택=1 SET"/>
    <n v="1"/>
    <s v="고체향수"/>
    <s v="이그나이트 + 스테이포에버"/>
    <n v="201210"/>
    <m/>
    <n v="69000"/>
    <n v="64963.5"/>
    <n v="5671"/>
    <n v="62727.27272727272"/>
    <s v="카페24고체향수유즈 솔리드퍼퓸 - 30ml (10차 재입고 완료 )향=커플세트(이그나이트 + 스테이포에버), 세트 선택=1 SET201210"/>
  </r>
  <r>
    <x v="208"/>
    <s v="금"/>
    <m/>
    <s v="카페24"/>
    <s v="유즈 스테이포에버 솔리드퍼퓸 002 (10차 재입고 완료제품선택=스테이포에버 1개"/>
    <n v="58"/>
    <s v="고체향수"/>
    <s v="스테이포에버"/>
    <n v="201210"/>
    <m/>
    <n v="2204000"/>
    <n v="2075066"/>
    <n v="161414"/>
    <n v="2003636.363636364"/>
    <s v="카페24고체향수유즈 스테이포에버 솔리드퍼퓸 002 (10차 재입고 완료제품선택=스테이포에버 1개201210"/>
  </r>
  <r>
    <x v="208"/>
    <s v="금"/>
    <m/>
    <s v="카페24"/>
    <s v="유즈 스테이포에버 솔리드퍼퓸 002 (10차 재입고 완료제품선택=best"/>
    <n v="42"/>
    <s v="고체향수"/>
    <s v="스테이포에버 2set"/>
    <n v="201210"/>
    <m/>
    <n v="2469600"/>
    <n v="2325128.4"/>
    <n v="233772"/>
    <n v="2245090.909090909"/>
    <s v="카페24고체향수유즈 스테이포에버 솔리드퍼퓸 002 (10차 재입고 완료제품선택=best201210"/>
  </r>
  <r>
    <x v="208"/>
    <s v="금"/>
    <m/>
    <s v="카페24"/>
    <s v="유즈 스테이포에버 솔리드퍼퓸 002 (10차 재입고 완료제품선택=커플추천"/>
    <n v="6"/>
    <s v="고체향수"/>
    <s v="이그나이트 + 스테이포에버"/>
    <n v="201210"/>
    <m/>
    <n v="414000"/>
    <n v="389781"/>
    <n v="34026"/>
    <n v="376363.6363636364"/>
    <s v="카페24고체향수유즈 스테이포에버 솔리드퍼퓸 002 (10차 재입고 완료제품선택=커플추천201210"/>
  </r>
  <r>
    <x v="208"/>
    <s v="금"/>
    <m/>
    <s v="카페24"/>
    <s v="유즈 스테이포에버 솔리드퍼퓸 002 (10차 재입고 완료쇼핑백=선물용 쇼핑백"/>
    <n v="3"/>
    <s v="고체향수"/>
    <s v="쇼핑백"/>
    <n v="201210"/>
    <m/>
    <n v="6000"/>
    <n v="5649"/>
    <n v="3630"/>
    <n v="5454.545454545454"/>
    <s v="카페24고체향수유즈 스테이포에버 솔리드퍼퓸 002 (10차 재입고 완료쇼핑백=선물용 쇼핑백201210"/>
  </r>
  <r>
    <x v="208"/>
    <s v="금"/>
    <m/>
    <s v="카페24"/>
    <s v="유즈 스테이포에버 솔리드퍼퓸 002 (10차 재입고 완료)제품선택=스테이포에버 1개"/>
    <n v="90"/>
    <s v="고체향수"/>
    <s v="스테이포에버"/>
    <n v="201210"/>
    <m/>
    <n v="3420000"/>
    <n v="3219930"/>
    <n v="250470"/>
    <n v="3109090.909090909"/>
    <s v="카페24고체향수유즈 스테이포에버 솔리드퍼퓸 002 (10차 재입고 완료)제품선택=스테이포에버 1개201210"/>
  </r>
  <r>
    <x v="208"/>
    <s v="금"/>
    <m/>
    <s v="카페24"/>
    <s v="유즈 스테이포에버 솔리드퍼퓸 002 (10차 재입고 완료)제품선택=best스테이포에버 2개[28% 할인]"/>
    <n v="55"/>
    <s v="고체향수"/>
    <s v="스테이포에버 2set"/>
    <n v="201210"/>
    <m/>
    <n v="3234000"/>
    <n v="3044811"/>
    <n v="306130"/>
    <n v="2940000"/>
    <s v="카페24고체향수유즈 스테이포에버 솔리드퍼퓸 002 (10차 재입고 완료)제품선택=best스테이포에버 2개[28% 할인]201210"/>
  </r>
  <r>
    <x v="208"/>
    <s v="금"/>
    <m/>
    <s v="카페24"/>
    <s v="유즈 스테이포에버 솔리드퍼퓸 002 (10차 재입고 완료)제품선택=커플추천스테이포에버 + 이그나이트 세트"/>
    <n v="5"/>
    <s v="고체향수"/>
    <s v="이그나이트 + 스테이포에버"/>
    <n v="201210"/>
    <m/>
    <n v="0"/>
    <n v="0"/>
    <n v="28355"/>
    <n v="0"/>
    <s v="카페24고체향수유즈 스테이포에버 솔리드퍼퓸 002 (10차 재입고 완료)제품선택=커플추천스테이포에버 + 이그나이트 세트201210"/>
  </r>
  <r>
    <x v="208"/>
    <s v="금"/>
    <m/>
    <s v="카페24"/>
    <s v="유즈 스테이포에버 솔리드퍼퓸 002 (10차 재입고 완료)쇼핑백=선물용 쇼핑백"/>
    <n v="3"/>
    <s v="고체향수"/>
    <s v="쇼핑백"/>
    <n v="201210"/>
    <m/>
    <n v="6000"/>
    <n v="5649"/>
    <n v="3630"/>
    <n v="5454.545454545454"/>
    <s v="카페24고체향수유즈 스테이포에버 솔리드퍼퓸 002 (10차 재입고 완료)쇼핑백=선물용 쇼핑백201210"/>
  </r>
  <r>
    <x v="208"/>
    <s v="금"/>
    <m/>
    <s v="카페24"/>
    <s v="유즈 이그나이트 솔리드퍼퓸 001제품선택=이그나이트 솔리드퍼퓸 - 30ml"/>
    <n v="1"/>
    <s v="고체향수"/>
    <s v="이그나이트"/>
    <n v="201210"/>
    <m/>
    <n v="38000"/>
    <n v="35777"/>
    <n v="2888"/>
    <n v="34545.45454545454"/>
    <s v="카페24고체향수유즈 이그나이트 솔리드퍼퓸 001제품선택=이그나이트 솔리드퍼퓸 - 30ml201210"/>
  </r>
  <r>
    <x v="208"/>
    <s v="금"/>
    <m/>
    <s v="카페24"/>
    <s v="유즈 이그나이트 솔리드퍼퓸 001쇼핑백=선물용 쇼핑백"/>
    <n v="1"/>
    <s v="쇼핑백"/>
    <s v="쇼핑백"/>
    <n v="201210"/>
    <m/>
    <n v="2000"/>
    <n v="1883"/>
    <n v="1210"/>
    <n v="1818.181818181818"/>
    <s v="카페24쇼핑백유즈 이그나이트 솔리드퍼퓸 001쇼핑백=선물용 쇼핑백201210"/>
  </r>
  <r>
    <x v="209"/>
    <s v="토"/>
    <m/>
    <s v="카페24"/>
    <s v="SHOPPING BAG"/>
    <n v="2"/>
    <s v="쇼핑백"/>
    <s v="쇼핑백"/>
    <n v="201210"/>
    <m/>
    <n v="4000"/>
    <n v="3766"/>
    <n v="2420"/>
    <n v="3636.363636363636"/>
    <s v="카페24쇼핑백SHOPPING BAG201210"/>
  </r>
  <r>
    <x v="209"/>
    <s v="토"/>
    <m/>
    <s v="카페24"/>
    <s v="스테이포에버 솔리드퍼퓸 002 (10차 재입고 완료제품선택=스테이포에버 1개"/>
    <n v="3"/>
    <s v="고체향수"/>
    <s v="스테이포에버"/>
    <n v="201210"/>
    <m/>
    <n v="114000"/>
    <n v="107331"/>
    <n v="8349"/>
    <n v="103636.3636363636"/>
    <s v="카페24고체향수스테이포에버 솔리드퍼퓸 002 (10차 재입고 완료제품선택=스테이포에버 1개201210"/>
  </r>
  <r>
    <x v="209"/>
    <s v="토"/>
    <m/>
    <s v="카페24"/>
    <s v="스테이포에버 솔리드퍼퓸 002 (10차 재입고 완료제품선택=커플추천"/>
    <n v="1"/>
    <s v="고체향수"/>
    <s v="이그나이트 + 스테이포에버"/>
    <n v="201210"/>
    <m/>
    <n v="69000"/>
    <n v="64963.5"/>
    <n v="5671"/>
    <n v="62727.27272727272"/>
    <s v="카페24고체향수스테이포에버 솔리드퍼퓸 002 (10차 재입고 완료제품선택=커플추천201210"/>
  </r>
  <r>
    <x v="209"/>
    <s v="토"/>
    <m/>
    <s v="카페24"/>
    <s v="유즈 솔리드퍼퓸 - 30ml (10차 재입고 완료향=이그나이트 001 SOLID PERFUME, 세트 선택=1개"/>
    <n v="1"/>
    <s v="고체향수"/>
    <s v="이그나이트"/>
    <n v="201210"/>
    <m/>
    <n v="38000"/>
    <n v="35777"/>
    <n v="2888"/>
    <n v="34545.45454545454"/>
    <s v="카페24고체향수유즈 솔리드퍼퓸 - 30ml (10차 재입고 완료향=이그나이트 001 SOLID PERFUME, 세트 선택=1개201210"/>
  </r>
  <r>
    <x v="209"/>
    <s v="토"/>
    <m/>
    <s v="카페24"/>
    <s v="유즈 솔리드퍼퓸 - 30ml (10차 재입고 완료향=스테이포에버 002 SOLID PERFUME, 세트 선택=1개"/>
    <n v="7"/>
    <s v="고체향수"/>
    <s v="스테이포에버"/>
    <n v="201210"/>
    <m/>
    <n v="266000"/>
    <n v="250439"/>
    <n v="19481"/>
    <n v="241818.1818181818"/>
    <s v="카페24고체향수유즈 솔리드퍼퓸 - 30ml (10차 재입고 완료향=스테이포에버 002 SOLID PERFUME, 세트 선택=1개201210"/>
  </r>
  <r>
    <x v="209"/>
    <s v="토"/>
    <m/>
    <s v="카페24"/>
    <s v="유즈 솔리드퍼퓸 - 30ml (10차 재입고 완료향=스테이포에버 002 SOLID PERFUME, 세트 선택=best"/>
    <n v="4"/>
    <s v="고체향수"/>
    <s v="스테이포에버 2set"/>
    <n v="201210"/>
    <m/>
    <n v="235200"/>
    <n v="221440.8"/>
    <n v="22264"/>
    <n v="213818.1818181818"/>
    <s v="카페24고체향수유즈 솔리드퍼퓸 - 30ml (10차 재입고 완료향=스테이포에버 002 SOLID PERFUME, 세트 선택=best201210"/>
  </r>
  <r>
    <x v="209"/>
    <s v="토"/>
    <m/>
    <s v="카페24"/>
    <s v="유즈 솔리드퍼퓸 - 30ml (10차 재입고 완료향=커플세트"/>
    <n v="6"/>
    <s v="고체향수"/>
    <s v="이그나이트 + 스테이포에버"/>
    <n v="201210"/>
    <m/>
    <n v="414000"/>
    <n v="389781"/>
    <n v="34026"/>
    <n v="376363.6363636364"/>
    <s v="카페24고체향수유즈 솔리드퍼퓸 - 30ml (10차 재입고 완료향=커플세트201210"/>
  </r>
  <r>
    <x v="209"/>
    <s v="토"/>
    <m/>
    <s v="카페24"/>
    <s v="유즈 솔리드퍼퓸 - 30ml (10차 재입고 완료향=커플세트"/>
    <n v="2"/>
    <s v="고체향수"/>
    <s v="이그나이트 + 스테이포에버"/>
    <n v="201210"/>
    <m/>
    <n v="138000"/>
    <n v="129927"/>
    <n v="11342"/>
    <n v="125454.5454545454"/>
    <s v="카페24고체향수유즈 솔리드퍼퓸 - 30ml (10차 재입고 완료향=커플세트201210"/>
  </r>
  <r>
    <x v="209"/>
    <s v="토"/>
    <m/>
    <s v="카페24"/>
    <s v="유즈 솔리드퍼퓸 - 30ml (10차 재입고 완료 )향=이그나이트 001 SOLID PERFUME, 세트 선택=best 2개 (28% 할인)"/>
    <n v="1"/>
    <s v="고체향수"/>
    <s v="이그나이트 2set"/>
    <n v="201210"/>
    <m/>
    <n v="58800"/>
    <n v="55360.2"/>
    <n v="5776"/>
    <n v="53454.54545454545"/>
    <s v="카페24고체향수유즈 솔리드퍼퓸 - 30ml (10차 재입고 완료 )향=이그나이트 001 SOLID PERFUME, 세트 선택=best 2개 (28% 할인)201210"/>
  </r>
  <r>
    <x v="209"/>
    <s v="토"/>
    <m/>
    <s v="카페24"/>
    <s v="유즈 솔리드퍼퓸 - 30ml (10차 재입고 완료 )향=스테이포에버 002 SOLID PERFUME, 세트 선택=1개"/>
    <n v="12"/>
    <s v="고체향수"/>
    <s v="스테이포에버"/>
    <n v="201210"/>
    <m/>
    <n v="456000"/>
    <n v="429324"/>
    <n v="33396"/>
    <n v="414545.4545454545"/>
    <s v="카페24고체향수유즈 솔리드퍼퓸 - 30ml (10차 재입고 완료 )향=스테이포에버 002 SOLID PERFUME, 세트 선택=1개201210"/>
  </r>
  <r>
    <x v="209"/>
    <s v="토"/>
    <m/>
    <s v="카페24"/>
    <s v="유즈 솔리드퍼퓸 - 30ml (10차 재입고 완료 )향=스테이포에버 002 SOLID PERFUME, 세트 선택=best 2개 (28% 할인)"/>
    <n v="2"/>
    <s v="고체향수"/>
    <s v="스테이포에버 2set"/>
    <n v="201210"/>
    <m/>
    <n v="117600"/>
    <n v="110720.4"/>
    <n v="11132"/>
    <n v="106909.0909090909"/>
    <s v="카페24고체향수유즈 솔리드퍼퓸 - 30ml (10차 재입고 완료 )향=스테이포에버 002 SOLID PERFUME, 세트 선택=best 2개 (28% 할인)201210"/>
  </r>
  <r>
    <x v="209"/>
    <s v="토"/>
    <m/>
    <s v="카페24"/>
    <s v="유즈 솔리드퍼퓸 - 30ml (10차 재입고 완료 )향=커플세트(이그나이트 + 스테이포에버), 세트 선택=1 SET"/>
    <n v="2"/>
    <s v="고체향수"/>
    <s v="이그나이트 + 스테이포에버"/>
    <n v="201210"/>
    <m/>
    <n v="138000"/>
    <n v="129927"/>
    <n v="11342"/>
    <n v="125454.5454545454"/>
    <s v="카페24고체향수유즈 솔리드퍼퓸 - 30ml (10차 재입고 완료 )향=커플세트(이그나이트 + 스테이포에버), 세트 선택=1 SET201210"/>
  </r>
  <r>
    <x v="209"/>
    <s v="토"/>
    <m/>
    <s v="카페24"/>
    <s v="유즈 스테이포에버 솔리드퍼퓸 002 (10차 재입고 완료제품선택=스테이포에버 1개"/>
    <n v="113"/>
    <s v="고체향수"/>
    <s v="스테이포에버"/>
    <n v="201210"/>
    <m/>
    <n v="4294000"/>
    <n v="4042801"/>
    <n v="314479"/>
    <n v="3903636.363636363"/>
    <s v="카페24고체향수유즈 스테이포에버 솔리드퍼퓸 002 (10차 재입고 완료제품선택=스테이포에버 1개201210"/>
  </r>
  <r>
    <x v="209"/>
    <s v="토"/>
    <m/>
    <s v="카페24"/>
    <s v="유즈 스테이포에버 솔리드퍼퓸 002 (10차 재입고 완료제품선택=best"/>
    <n v="59"/>
    <s v="고체향수"/>
    <s v="스테이포에버 2set"/>
    <n v="201210"/>
    <m/>
    <n v="3469200"/>
    <n v="3266251.8"/>
    <n v="328394"/>
    <n v="3153818.181818182"/>
    <s v="카페24고체향수유즈 스테이포에버 솔리드퍼퓸 002 (10차 재입고 완료제품선택=best201210"/>
  </r>
  <r>
    <x v="209"/>
    <s v="토"/>
    <m/>
    <s v="카페24"/>
    <s v="유즈 스테이포에버 솔리드퍼퓸 002 (10차 재입고 완료제품선택=커플추천"/>
    <n v="6"/>
    <s v="고체향수"/>
    <s v="이그나이트 + 스테이포에버"/>
    <n v="201210"/>
    <m/>
    <n v="414000"/>
    <n v="389781"/>
    <n v="34026"/>
    <n v="376363.6363636364"/>
    <s v="카페24고체향수유즈 스테이포에버 솔리드퍼퓸 002 (10차 재입고 완료제품선택=커플추천201210"/>
  </r>
  <r>
    <x v="209"/>
    <s v="토"/>
    <m/>
    <s v="카페24"/>
    <s v="유즈 스테이포에버 솔리드퍼퓸 002 (10차 재입고 완료쇼핑백=선물용 쇼핑백"/>
    <n v="7"/>
    <s v="고체향수"/>
    <s v="쇼핑백"/>
    <n v="201210"/>
    <m/>
    <n v="14000"/>
    <n v="13181"/>
    <n v="8470"/>
    <n v="12727.27272727273"/>
    <s v="카페24고체향수유즈 스테이포에버 솔리드퍼퓸 002 (10차 재입고 완료쇼핑백=선물용 쇼핑백201210"/>
  </r>
  <r>
    <x v="209"/>
    <s v="토"/>
    <m/>
    <s v="카페24"/>
    <s v="유즈 스테이포에버 솔리드퍼퓸 002 (10차 재입고 완료)제품선택=스테이포에버 1개"/>
    <n v="190"/>
    <s v="고체향수"/>
    <s v="스테이포에버"/>
    <n v="201210"/>
    <m/>
    <n v="7220000"/>
    <n v="6797630"/>
    <n v="528770"/>
    <n v="6563636.363636363"/>
    <s v="카페24고체향수유즈 스테이포에버 솔리드퍼퓸 002 (10차 재입고 완료)제품선택=스테이포에버 1개201210"/>
  </r>
  <r>
    <x v="209"/>
    <s v="토"/>
    <m/>
    <s v="카페24"/>
    <s v="유즈 스테이포에버 솔리드퍼퓸 002 (10차 재입고 완료)제품선택=best스테이포에버 2개[28% 할인]"/>
    <n v="59"/>
    <s v="고체향수"/>
    <s v="스테이포에버 2set"/>
    <n v="201210"/>
    <m/>
    <n v="3469200"/>
    <n v="3266251.8"/>
    <n v="328394"/>
    <n v="3153818.181818182"/>
    <s v="카페24고체향수유즈 스테이포에버 솔리드퍼퓸 002 (10차 재입고 완료)제품선택=best스테이포에버 2개[28% 할인]201210"/>
  </r>
  <r>
    <x v="209"/>
    <s v="토"/>
    <m/>
    <s v="카페24"/>
    <s v="유즈 스테이포에버 솔리드퍼퓸 002 (10차 재입고 완료)제품선택=커플추천스테이포에버 + 이그나이트 세트"/>
    <n v="10"/>
    <s v="고체향수"/>
    <s v="이그나이트 + 스테이포에버"/>
    <n v="201210"/>
    <m/>
    <n v="0"/>
    <n v="0"/>
    <n v="56710"/>
    <n v="0"/>
    <s v="카페24고체향수유즈 스테이포에버 솔리드퍼퓸 002 (10차 재입고 완료)제품선택=커플추천스테이포에버 + 이그나이트 세트201210"/>
  </r>
  <r>
    <x v="209"/>
    <s v="토"/>
    <m/>
    <s v="카페24"/>
    <s v="유즈 스테이포에버 솔리드퍼퓸 002 (10차 재입고 완료)쇼핑백=선물용 쇼핑백"/>
    <n v="9"/>
    <s v="고체향수"/>
    <s v="쇼핑백"/>
    <n v="201210"/>
    <m/>
    <n v="18000"/>
    <n v="16947"/>
    <n v="10890"/>
    <n v="16363.63636363636"/>
    <s v="카페24고체향수유즈 스테이포에버 솔리드퍼퓸 002 (10차 재입고 완료)쇼핑백=선물용 쇼핑백201210"/>
  </r>
  <r>
    <x v="209"/>
    <s v="토"/>
    <m/>
    <s v="카페24"/>
    <s v="유즈 이그나이트 솔리드퍼퓸 001제품선택=이그나이트 솔리드퍼퓸 - 30ml"/>
    <n v="2"/>
    <s v="고체향수"/>
    <s v="이그나이트"/>
    <n v="201210"/>
    <m/>
    <n v="76000"/>
    <n v="71554"/>
    <n v="5776"/>
    <n v="69090.90909090909"/>
    <s v="카페24고체향수유즈 이그나이트 솔리드퍼퓸 001제품선택=이그나이트 솔리드퍼퓸 - 30ml201210"/>
  </r>
  <r>
    <x v="209"/>
    <s v="토"/>
    <m/>
    <s v="카페24"/>
    <s v="유즈 이그나이트 솔리드퍼퓸 001제품선택=이그나이트 2개 세트"/>
    <n v="1"/>
    <s v="고체향수"/>
    <s v="이그나이트 2set"/>
    <n v="201210"/>
    <m/>
    <n v="58800"/>
    <n v="55360.2"/>
    <n v="5776"/>
    <n v="53454.54545454545"/>
    <s v="카페24고체향수유즈 이그나이트 솔리드퍼퓸 001제품선택=이그나이트 2개 세트201210"/>
  </r>
  <r>
    <x v="210"/>
    <s v="일"/>
    <m/>
    <s v="카페24"/>
    <s v="SHOPPING BAG"/>
    <n v="1"/>
    <s v="쇼핑백"/>
    <s v="쇼핑백"/>
    <n v="201210"/>
    <m/>
    <n v="2000"/>
    <n v="1883"/>
    <n v="1210"/>
    <n v="1818.181818181818"/>
    <s v="카페24쇼핑백SHOPPING BAG201210"/>
  </r>
  <r>
    <x v="210"/>
    <s v="일"/>
    <m/>
    <s v="카페24"/>
    <s v="유즈 솔리드퍼퓸 - 30ml (10차 재입고 완료향=스테이포에버 002 SOLID PERFUME, 세트 선택=1개"/>
    <n v="5"/>
    <s v="고체향수"/>
    <s v="스테이포에버"/>
    <n v="201210"/>
    <m/>
    <n v="190000"/>
    <n v="178885"/>
    <n v="13915"/>
    <n v="172727.2727272727"/>
    <s v="카페24고체향수유즈 솔리드퍼퓸 - 30ml (10차 재입고 완료향=스테이포에버 002 SOLID PERFUME, 세트 선택=1개201210"/>
  </r>
  <r>
    <x v="210"/>
    <s v="일"/>
    <m/>
    <s v="카페24"/>
    <s v="유즈 솔리드퍼퓸 - 30ml (10차 재입고 완료향=커플세트"/>
    <n v="5"/>
    <s v="고체향수"/>
    <s v="이그나이트 + 스테이포에버"/>
    <n v="201210"/>
    <m/>
    <n v="345000"/>
    <n v="324817.5"/>
    <n v="28355"/>
    <n v="313636.3636363636"/>
    <s v="카페24고체향수유즈 솔리드퍼퓸 - 30ml (10차 재입고 완료향=커플세트201210"/>
  </r>
  <r>
    <x v="210"/>
    <s v="일"/>
    <m/>
    <s v="카페24"/>
    <s v="유즈 솔리드퍼퓸 - 30ml (10차 재입고 완료향=커플세트"/>
    <n v="1"/>
    <s v="고체향수"/>
    <s v="이그나이트 + 스테이포에버"/>
    <n v="201210"/>
    <m/>
    <n v="69000"/>
    <n v="64963.5"/>
    <n v="5671"/>
    <n v="62727.27272727272"/>
    <s v="카페24고체향수유즈 솔리드퍼퓸 - 30ml (10차 재입고 완료향=커플세트201210"/>
  </r>
  <r>
    <x v="210"/>
    <s v="일"/>
    <m/>
    <s v="카페24"/>
    <s v="유즈 솔리드퍼퓸 - 30ml (10차 재입고 완료 )향=이그나이트 001 SOLID PERFUME, 세트 선택=1개"/>
    <n v="3"/>
    <s v="고체향수"/>
    <s v="이그나이트"/>
    <n v="201210"/>
    <m/>
    <n v="114000"/>
    <n v="107331"/>
    <n v="8664"/>
    <n v="103636.3636363636"/>
    <s v="카페24고체향수유즈 솔리드퍼퓸 - 30ml (10차 재입고 완료 )향=이그나이트 001 SOLID PERFUME, 세트 선택=1개201210"/>
  </r>
  <r>
    <x v="210"/>
    <s v="일"/>
    <m/>
    <s v="카페24"/>
    <s v="유즈 솔리드퍼퓸 - 30ml (10차 재입고 완료 )향=스테이포에버 002 SOLID PERFUME, 세트 선택=1개"/>
    <n v="10"/>
    <s v="고체향수"/>
    <s v="스테이포에버"/>
    <n v="201210"/>
    <m/>
    <n v="380000"/>
    <n v="357770"/>
    <n v="27830"/>
    <n v="345454.5454545454"/>
    <s v="카페24고체향수유즈 솔리드퍼퓸 - 30ml (10차 재입고 완료 )향=스테이포에버 002 SOLID PERFUME, 세트 선택=1개201210"/>
  </r>
  <r>
    <x v="210"/>
    <s v="일"/>
    <m/>
    <s v="카페24"/>
    <s v="유즈 솔리드퍼퓸 - 30ml (10차 재입고 완료 )향=스테이포에버 002 SOLID PERFUME, 세트 선택=best 2개 (28% 할인)"/>
    <n v="3"/>
    <s v="고체향수"/>
    <s v="스테이포에버 2set"/>
    <n v="201210"/>
    <m/>
    <n v="176400"/>
    <n v="166080.6"/>
    <n v="16698"/>
    <n v="160363.6363636364"/>
    <s v="카페24고체향수유즈 솔리드퍼퓸 - 30ml (10차 재입고 완료 )향=스테이포에버 002 SOLID PERFUME, 세트 선택=best 2개 (28% 할인)201210"/>
  </r>
  <r>
    <x v="210"/>
    <s v="일"/>
    <m/>
    <s v="카페24"/>
    <s v="유즈 솔리드퍼퓸 - 30ml (10차 재입고 완료 )향=커플세트(이그나이트 + 스테이포에버), 세트 선택=1 SET"/>
    <n v="4"/>
    <s v="고체향수"/>
    <s v="이그나이트 + 스테이포에버"/>
    <n v="201210"/>
    <m/>
    <n v="276000"/>
    <n v="259854"/>
    <n v="22684"/>
    <n v="250909.0909090909"/>
    <s v="카페24고체향수유즈 솔리드퍼퓸 - 30ml (10차 재입고 완료 )향=커플세트(이그나이트 + 스테이포에버), 세트 선택=1 SET201210"/>
  </r>
  <r>
    <x v="210"/>
    <s v="일"/>
    <m/>
    <s v="카페24"/>
    <s v="유즈 스테이포에버 솔리드퍼퓸 002 (10차 재입고 완료제품선택=스테이포에버 1개"/>
    <n v="94"/>
    <s v="고체향수"/>
    <s v="스테이포에버"/>
    <n v="201210"/>
    <m/>
    <n v="3572000"/>
    <n v="3363038"/>
    <n v="261602"/>
    <n v="3247272.727272727"/>
    <s v="카페24고체향수유즈 스테이포에버 솔리드퍼퓸 002 (10차 재입고 완료제품선택=스테이포에버 1개201210"/>
  </r>
  <r>
    <x v="210"/>
    <s v="일"/>
    <m/>
    <s v="카페24"/>
    <s v="유즈 스테이포에버 솔리드퍼퓸 002 (10차 재입고 완료제품선택=best"/>
    <n v="45"/>
    <s v="고체향수"/>
    <s v="스테이포에버 2set"/>
    <n v="201210"/>
    <m/>
    <n v="2646000"/>
    <n v="2491209"/>
    <n v="250470"/>
    <n v="2405454.545454545"/>
    <s v="카페24고체향수유즈 스테이포에버 솔리드퍼퓸 002 (10차 재입고 완료제품선택=best201210"/>
  </r>
  <r>
    <x v="210"/>
    <s v="일"/>
    <m/>
    <s v="카페24"/>
    <s v="유즈 스테이포에버 솔리드퍼퓸 002 (10차 재입고 완료제품선택=커플추천"/>
    <n v="15"/>
    <s v="고체향수"/>
    <s v="이그나이트 + 스테이포에버"/>
    <n v="201210"/>
    <m/>
    <n v="1035000"/>
    <n v="974452.5"/>
    <n v="85065"/>
    <n v="940909.0909090908"/>
    <s v="카페24고체향수유즈 스테이포에버 솔리드퍼퓸 002 (10차 재입고 완료제품선택=커플추천201210"/>
  </r>
  <r>
    <x v="210"/>
    <s v="일"/>
    <m/>
    <s v="카페24"/>
    <s v="유즈 스테이포에버 솔리드퍼퓸 002 (10차 재입고 완료쇼핑백=선물용 쇼핑백"/>
    <n v="3"/>
    <s v="고체향수"/>
    <s v="쇼핑백"/>
    <n v="201210"/>
    <m/>
    <n v="6000"/>
    <n v="5649"/>
    <n v="3630"/>
    <n v="5454.545454545454"/>
    <s v="카페24고체향수유즈 스테이포에버 솔리드퍼퓸 002 (10차 재입고 완료쇼핑백=선물용 쇼핑백201210"/>
  </r>
  <r>
    <x v="210"/>
    <s v="일"/>
    <m/>
    <s v="카페24"/>
    <s v="유즈 스테이포에버 솔리드퍼퓸 002 (10차 재입고 완료)제품선택=스테이포에버 1개"/>
    <n v="154"/>
    <s v="고체향수"/>
    <s v="스테이포에버"/>
    <n v="201210"/>
    <m/>
    <n v="5852000"/>
    <n v="5509658"/>
    <n v="428582"/>
    <n v="5320000"/>
    <s v="카페24고체향수유즈 스테이포에버 솔리드퍼퓸 002 (10차 재입고 완료)제품선택=스테이포에버 1개201210"/>
  </r>
  <r>
    <x v="210"/>
    <s v="일"/>
    <m/>
    <s v="카페24"/>
    <s v="유즈 스테이포에버 솔리드퍼퓸 002 (10차 재입고 완료)제품선택=best스테이포에버 2개[28% 할인]"/>
    <n v="57"/>
    <s v="고체향수"/>
    <s v="스테이포에버 2set"/>
    <n v="201210"/>
    <m/>
    <n v="3351600"/>
    <n v="3155531.4"/>
    <n v="317262"/>
    <n v="3046909.090909091"/>
    <s v="카페24고체향수유즈 스테이포에버 솔리드퍼퓸 002 (10차 재입고 완료)제품선택=best스테이포에버 2개[28% 할인]201210"/>
  </r>
  <r>
    <x v="210"/>
    <s v="일"/>
    <m/>
    <s v="카페24"/>
    <s v="유즈 스테이포에버 솔리드퍼퓸 002 (10차 재입고 완료)제품선택=커플추천스테이포에버 + 이그나이트 세트"/>
    <n v="16"/>
    <s v="고체향수"/>
    <s v="이그나이트 + 스테이포에버"/>
    <n v="201210"/>
    <m/>
    <n v="0"/>
    <n v="0"/>
    <n v="90736"/>
    <n v="0"/>
    <s v="카페24고체향수유즈 스테이포에버 솔리드퍼퓸 002 (10차 재입고 완료)제품선택=커플추천스테이포에버 + 이그나이트 세트201210"/>
  </r>
  <r>
    <x v="210"/>
    <s v="일"/>
    <m/>
    <s v="카페24"/>
    <s v="유즈 스테이포에버 솔리드퍼퓸 002 (10차 재입고 완료)쇼핑백=선물용 쇼핑백"/>
    <n v="11"/>
    <s v="고체향수"/>
    <s v="쇼핑백"/>
    <n v="201210"/>
    <m/>
    <n v="22000"/>
    <n v="20713"/>
    <n v="13310"/>
    <n v="20000"/>
    <s v="카페24고체향수유즈 스테이포에버 솔리드퍼퓸 002 (10차 재입고 완료)쇼핑백=선물용 쇼핑백201210"/>
  </r>
  <r>
    <x v="210"/>
    <s v="일"/>
    <m/>
    <s v="카페24"/>
    <s v="유즈 이그나이트 솔리드퍼퓸 001제품선택=이그나이트 솔리드퍼퓸 - 30ml"/>
    <n v="5"/>
    <s v="고체향수"/>
    <s v="이그나이트"/>
    <n v="201210"/>
    <m/>
    <n v="190000"/>
    <n v="178885"/>
    <n v="14440"/>
    <n v="172727.2727272727"/>
    <s v="카페24고체향수유즈 이그나이트 솔리드퍼퓸 001제품선택=이그나이트 솔리드퍼퓸 - 30ml201210"/>
  </r>
  <r>
    <x v="211"/>
    <s v="월"/>
    <m/>
    <s v="유즈 CS"/>
    <s v="솔리드퍼퓸 스테이포에버 002 30ml"/>
    <n v="1"/>
    <s v="고체향수"/>
    <s v="스테이포에버"/>
    <n v="201210"/>
    <m/>
    <n v="0"/>
    <n v="0"/>
    <n v="2783"/>
    <n v="0"/>
    <s v="유즈 CS고체향수솔리드퍼퓸 스테이포에버 002 30ml201210"/>
  </r>
  <r>
    <x v="211"/>
    <s v="월"/>
    <m/>
    <s v="카페24"/>
    <s v="스테이포에버 솔리드퍼퓸 002 (10차 재입고 완료제품선택=best"/>
    <n v="1"/>
    <s v="고체향수"/>
    <s v="스테이포에버 2set"/>
    <n v="201210"/>
    <m/>
    <n v="58800"/>
    <n v="55360.2"/>
    <n v="5566"/>
    <n v="53454.54545454545"/>
    <s v="카페24고체향수스테이포에버 솔리드퍼퓸 002 (10차 재입고 완료제품선택=best201210"/>
  </r>
  <r>
    <x v="211"/>
    <s v="월"/>
    <m/>
    <s v="카페24"/>
    <s v="유즈 솔리드퍼퓸 - 30ml (10차 재입고 완료향=이그나이트 001 SOLID PERFUME, 세트 선택=1개"/>
    <n v="4"/>
    <s v="고체향수"/>
    <s v="이그나이트"/>
    <n v="201210"/>
    <m/>
    <n v="152000"/>
    <n v="143108"/>
    <n v="11552"/>
    <n v="138181.8181818182"/>
    <s v="카페24고체향수유즈 솔리드퍼퓸 - 30ml (10차 재입고 완료향=이그나이트 001 SOLID PERFUME, 세트 선택=1개201210"/>
  </r>
  <r>
    <x v="211"/>
    <s v="월"/>
    <m/>
    <s v="카페24"/>
    <s v="유즈 솔리드퍼퓸 - 30ml (10차 재입고 완료향=이그나이트 001 SOLID PERFUME, 세트 선택=best"/>
    <n v="1"/>
    <s v="고체향수"/>
    <s v="이그나이트 2set"/>
    <n v="201210"/>
    <m/>
    <n v="58800"/>
    <n v="55360.2"/>
    <n v="5776"/>
    <n v="53454.54545454545"/>
    <s v="카페24고체향수유즈 솔리드퍼퓸 - 30ml (10차 재입고 완료향=이그나이트 001 SOLID PERFUME, 세트 선택=best201210"/>
  </r>
  <r>
    <x v="211"/>
    <s v="월"/>
    <m/>
    <s v="카페24"/>
    <s v="유즈 솔리드퍼퓸 - 30ml (10차 재입고 완료향=스테이포에버 002 SOLID PERFUME, 세트 선택=1개"/>
    <n v="4"/>
    <s v="고체향수"/>
    <s v="스테이포에버"/>
    <n v="201210"/>
    <m/>
    <n v="152000"/>
    <n v="143108"/>
    <n v="11132"/>
    <n v="138181.8181818182"/>
    <s v="카페24고체향수유즈 솔리드퍼퓸 - 30ml (10차 재입고 완료향=스테이포에버 002 SOLID PERFUME, 세트 선택=1개201210"/>
  </r>
  <r>
    <x v="211"/>
    <s v="월"/>
    <m/>
    <s v="카페24"/>
    <s v="유즈 솔리드퍼퓸 - 30ml (10차 재입고 완료향=스테이포에버 002 SOLID PERFUME, 세트 선택=best"/>
    <n v="2"/>
    <s v="고체향수"/>
    <s v="스테이포에버 2set"/>
    <n v="201210"/>
    <m/>
    <n v="117600"/>
    <n v="110720.4"/>
    <n v="11132"/>
    <n v="106909.0909090909"/>
    <s v="카페24고체향수유즈 솔리드퍼퓸 - 30ml (10차 재입고 완료향=스테이포에버 002 SOLID PERFUME, 세트 선택=best201210"/>
  </r>
  <r>
    <x v="211"/>
    <s v="월"/>
    <m/>
    <s v="카페24"/>
    <s v="유즈 솔리드퍼퓸 - 30ml (10차 재입고 완료향=커플세트"/>
    <n v="1"/>
    <s v="고체향수"/>
    <s v="이그나이트 + 스테이포에버"/>
    <n v="201210"/>
    <m/>
    <n v="69000"/>
    <n v="64963.5"/>
    <n v="5671"/>
    <n v="62727.27272727272"/>
    <s v="카페24고체향수유즈 솔리드퍼퓸 - 30ml (10차 재입고 완료향=커플세트201210"/>
  </r>
  <r>
    <x v="211"/>
    <s v="월"/>
    <m/>
    <s v="카페24"/>
    <s v="유즈 솔리드퍼퓸 - 30ml (10차 재입고 완료 )향=스테이포에버 002 SOLID PERFUME, 세트 선택=1개"/>
    <n v="6"/>
    <s v="고체향수"/>
    <s v="스테이포에버"/>
    <n v="201210"/>
    <m/>
    <n v="228000"/>
    <n v="214662"/>
    <n v="16698"/>
    <n v="207272.7272727273"/>
    <s v="카페24고체향수유즈 솔리드퍼퓸 - 30ml (10차 재입고 완료 )향=스테이포에버 002 SOLID PERFUME, 세트 선택=1개201210"/>
  </r>
  <r>
    <x v="211"/>
    <s v="월"/>
    <m/>
    <s v="카페24"/>
    <s v="유즈 솔리드퍼퓸 - 30ml (10차 재입고 완료 )향=커플세트(이그나이트 + 스테이포에버), 세트 선택=1 SET"/>
    <n v="2"/>
    <s v="고체향수"/>
    <s v="이그나이트 + 스테이포에버"/>
    <n v="201210"/>
    <m/>
    <n v="138000"/>
    <n v="129927"/>
    <n v="11342"/>
    <n v="125454.5454545454"/>
    <s v="카페24고체향수유즈 솔리드퍼퓸 - 30ml (10차 재입고 완료 )향=커플세트(이그나이트 + 스테이포에버), 세트 선택=1 SET201210"/>
  </r>
  <r>
    <x v="211"/>
    <s v="월"/>
    <m/>
    <s v="카페24"/>
    <s v="유즈 솔리드퍼퓸 - 30ml (10차 재입고 완료 )향=커플세트(이그나이트 + 스테이포에버), 세트 선택=2 SET (42% 할인)"/>
    <n v="1"/>
    <s v="고체향수"/>
    <s v="이그나이트 + 스테이포에버"/>
    <n v="201210"/>
    <m/>
    <n v="0"/>
    <n v="0"/>
    <n v="5671"/>
    <n v="0"/>
    <s v="카페24고체향수유즈 솔리드퍼퓸 - 30ml (10차 재입고 완료 )향=커플세트(이그나이트 + 스테이포에버), 세트 선택=2 SET (42% 할인)201210"/>
  </r>
  <r>
    <x v="211"/>
    <s v="월"/>
    <m/>
    <s v="카페24"/>
    <s v="유즈 스테이포에버 솔리드퍼퓸 002 (10차 재입고 완료제품선택=스테이포에버 1개"/>
    <n v="75"/>
    <s v="고체향수"/>
    <s v="스테이포에버"/>
    <n v="201210"/>
    <m/>
    <n v="2850000"/>
    <n v="2683275"/>
    <n v="208725"/>
    <n v="2590909.090909091"/>
    <s v="카페24고체향수유즈 스테이포에버 솔리드퍼퓸 002 (10차 재입고 완료제품선택=스테이포에버 1개201210"/>
  </r>
  <r>
    <x v="211"/>
    <s v="월"/>
    <m/>
    <s v="카페24"/>
    <s v="유즈 스테이포에버 솔리드퍼퓸 002 (10차 재입고 완료제품선택=best"/>
    <n v="35"/>
    <s v="고체향수"/>
    <s v="스테이포에버 2set"/>
    <n v="201210"/>
    <m/>
    <n v="2058000"/>
    <n v="1937607"/>
    <n v="194810"/>
    <n v="1870909.090909091"/>
    <s v="카페24고체향수유즈 스테이포에버 솔리드퍼퓸 002 (10차 재입고 완료제품선택=best201210"/>
  </r>
  <r>
    <x v="211"/>
    <s v="월"/>
    <m/>
    <s v="카페24"/>
    <s v="유즈 스테이포에버 솔리드퍼퓸 002 (10차 재입고 완료제품선택=커플추천"/>
    <n v="1"/>
    <s v="고체향수"/>
    <s v="이그나이트 + 스테이포에버"/>
    <n v="201210"/>
    <m/>
    <n v="69000"/>
    <n v="64963.5"/>
    <n v="5671"/>
    <n v="62727.27272727272"/>
    <s v="카페24고체향수유즈 스테이포에버 솔리드퍼퓸 002 (10차 재입고 완료제품선택=커플추천201210"/>
  </r>
  <r>
    <x v="211"/>
    <s v="월"/>
    <m/>
    <s v="카페24"/>
    <s v="유즈 스테이포에버 솔리드퍼퓸 002 (10차 재입고 완료쇼핑백=선물용 쇼핑백"/>
    <n v="5"/>
    <s v="고체향수"/>
    <s v="쇼핑백"/>
    <n v="201210"/>
    <m/>
    <n v="10000"/>
    <n v="9415"/>
    <n v="6050"/>
    <n v="9090.90909090909"/>
    <s v="카페24고체향수유즈 스테이포에버 솔리드퍼퓸 002 (10차 재입고 완료쇼핑백=선물용 쇼핑백201210"/>
  </r>
  <r>
    <x v="211"/>
    <s v="월"/>
    <m/>
    <s v="카페24"/>
    <s v="유즈 스테이포에버 솔리드퍼퓸 002 (10차 재입고 완료)제품선택=스테이포에버 1개"/>
    <n v="94"/>
    <s v="고체향수"/>
    <s v="스테이포에버"/>
    <n v="201210"/>
    <m/>
    <n v="3572000"/>
    <n v="3363038"/>
    <n v="261602"/>
    <n v="3247272.727272727"/>
    <s v="카페24고체향수유즈 스테이포에버 솔리드퍼퓸 002 (10차 재입고 완료)제품선택=스테이포에버 1개201210"/>
  </r>
  <r>
    <x v="211"/>
    <s v="월"/>
    <m/>
    <s v="카페24"/>
    <s v="유즈 스테이포에버 솔리드퍼퓸 002 (10차 재입고 완료)제품선택=best스테이포에버 2개[28% 할인]"/>
    <n v="40"/>
    <s v="고체향수"/>
    <s v="스테이포에버 2set"/>
    <n v="201210"/>
    <m/>
    <n v="2352000"/>
    <n v="2214408"/>
    <n v="222640"/>
    <n v="2138181.818181818"/>
    <s v="카페24고체향수유즈 스테이포에버 솔리드퍼퓸 002 (10차 재입고 완료)제품선택=best스테이포에버 2개[28% 할인]201210"/>
  </r>
  <r>
    <x v="211"/>
    <s v="월"/>
    <m/>
    <s v="카페24"/>
    <s v="유즈 스테이포에버 솔리드퍼퓸 002 (10차 재입고 완료)제품선택=커플추천스테이포에버 + 이그나이트 세트"/>
    <n v="9"/>
    <s v="고체향수"/>
    <s v="이그나이트 + 스테이포에버"/>
    <n v="201210"/>
    <m/>
    <n v="0"/>
    <n v="0"/>
    <n v="51039"/>
    <n v="0"/>
    <s v="카페24고체향수유즈 스테이포에버 솔리드퍼퓸 002 (10차 재입고 완료)제품선택=커플추천스테이포에버 + 이그나이트 세트201210"/>
  </r>
  <r>
    <x v="211"/>
    <s v="월"/>
    <m/>
    <s v="카페24"/>
    <s v="유즈 스테이포에버 솔리드퍼퓸 002 (10차 재입고 완료)쇼핑백=선물용 쇼핑백"/>
    <n v="7"/>
    <s v="고체향수"/>
    <s v="쇼핑백"/>
    <n v="201210"/>
    <m/>
    <n v="14000"/>
    <n v="13181"/>
    <n v="8470"/>
    <n v="12727.27272727273"/>
    <s v="카페24고체향수유즈 스테이포에버 솔리드퍼퓸 002 (10차 재입고 완료)쇼핑백=선물용 쇼핑백201210"/>
  </r>
  <r>
    <x v="211"/>
    <s v="월"/>
    <m/>
    <s v="카페24"/>
    <s v="유즈 스테이포에버 솔리드퍼퓸 002 (스테이포에버 주문시 12/15 순차배송)제품선택=스테이포에버 1개"/>
    <n v="1"/>
    <s v="고체향수"/>
    <s v="스테이포에버"/>
    <n v="201210"/>
    <m/>
    <n v="38000"/>
    <n v="35777"/>
    <n v="2783"/>
    <n v="34545.45454545454"/>
    <s v="카페24고체향수유즈 스테이포에버 솔리드퍼퓸 002 (스테이포에버 주문시 12/15 순차배송)제품선택=스테이포에버 1개201210"/>
  </r>
  <r>
    <x v="211"/>
    <s v="월"/>
    <m/>
    <s v="카페24"/>
    <s v="유즈 이그나이트 솔리드퍼퓸 001제품선택=이그나이트 솔리드퍼퓸 - 30ml"/>
    <n v="1"/>
    <s v="고체향수"/>
    <s v="이그나이트"/>
    <n v="201210"/>
    <m/>
    <n v="38000"/>
    <n v="35777"/>
    <n v="2888"/>
    <n v="34545.45454545454"/>
    <s v="카페24고체향수유즈 이그나이트 솔리드퍼퓸 001제품선택=이그나이트 솔리드퍼퓸 - 30ml201210"/>
  </r>
  <r>
    <x v="211"/>
    <s v="월"/>
    <m/>
    <s v="카페24"/>
    <s v="유즈 이그나이트 솔리드퍼퓸 001제품선택=이그나이트 2개 세트"/>
    <n v="1"/>
    <s v="고체향수"/>
    <s v="이그나이트 2set"/>
    <n v="201210"/>
    <m/>
    <n v="58800"/>
    <n v="55360.2"/>
    <n v="5776"/>
    <n v="53454.54545454545"/>
    <s v="카페24고체향수유즈 이그나이트 솔리드퍼퓸 001제품선택=이그나이트 2개 세트201210"/>
  </r>
  <r>
    <x v="211"/>
    <s v="월"/>
    <m/>
    <s v="카페24"/>
    <s v="유즈 이그나이트 솔리드퍼퓸 001쇼핑백=선물용 쇼핑백"/>
    <n v="1"/>
    <s v="쇼핑백"/>
    <s v="쇼핑백"/>
    <n v="201210"/>
    <m/>
    <n v="2000"/>
    <n v="1883"/>
    <n v="1210"/>
    <n v="1818.181818181818"/>
    <s v="카페24쇼핑백유즈 이그나이트 솔리드퍼퓸 001쇼핑백=선물용 쇼핑백201210"/>
  </r>
  <r>
    <x v="212"/>
    <s v="화"/>
    <m/>
    <s v="카페24"/>
    <s v="솔리드퍼퓸 스테이포에버 002 30ml"/>
    <n v="1"/>
    <s v="고체향수"/>
    <s v="스테이포에버"/>
    <n v="201210"/>
    <m/>
    <n v="38000"/>
    <n v="35777"/>
    <n v="2783"/>
    <n v="34545.45454545454"/>
    <s v="카페24고체향수솔리드퍼퓸 스테이포에버 002 30ml201210"/>
  </r>
  <r>
    <x v="212"/>
    <s v="화"/>
    <m/>
    <s v="카페24"/>
    <s v="스테이포에버 솔리드퍼퓸 002 (10차 재입고 완료제품선택=스테이포에버 1개"/>
    <n v="1"/>
    <s v="고체향수"/>
    <s v="스테이포에버"/>
    <n v="201210"/>
    <m/>
    <n v="38000"/>
    <n v="35777"/>
    <n v="2783"/>
    <n v="34545.45454545454"/>
    <s v="카페24고체향수스테이포에버 솔리드퍼퓸 002 (10차 재입고 완료제품선택=스테이포에버 1개201210"/>
  </r>
  <r>
    <x v="212"/>
    <s v="화"/>
    <m/>
    <s v="카페24"/>
    <s v="스테이포에버 솔리드퍼퓸 002 (10차 재입고 완료제품선택=커플추천"/>
    <n v="1"/>
    <s v="고체향수"/>
    <s v="이그나이트 + 스테이포에버"/>
    <n v="201210"/>
    <m/>
    <n v="69000"/>
    <n v="64963.5"/>
    <n v="5671"/>
    <n v="62727.27272727272"/>
    <s v="카페24고체향수스테이포에버 솔리드퍼퓸 002 (10차 재입고 완료제품선택=커플추천201210"/>
  </r>
  <r>
    <x v="212"/>
    <s v="화"/>
    <m/>
    <s v="카페24"/>
    <s v="유즈 솔리드퍼퓸 - 30ml (10차 재입고 완료향=스테이포에버 002 SOLID PERFUME, 세트 선택=1개"/>
    <n v="2"/>
    <s v="고체향수"/>
    <s v="스테이포에버"/>
    <n v="201210"/>
    <m/>
    <n v="76000"/>
    <n v="71554"/>
    <n v="5566"/>
    <n v="69090.90909090909"/>
    <s v="카페24고체향수유즈 솔리드퍼퓸 - 30ml (10차 재입고 완료향=스테이포에버 002 SOLID PERFUME, 세트 선택=1개201210"/>
  </r>
  <r>
    <x v="212"/>
    <s v="화"/>
    <m/>
    <s v="카페24"/>
    <s v="유즈 솔리드퍼퓸 - 30ml (10차 재입고 완료향=스테이포에버 002 SOLID PERFUME, 세트 선택=best"/>
    <n v="1"/>
    <s v="고체향수"/>
    <s v="스테이포에버 2set"/>
    <n v="201210"/>
    <m/>
    <n v="58800"/>
    <n v="55360.2"/>
    <n v="5566"/>
    <n v="53454.54545454545"/>
    <s v="카페24고체향수유즈 솔리드퍼퓸 - 30ml (10차 재입고 완료향=스테이포에버 002 SOLID PERFUME, 세트 선택=best201210"/>
  </r>
  <r>
    <x v="212"/>
    <s v="화"/>
    <m/>
    <s v="카페24"/>
    <s v="유즈 솔리드퍼퓸 - 30ml (10차 재입고 완료향=커플세트"/>
    <n v="4"/>
    <s v="고체향수"/>
    <s v="이그나이트 + 스테이포에버"/>
    <n v="201210"/>
    <m/>
    <n v="276000"/>
    <n v="259854"/>
    <n v="22684"/>
    <n v="250909.0909090909"/>
    <s v="카페24고체향수유즈 솔리드퍼퓸 - 30ml (10차 재입고 완료향=커플세트201210"/>
  </r>
  <r>
    <x v="212"/>
    <s v="화"/>
    <m/>
    <s v="카페24"/>
    <s v="유즈 솔리드퍼퓸 - 30ml (10차 재입고 완료향=커플세트"/>
    <n v="1"/>
    <s v="고체향수"/>
    <s v="이그나이트 + 스테이포에버"/>
    <n v="201210"/>
    <m/>
    <n v="69000"/>
    <n v="64963.5"/>
    <n v="5671"/>
    <n v="62727.27272727272"/>
    <s v="카페24고체향수유즈 솔리드퍼퓸 - 30ml (10차 재입고 완료향=커플세트201210"/>
  </r>
  <r>
    <x v="212"/>
    <s v="화"/>
    <m/>
    <s v="카페24"/>
    <s v="유즈 솔리드퍼퓸 - 30ml (10차 재입고 완료 )향=스테이포에버 002 SOLID PERFUME, 세트 선택=1개"/>
    <n v="9"/>
    <s v="고체향수"/>
    <s v="스테이포에버"/>
    <n v="201210"/>
    <m/>
    <n v="342000"/>
    <n v="321993"/>
    <n v="25047"/>
    <n v="310909.0909090909"/>
    <s v="카페24고체향수유즈 솔리드퍼퓸 - 30ml (10차 재입고 완료 )향=스테이포에버 002 SOLID PERFUME, 세트 선택=1개201210"/>
  </r>
  <r>
    <x v="212"/>
    <s v="화"/>
    <m/>
    <s v="카페24"/>
    <s v="유즈 솔리드퍼퓸 - 30ml (10차 재입고 완료 )향=스테이포에버 002 SOLID PERFUME, 세트 선택=best 2개 (28% 할인)"/>
    <n v="3"/>
    <s v="고체향수"/>
    <s v="스테이포에버 2set"/>
    <n v="201210"/>
    <m/>
    <n v="176400"/>
    <n v="166080.6"/>
    <n v="16698"/>
    <n v="160363.6363636364"/>
    <s v="카페24고체향수유즈 솔리드퍼퓸 - 30ml (10차 재입고 완료 )향=스테이포에버 002 SOLID PERFUME, 세트 선택=best 2개 (28% 할인)201210"/>
  </r>
  <r>
    <x v="212"/>
    <s v="화"/>
    <m/>
    <s v="카페24"/>
    <s v="유즈 솔리드퍼퓸 - 30ml (10차 재입고 완료 )향=커플세트(이그나이트 + 스테이포에버), 세트 선택=1 SET"/>
    <n v="4"/>
    <s v="고체향수"/>
    <s v="이그나이트 + 스테이포에버"/>
    <n v="201210"/>
    <m/>
    <n v="276000"/>
    <n v="259854"/>
    <n v="22684"/>
    <n v="250909.0909090909"/>
    <s v="카페24고체향수유즈 솔리드퍼퓸 - 30ml (10차 재입고 완료 )향=커플세트(이그나이트 + 스테이포에버), 세트 선택=1 SET201210"/>
  </r>
  <r>
    <x v="212"/>
    <s v="화"/>
    <m/>
    <s v="카페24"/>
    <s v="유즈 솔리드퍼퓸 - 30ml (10차 재입고 완료 )향=커플세트(이그나이트 + 스테이포에버), 세트 선택=2 SET (42% 할인)"/>
    <n v="1"/>
    <s v="고체향수"/>
    <s v="이그나이트 + 스테이포에버"/>
    <n v="201210"/>
    <m/>
    <n v="0"/>
    <n v="0"/>
    <n v="5671"/>
    <n v="0"/>
    <s v="카페24고체향수유즈 솔리드퍼퓸 - 30ml (10차 재입고 완료 )향=커플세트(이그나이트 + 스테이포에버), 세트 선택=2 SET (42% 할인)201210"/>
  </r>
  <r>
    <x v="212"/>
    <s v="화"/>
    <m/>
    <s v="카페24"/>
    <s v="유즈 스테이포에버 솔리드퍼퓸 002 (10차 재입고 완료제품선택=스테이포에버 1개"/>
    <n v="68"/>
    <s v="고체향수"/>
    <s v="스테이포에버"/>
    <n v="201210"/>
    <m/>
    <n v="2584000"/>
    <n v="2432836"/>
    <n v="189244"/>
    <n v="2349090.909090909"/>
    <s v="카페24고체향수유즈 스테이포에버 솔리드퍼퓸 002 (10차 재입고 완료제품선택=스테이포에버 1개201210"/>
  </r>
  <r>
    <x v="212"/>
    <s v="화"/>
    <m/>
    <s v="카페24"/>
    <s v="유즈 스테이포에버 솔리드퍼퓸 002 (10차 재입고 완료제품선택=best"/>
    <n v="26"/>
    <s v="고체향수"/>
    <s v="스테이포에버 2set"/>
    <n v="201210"/>
    <m/>
    <n v="1528800"/>
    <n v="1439365.2"/>
    <n v="144716"/>
    <n v="1389818.181818182"/>
    <s v="카페24고체향수유즈 스테이포에버 솔리드퍼퓸 002 (10차 재입고 완료제품선택=best201210"/>
  </r>
  <r>
    <x v="212"/>
    <s v="화"/>
    <m/>
    <s v="카페24"/>
    <s v="유즈 스테이포에버 솔리드퍼퓸 002 (10차 재입고 완료제품선택=커플추천"/>
    <n v="11"/>
    <s v="고체향수"/>
    <s v="이그나이트 + 스테이포에버"/>
    <n v="201210"/>
    <m/>
    <n v="759000"/>
    <n v="714598.5"/>
    <n v="62381"/>
    <n v="690000"/>
    <s v="카페24고체향수유즈 스테이포에버 솔리드퍼퓸 002 (10차 재입고 완료제품선택=커플추천201210"/>
  </r>
  <r>
    <x v="212"/>
    <s v="화"/>
    <m/>
    <s v="카페24"/>
    <s v="유즈 스테이포에버 솔리드퍼퓸 002 (10차 재입고 완료)제품선택=스테이포에버 1개"/>
    <n v="103"/>
    <s v="고체향수"/>
    <s v="스테이포에버"/>
    <n v="201210"/>
    <m/>
    <n v="3914000"/>
    <n v="3685031"/>
    <n v="286649"/>
    <n v="3558181.818181818"/>
    <s v="카페24고체향수유즈 스테이포에버 솔리드퍼퓸 002 (10차 재입고 완료)제품선택=스테이포에버 1개201210"/>
  </r>
  <r>
    <x v="212"/>
    <s v="화"/>
    <m/>
    <s v="카페24"/>
    <s v="유즈 스테이포에버 솔리드퍼퓸 002 (10차 재입고 완료)제품선택=best스테이포에버 2개[28% 할인]"/>
    <n v="38"/>
    <s v="고체향수"/>
    <s v="스테이포에버 2set"/>
    <n v="201210"/>
    <m/>
    <n v="2234400"/>
    <n v="2103687.6"/>
    <n v="211508"/>
    <n v="2031272.727272727"/>
    <s v="카페24고체향수유즈 스테이포에버 솔리드퍼퓸 002 (10차 재입고 완료)제품선택=best스테이포에버 2개[28% 할인]201210"/>
  </r>
  <r>
    <x v="212"/>
    <s v="화"/>
    <m/>
    <s v="카페24"/>
    <s v="유즈 스테이포에버 솔리드퍼퓸 002 (10차 재입고 완료)제품선택=커플추천스테이포에버 + 이그나이트 세트"/>
    <n v="5"/>
    <s v="고체향수"/>
    <s v="이그나이트 + 스테이포에버"/>
    <n v="201210"/>
    <m/>
    <n v="0"/>
    <n v="0"/>
    <n v="28355"/>
    <n v="0"/>
    <s v="카페24고체향수유즈 스테이포에버 솔리드퍼퓸 002 (10차 재입고 완료)제품선택=커플추천스테이포에버 + 이그나이트 세트201210"/>
  </r>
  <r>
    <x v="212"/>
    <s v="화"/>
    <m/>
    <s v="카페24"/>
    <s v="유즈 스테이포에버 솔리드퍼퓸 002 (10차 재입고 완료)쇼핑백=선물용 쇼핑백"/>
    <n v="6"/>
    <s v="고체향수"/>
    <s v="쇼핑백"/>
    <n v="201210"/>
    <m/>
    <n v="12000"/>
    <n v="11298"/>
    <n v="7260"/>
    <n v="10909.09090909091"/>
    <s v="카페24고체향수유즈 스테이포에버 솔리드퍼퓸 002 (10차 재입고 완료)쇼핑백=선물용 쇼핑백201210"/>
  </r>
  <r>
    <x v="212"/>
    <s v="화"/>
    <m/>
    <s v="카페24"/>
    <s v="유즈 이그나이트 솔리드퍼퓸 001제품선택=이그나이트 솔리드퍼퓸 - 30ml"/>
    <n v="4"/>
    <s v="고체향수"/>
    <s v="이그나이트"/>
    <n v="201210"/>
    <m/>
    <n v="152000"/>
    <n v="143108"/>
    <n v="11552"/>
    <n v="138181.8181818182"/>
    <s v="카페24고체향수유즈 이그나이트 솔리드퍼퓸 001제품선택=이그나이트 솔리드퍼퓸 - 30ml201210"/>
  </r>
  <r>
    <x v="212"/>
    <s v="화"/>
    <m/>
    <s v="카페24"/>
    <s v="유즈 이그나이트 솔리드퍼퓸 001쇼핑백=선물용 쇼핑백"/>
    <n v="1"/>
    <s v="쇼핑백"/>
    <s v="쇼핑백"/>
    <n v="201210"/>
    <m/>
    <n v="2000"/>
    <n v="1883"/>
    <n v="1210"/>
    <n v="1818.181818181818"/>
    <s v="카페24쇼핑백유즈 이그나이트 솔리드퍼퓸 001쇼핑백=선물용 쇼핑백201210"/>
  </r>
  <r>
    <x v="213"/>
    <s v="수"/>
    <m/>
    <s v="카페24"/>
    <s v="스테이포에버 솔리드퍼퓸 002 (10차 재입고 완료제품선택=best"/>
    <n v="1"/>
    <s v="고체향수"/>
    <s v="스테이포에버 2set"/>
    <n v="201210"/>
    <m/>
    <n v="58800"/>
    <n v="55360.2"/>
    <n v="5566"/>
    <n v="53454.54545454545"/>
    <s v="카페24고체향수스테이포에버 솔리드퍼퓸 002 (10차 재입고 완료제품선택=best201210"/>
  </r>
  <r>
    <x v="213"/>
    <s v="수"/>
    <m/>
    <s v="카페24"/>
    <s v="유즈 솔리드퍼퓸 - 30ml (10차 재입고 완료향=스테이포에버 002 SOLID PERFUME, 세트 선택=1개"/>
    <n v="5"/>
    <s v="고체향수"/>
    <s v="스테이포에버"/>
    <n v="201210"/>
    <m/>
    <n v="190000"/>
    <n v="178885"/>
    <n v="13915"/>
    <n v="172727.2727272727"/>
    <s v="카페24고체향수유즈 솔리드퍼퓸 - 30ml (10차 재입고 완료향=스테이포에버 002 SOLID PERFUME, 세트 선택=1개201210"/>
  </r>
  <r>
    <x v="213"/>
    <s v="수"/>
    <m/>
    <s v="카페24"/>
    <s v="유즈 솔리드퍼퓸 - 30ml (10차 재입고 완료향=스테이포에버 002 SOLID PERFUME, 세트 선택=best"/>
    <n v="1"/>
    <s v="고체향수"/>
    <s v="스테이포에버 2set"/>
    <n v="201210"/>
    <m/>
    <n v="58800"/>
    <n v="55360.2"/>
    <n v="5566"/>
    <n v="53454.54545454545"/>
    <s v="카페24고체향수유즈 솔리드퍼퓸 - 30ml (10차 재입고 완료향=스테이포에버 002 SOLID PERFUME, 세트 선택=best201210"/>
  </r>
  <r>
    <x v="213"/>
    <s v="수"/>
    <m/>
    <s v="카페24"/>
    <s v="유즈 솔리드퍼퓸 - 30ml (10차 재입고 완료향=커플세트"/>
    <n v="6"/>
    <s v="고체향수"/>
    <s v="이그나이트 + 스테이포에버"/>
    <n v="201210"/>
    <m/>
    <n v="414000"/>
    <n v="389781"/>
    <n v="34026"/>
    <n v="376363.6363636364"/>
    <s v="카페24고체향수유즈 솔리드퍼퓸 - 30ml (10차 재입고 완료향=커플세트201210"/>
  </r>
  <r>
    <x v="213"/>
    <s v="수"/>
    <m/>
    <s v="카페24"/>
    <s v="유즈 솔리드퍼퓸 - 30ml (10차 재입고 완료향=커플세트"/>
    <n v="1"/>
    <s v="고체향수"/>
    <s v="이그나이트 + 스테이포에버"/>
    <n v="201210"/>
    <m/>
    <n v="69000"/>
    <n v="64963.5"/>
    <n v="5671"/>
    <n v="62727.27272727272"/>
    <s v="카페24고체향수유즈 솔리드퍼퓸 - 30ml (10차 재입고 완료향=커플세트201210"/>
  </r>
  <r>
    <x v="213"/>
    <s v="수"/>
    <m/>
    <s v="카페24"/>
    <s v="유즈 솔리드퍼퓸 - 30ml (10차 재입고 완료 )향=스테이포에버 002 SOLID PERFUME, 세트 선택=1개"/>
    <n v="8"/>
    <s v="고체향수"/>
    <s v="스테이포에버"/>
    <n v="201210"/>
    <m/>
    <n v="304000"/>
    <n v="286216"/>
    <n v="22264"/>
    <n v="276363.6363636364"/>
    <s v="카페24고체향수유즈 솔리드퍼퓸 - 30ml (10차 재입고 완료 )향=스테이포에버 002 SOLID PERFUME, 세트 선택=1개201210"/>
  </r>
  <r>
    <x v="213"/>
    <s v="수"/>
    <m/>
    <s v="카페24"/>
    <s v="유즈 솔리드퍼퓸 - 30ml (10차 재입고 완료 )향=스테이포에버 002 SOLID PERFUME, 세트 선택=best 2개 (28% 할인)"/>
    <n v="8"/>
    <s v="고체향수"/>
    <s v="스테이포에버 2set"/>
    <n v="201210"/>
    <m/>
    <n v="470400"/>
    <n v="442881.6"/>
    <n v="44528"/>
    <n v="427636.3636363636"/>
    <s v="카페24고체향수유즈 솔리드퍼퓸 - 30ml (10차 재입고 완료 )향=스테이포에버 002 SOLID PERFUME, 세트 선택=best 2개 (28% 할인)201210"/>
  </r>
  <r>
    <x v="213"/>
    <s v="수"/>
    <m/>
    <s v="카페24"/>
    <s v="유즈 솔리드퍼퓸 - 30ml (10차 재입고 완료 )향=커플세트(이그나이트 + 스테이포에버), 세트 선택=1 SET"/>
    <n v="1"/>
    <s v="고체향수"/>
    <s v="이그나이트 + 스테이포에버"/>
    <n v="201210"/>
    <m/>
    <n v="69000"/>
    <n v="64963.5"/>
    <n v="5671"/>
    <n v="62727.27272727272"/>
    <s v="카페24고체향수유즈 솔리드퍼퓸 - 30ml (10차 재입고 완료 )향=커플세트(이그나이트 + 스테이포에버), 세트 선택=1 SET201210"/>
  </r>
  <r>
    <x v="213"/>
    <s v="수"/>
    <m/>
    <s v="카페24"/>
    <s v="유즈 스테이포에버 솔리드퍼퓸 002 (10차 재입고 완료제품선택=스테이포에버 1개"/>
    <n v="85"/>
    <s v="고체향수"/>
    <s v="스테이포에버"/>
    <n v="201210"/>
    <m/>
    <n v="3230000"/>
    <n v="3041045"/>
    <n v="236555"/>
    <n v="2936363.636363636"/>
    <s v="카페24고체향수유즈 스테이포에버 솔리드퍼퓸 002 (10차 재입고 완료제품선택=스테이포에버 1개201210"/>
  </r>
  <r>
    <x v="213"/>
    <s v="수"/>
    <m/>
    <s v="카페24"/>
    <s v="유즈 스테이포에버 솔리드퍼퓸 002 (10차 재입고 완료제품선택=best"/>
    <n v="45"/>
    <s v="고체향수"/>
    <s v="스테이포에버 2set"/>
    <n v="201210"/>
    <m/>
    <n v="2646000"/>
    <n v="2491209"/>
    <n v="250470"/>
    <n v="2405454.545454545"/>
    <s v="카페24고체향수유즈 스테이포에버 솔리드퍼퓸 002 (10차 재입고 완료제품선택=best201210"/>
  </r>
  <r>
    <x v="213"/>
    <s v="수"/>
    <m/>
    <s v="카페24"/>
    <s v="유즈 스테이포에버 솔리드퍼퓸 002 (10차 재입고 완료제품선택=커플추천"/>
    <n v="8"/>
    <s v="고체향수"/>
    <s v="이그나이트 + 스테이포에버"/>
    <n v="201210"/>
    <m/>
    <n v="552000"/>
    <n v="519708"/>
    <n v="45368"/>
    <n v="501818.1818181818"/>
    <s v="카페24고체향수유즈 스테이포에버 솔리드퍼퓸 002 (10차 재입고 완료제품선택=커플추천201210"/>
  </r>
  <r>
    <x v="213"/>
    <s v="수"/>
    <m/>
    <s v="카페24"/>
    <s v="유즈 스테이포에버 솔리드퍼퓸 002 (10차 재입고 완료쇼핑백=선물용 쇼핑백"/>
    <n v="3"/>
    <s v="고체향수"/>
    <s v="쇼핑백"/>
    <n v="201210"/>
    <m/>
    <n v="6000"/>
    <n v="5649"/>
    <n v="3630"/>
    <n v="5454.545454545454"/>
    <s v="카페24고체향수유즈 스테이포에버 솔리드퍼퓸 002 (10차 재입고 완료쇼핑백=선물용 쇼핑백201210"/>
  </r>
  <r>
    <x v="213"/>
    <s v="수"/>
    <m/>
    <s v="카페24"/>
    <s v="유즈 스테이포에버 솔리드퍼퓸 002 (10차 재입고 완료)제품선택=스테이포에버 1개"/>
    <n v="157"/>
    <s v="고체향수"/>
    <s v="스테이포에버"/>
    <n v="201210"/>
    <m/>
    <n v="5966000"/>
    <n v="5616989"/>
    <n v="436931"/>
    <n v="5423636.363636363"/>
    <s v="카페24고체향수유즈 스테이포에버 솔리드퍼퓸 002 (10차 재입고 완료)제품선택=스테이포에버 1개201210"/>
  </r>
  <r>
    <x v="213"/>
    <s v="수"/>
    <m/>
    <s v="카페24"/>
    <s v="유즈 스테이포에버 솔리드퍼퓸 002 (10차 재입고 완료)제품선택=best스테이포에버 2개[28% 할인]"/>
    <n v="72"/>
    <s v="고체향수"/>
    <s v="스테이포에버 2set"/>
    <n v="201210"/>
    <m/>
    <n v="4233600"/>
    <n v="3985934.4"/>
    <n v="400752"/>
    <n v="3848727.272727272"/>
    <s v="카페24고체향수유즈 스테이포에버 솔리드퍼퓸 002 (10차 재입고 완료)제품선택=best스테이포에버 2개[28% 할인]201210"/>
  </r>
  <r>
    <x v="213"/>
    <s v="수"/>
    <m/>
    <s v="카페24"/>
    <s v="유즈 스테이포에버 솔리드퍼퓸 002 (10차 재입고 완료)제품선택=커플추천스테이포에버 + 이그나이트 세트"/>
    <n v="7"/>
    <s v="고체향수"/>
    <s v="이그나이트 + 스테이포에버"/>
    <n v="201210"/>
    <m/>
    <n v="0"/>
    <n v="0"/>
    <n v="39697"/>
    <n v="0"/>
    <s v="카페24고체향수유즈 스테이포에버 솔리드퍼퓸 002 (10차 재입고 완료)제품선택=커플추천스테이포에버 + 이그나이트 세트201210"/>
  </r>
  <r>
    <x v="213"/>
    <s v="수"/>
    <m/>
    <s v="카페24"/>
    <s v="유즈 스테이포에버 솔리드퍼퓸 002 (10차 재입고 완료)쇼핑백=선물용 쇼핑백"/>
    <n v="9"/>
    <s v="고체향수"/>
    <s v="쇼핑백"/>
    <n v="201210"/>
    <m/>
    <n v="18000"/>
    <n v="16947"/>
    <n v="10890"/>
    <n v="16363.63636363636"/>
    <s v="카페24고체향수유즈 스테이포에버 솔리드퍼퓸 002 (10차 재입고 완료)쇼핑백=선물용 쇼핑백201210"/>
  </r>
  <r>
    <x v="213"/>
    <s v="수"/>
    <m/>
    <s v="카페24"/>
    <s v="유즈 이그나이트 솔리드퍼퓸 001제품선택=이그나이트 솔리드퍼퓸 - 30ml"/>
    <n v="4"/>
    <s v="고체향수"/>
    <s v="이그나이트"/>
    <n v="201210"/>
    <m/>
    <n v="152000"/>
    <n v="143108"/>
    <n v="11552"/>
    <n v="138181.8181818182"/>
    <s v="카페24고체향수유즈 이그나이트 솔리드퍼퓸 001제품선택=이그나이트 솔리드퍼퓸 - 30ml201210"/>
  </r>
  <r>
    <x v="213"/>
    <s v="수"/>
    <m/>
    <s v="카페24"/>
    <s v="유즈 이그나이트 솔리드퍼퓸 001제품선택=이그나이트 2개 세트"/>
    <n v="4"/>
    <s v="고체향수"/>
    <s v="이그나이트 2set"/>
    <n v="201210"/>
    <m/>
    <n v="235200"/>
    <n v="221440.8"/>
    <n v="23104"/>
    <n v="213818.1818181818"/>
    <s v="카페24고체향수유즈 이그나이트 솔리드퍼퓸 001제품선택=이그나이트 2개 세트201210"/>
  </r>
  <r>
    <x v="214"/>
    <s v="목"/>
    <m/>
    <s v="유즈 CS"/>
    <s v="유즈 스테이포에버 솔리드퍼퓸 002 (10차 재입고 완료)제품선택=커플추천스테이포에버 + 이그나이트 세트"/>
    <n v="1"/>
    <s v="고체향수"/>
    <s v="이그나이트 + 스테이포에버"/>
    <n v="201210"/>
    <m/>
    <n v="0"/>
    <n v="0"/>
    <n v="5671"/>
    <n v="0"/>
    <s v="유즈 CS고체향수유즈 스테이포에버 솔리드퍼퓸 002 (10차 재입고 완료)제품선택=커플추천스테이포에버 + 이그나이트 세트201210"/>
  </r>
  <r>
    <x v="214"/>
    <s v="목"/>
    <m/>
    <s v="카페24"/>
    <s v="유즈 솔리드퍼퓸 - 30ml (10차 재입고 완료향=이그나이트 001 SOLID PERFUME, 세트 선택=1개"/>
    <n v="1"/>
    <s v="고체향수"/>
    <s v="이그나이트"/>
    <n v="201210"/>
    <m/>
    <n v="38000"/>
    <n v="35777"/>
    <n v="2888"/>
    <n v="34545.45454545454"/>
    <s v="카페24고체향수유즈 솔리드퍼퓸 - 30ml (10차 재입고 완료향=이그나이트 001 SOLID PERFUME, 세트 선택=1개201210"/>
  </r>
  <r>
    <x v="214"/>
    <s v="목"/>
    <m/>
    <s v="카페24"/>
    <s v="유즈 솔리드퍼퓸 - 30ml (10차 재입고 완료향=스테이포에버 002 SOLID PERFUME, 세트 선택=1개"/>
    <n v="8"/>
    <s v="고체향수"/>
    <s v="스테이포에버"/>
    <n v="201210"/>
    <m/>
    <n v="304000"/>
    <n v="286216"/>
    <n v="22264"/>
    <n v="276363.6363636364"/>
    <s v="카페24고체향수유즈 솔리드퍼퓸 - 30ml (10차 재입고 완료향=스테이포에버 002 SOLID PERFUME, 세트 선택=1개201210"/>
  </r>
  <r>
    <x v="214"/>
    <s v="목"/>
    <m/>
    <s v="카페24"/>
    <s v="유즈 솔리드퍼퓸 - 30ml (10차 재입고 완료향=스테이포에버 002 SOLID PERFUME, 세트 선택=best"/>
    <n v="3"/>
    <s v="고체향수"/>
    <s v="스테이포에버 2set"/>
    <n v="201210"/>
    <m/>
    <n v="176400"/>
    <n v="166080.6"/>
    <n v="16698"/>
    <n v="160363.6363636364"/>
    <s v="카페24고체향수유즈 솔리드퍼퓸 - 30ml (10차 재입고 완료향=스테이포에버 002 SOLID PERFUME, 세트 선택=best201210"/>
  </r>
  <r>
    <x v="214"/>
    <s v="목"/>
    <m/>
    <s v="카페24"/>
    <s v="유즈 솔리드퍼퓸 - 30ml (10차 재입고 완료향=커플세트"/>
    <n v="7"/>
    <s v="고체향수"/>
    <s v="이그나이트 + 스테이포에버"/>
    <n v="201210"/>
    <m/>
    <n v="483000"/>
    <n v="454744.5"/>
    <n v="39697"/>
    <n v="439090.9090909091"/>
    <s v="카페24고체향수유즈 솔리드퍼퓸 - 30ml (10차 재입고 완료향=커플세트201210"/>
  </r>
  <r>
    <x v="214"/>
    <s v="목"/>
    <m/>
    <s v="카페24"/>
    <s v="유즈 솔리드퍼퓸 - 30ml (10차 재입고 완료 )향=이그나이트 001 SOLID PERFUME, 세트 선택=1개"/>
    <n v="1"/>
    <s v="고체향수"/>
    <s v="이그나이트"/>
    <n v="201210"/>
    <m/>
    <n v="38000"/>
    <n v="35777"/>
    <n v="2888"/>
    <n v="34545.45454545454"/>
    <s v="카페24고체향수유즈 솔리드퍼퓸 - 30ml (10차 재입고 완료 )향=이그나이트 001 SOLID PERFUME, 세트 선택=1개201210"/>
  </r>
  <r>
    <x v="214"/>
    <s v="목"/>
    <m/>
    <s v="카페24"/>
    <s v="유즈 솔리드퍼퓸 - 30ml (10차 재입고 완료 )향=스테이포에버 002 SOLID PERFUME, 세트 선택=1개"/>
    <n v="4"/>
    <s v="고체향수"/>
    <s v="스테이포에버"/>
    <n v="201210"/>
    <m/>
    <n v="152000"/>
    <n v="143108"/>
    <n v="11132"/>
    <n v="138181.8181818182"/>
    <s v="카페24고체향수유즈 솔리드퍼퓸 - 30ml (10차 재입고 완료 )향=스테이포에버 002 SOLID PERFUME, 세트 선택=1개201210"/>
  </r>
  <r>
    <x v="214"/>
    <s v="목"/>
    <m/>
    <s v="카페24"/>
    <s v="유즈 솔리드퍼퓸 - 30ml (10차 재입고 완료 )향=스테이포에버 002 SOLID PERFUME, 세트 선택=best 2개 (28% 할인)"/>
    <n v="1"/>
    <s v="고체향수"/>
    <s v="스테이포에버 2set"/>
    <n v="201210"/>
    <m/>
    <n v="58800"/>
    <n v="55360.2"/>
    <n v="5566"/>
    <n v="53454.54545454545"/>
    <s v="카페24고체향수유즈 솔리드퍼퓸 - 30ml (10차 재입고 완료 )향=스테이포에버 002 SOLID PERFUME, 세트 선택=best 2개 (28% 할인)201210"/>
  </r>
  <r>
    <x v="214"/>
    <s v="목"/>
    <m/>
    <s v="카페24"/>
    <s v="유즈 스테이포에버 솔리드퍼퓸 002 (10차 재입고 완료제품선택=스테이포에버 1개"/>
    <n v="95"/>
    <s v="고체향수"/>
    <s v="스테이포에버"/>
    <n v="201210"/>
    <m/>
    <n v="3610000"/>
    <n v="3398815"/>
    <n v="264385"/>
    <n v="3281818.181818182"/>
    <s v="카페24고체향수유즈 스테이포에버 솔리드퍼퓸 002 (10차 재입고 완료제품선택=스테이포에버 1개201210"/>
  </r>
  <r>
    <x v="214"/>
    <s v="목"/>
    <m/>
    <s v="카페24"/>
    <s v="유즈 스테이포에버 솔리드퍼퓸 002 (10차 재입고 완료제품선택=best"/>
    <n v="50"/>
    <s v="고체향수"/>
    <s v="스테이포에버 2set"/>
    <n v="201210"/>
    <m/>
    <n v="2940000"/>
    <n v="2768010"/>
    <n v="278300"/>
    <n v="2672727.272727272"/>
    <s v="카페24고체향수유즈 스테이포에버 솔리드퍼퓸 002 (10차 재입고 완료제품선택=best201210"/>
  </r>
  <r>
    <x v="214"/>
    <s v="목"/>
    <m/>
    <s v="카페24"/>
    <s v="유즈 스테이포에버 솔리드퍼퓸 002 (10차 재입고 완료제품선택=커플추천"/>
    <n v="7"/>
    <s v="고체향수"/>
    <s v="이그나이트 + 스테이포에버"/>
    <n v="201210"/>
    <m/>
    <n v="483000"/>
    <n v="454744.5"/>
    <n v="39697"/>
    <n v="439090.9090909091"/>
    <s v="카페24고체향수유즈 스테이포에버 솔리드퍼퓸 002 (10차 재입고 완료제품선택=커플추천201210"/>
  </r>
  <r>
    <x v="214"/>
    <s v="목"/>
    <m/>
    <s v="카페24"/>
    <s v="유즈 스테이포에버 솔리드퍼퓸 002 (10차 재입고 완료쇼핑백=선물용 쇼핑백"/>
    <n v="4"/>
    <s v="고체향수"/>
    <s v="쇼핑백"/>
    <n v="201210"/>
    <m/>
    <n v="8000"/>
    <n v="7532"/>
    <n v="4840"/>
    <n v="7272.727272727272"/>
    <s v="카페24고체향수유즈 스테이포에버 솔리드퍼퓸 002 (10차 재입고 완료쇼핑백=선물용 쇼핑백201210"/>
  </r>
  <r>
    <x v="214"/>
    <s v="목"/>
    <m/>
    <s v="카페24"/>
    <s v="유즈 스테이포에버 솔리드퍼퓸 002 (10차 재입고 완료)제품선택=스테이포에버 1개"/>
    <n v="168"/>
    <s v="고체향수"/>
    <s v="스테이포에버"/>
    <n v="201210"/>
    <m/>
    <n v="6384000"/>
    <n v="6010536"/>
    <n v="467544"/>
    <n v="5803636.363636363"/>
    <s v="카페24고체향수유즈 스테이포에버 솔리드퍼퓸 002 (10차 재입고 완료)제품선택=스테이포에버 1개201210"/>
  </r>
  <r>
    <x v="214"/>
    <s v="목"/>
    <m/>
    <s v="카페24"/>
    <s v="유즈 스테이포에버 솔리드퍼퓸 002 (10차 재입고 완료)제품선택=best스테이포에버 2개[28% 할인]"/>
    <n v="69"/>
    <s v="고체향수"/>
    <s v="스테이포에버 2set"/>
    <n v="201210"/>
    <m/>
    <n v="4057200"/>
    <n v="3819853.8"/>
    <n v="384054"/>
    <n v="3688363.636363636"/>
    <s v="카페24고체향수유즈 스테이포에버 솔리드퍼퓸 002 (10차 재입고 완료)제품선택=best스테이포에버 2개[28% 할인]201210"/>
  </r>
  <r>
    <x v="214"/>
    <s v="목"/>
    <m/>
    <s v="카페24"/>
    <s v="유즈 스테이포에버 솔리드퍼퓸 002 (10차 재입고 완료)제품선택=커플추천스테이포에버 + 이그나이트 세트"/>
    <n v="10"/>
    <s v="고체향수"/>
    <s v="이그나이트 + 스테이포에버"/>
    <n v="201210"/>
    <m/>
    <n v="0"/>
    <n v="0"/>
    <n v="56710"/>
    <n v="0"/>
    <s v="카페24고체향수유즈 스테이포에버 솔리드퍼퓸 002 (10차 재입고 완료)제품선택=커플추천스테이포에버 + 이그나이트 세트201210"/>
  </r>
  <r>
    <x v="214"/>
    <s v="목"/>
    <m/>
    <s v="카페24"/>
    <s v="유즈 스테이포에버 솔리드퍼퓸 002 (10차 재입고 완료)쇼핑백=선물용 쇼핑백"/>
    <n v="6"/>
    <s v="고체향수"/>
    <s v="쇼핑백"/>
    <n v="201210"/>
    <m/>
    <n v="12000"/>
    <n v="11298"/>
    <n v="7260"/>
    <n v="10909.09090909091"/>
    <s v="카페24고체향수유즈 스테이포에버 솔리드퍼퓸 002 (10차 재입고 완료)쇼핑백=선물용 쇼핑백201210"/>
  </r>
  <r>
    <x v="214"/>
    <s v="목"/>
    <m/>
    <s v="카페24"/>
    <s v="유즈 이그나이트 솔리드퍼퓸 001제품선택=이그나이트 솔리드퍼퓸 - 30ml"/>
    <n v="2"/>
    <s v="고체향수"/>
    <s v="이그나이트"/>
    <n v="201210"/>
    <m/>
    <n v="76000"/>
    <n v="71554"/>
    <n v="5776"/>
    <n v="69090.90909090909"/>
    <s v="카페24고체향수유즈 이그나이트 솔리드퍼퓸 001제품선택=이그나이트 솔리드퍼퓸 - 30ml201210"/>
  </r>
  <r>
    <x v="215"/>
    <s v="금"/>
    <m/>
    <s v="카페24"/>
    <s v="유즈 솔리드퍼퓸 - 30ml (10차 재입고 완료향=이그나이트 001 SOLID PERFUME, 세트 선택=1개"/>
    <n v="1"/>
    <s v="고체향수"/>
    <s v="이그나이트"/>
    <n v="201210"/>
    <m/>
    <n v="38000"/>
    <n v="35777"/>
    <n v="2888"/>
    <n v="34545.45454545454"/>
    <s v="카페24고체향수유즈 솔리드퍼퓸 - 30ml (10차 재입고 완료향=이그나이트 001 SOLID PERFUME, 세트 선택=1개201210"/>
  </r>
  <r>
    <x v="215"/>
    <s v="금"/>
    <m/>
    <s v="카페24"/>
    <s v="유즈 솔리드퍼퓸 - 30ml (10차 재입고 완료향=이그나이트 001 SOLID PERFUME, 세트 선택=best"/>
    <n v="1"/>
    <s v="고체향수"/>
    <s v="이그나이트 2set"/>
    <n v="201210"/>
    <m/>
    <n v="58800"/>
    <n v="55360.2"/>
    <n v="5776"/>
    <n v="53454.54545454545"/>
    <s v="카페24고체향수유즈 솔리드퍼퓸 - 30ml (10차 재입고 완료향=이그나이트 001 SOLID PERFUME, 세트 선택=best201210"/>
  </r>
  <r>
    <x v="215"/>
    <s v="금"/>
    <m/>
    <s v="카페24"/>
    <s v="유즈 솔리드퍼퓸 - 30ml (10차 재입고 완료향=스테이포에버 002 SOLID PERFUME, 세트 선택=1개"/>
    <n v="9"/>
    <s v="고체향수"/>
    <s v="스테이포에버"/>
    <n v="201210"/>
    <m/>
    <n v="342000"/>
    <n v="321993"/>
    <n v="25047"/>
    <n v="310909.0909090909"/>
    <s v="카페24고체향수유즈 솔리드퍼퓸 - 30ml (10차 재입고 완료향=스테이포에버 002 SOLID PERFUME, 세트 선택=1개201210"/>
  </r>
  <r>
    <x v="215"/>
    <s v="금"/>
    <m/>
    <s v="카페24"/>
    <s v="유즈 솔리드퍼퓸 - 30ml (10차 재입고 완료향=스테이포에버 002 SOLID PERFUME, 세트 선택=best"/>
    <n v="4"/>
    <s v="고체향수"/>
    <s v="스테이포에버 2set"/>
    <n v="201210"/>
    <m/>
    <n v="235200"/>
    <n v="221440.8"/>
    <n v="22264"/>
    <n v="213818.1818181818"/>
    <s v="카페24고체향수유즈 솔리드퍼퓸 - 30ml (10차 재입고 완료향=스테이포에버 002 SOLID PERFUME, 세트 선택=best201210"/>
  </r>
  <r>
    <x v="215"/>
    <s v="금"/>
    <m/>
    <s v="카페24"/>
    <s v="유즈 솔리드퍼퓸 - 30ml (10차 재입고 완료향=커플세트"/>
    <n v="4"/>
    <s v="고체향수"/>
    <s v="이그나이트 + 스테이포에버"/>
    <n v="201210"/>
    <m/>
    <n v="276000"/>
    <n v="259854"/>
    <n v="22684"/>
    <n v="250909.0909090909"/>
    <s v="카페24고체향수유즈 솔리드퍼퓸 - 30ml (10차 재입고 완료향=커플세트201210"/>
  </r>
  <r>
    <x v="215"/>
    <s v="금"/>
    <m/>
    <s v="카페24"/>
    <s v="유즈 솔리드퍼퓸 - 30ml (10차 재입고 완료향=커플세트"/>
    <n v="2"/>
    <s v="고체향수"/>
    <s v="이그나이트 + 스테이포에버"/>
    <n v="201210"/>
    <m/>
    <n v="138000"/>
    <n v="129927"/>
    <n v="11342"/>
    <n v="125454.5454545454"/>
    <s v="카페24고체향수유즈 솔리드퍼퓸 - 30ml (10차 재입고 완료향=커플세트201210"/>
  </r>
  <r>
    <x v="215"/>
    <s v="금"/>
    <m/>
    <s v="카페24"/>
    <s v="유즈 솔리드퍼퓸 - 30ml (10차 재입고 완료 )향=스테이포에버 002 SOLID PERFUME, 세트 선택=1개"/>
    <n v="4"/>
    <s v="고체향수"/>
    <s v="스테이포에버"/>
    <n v="201210"/>
    <m/>
    <n v="152000"/>
    <n v="143108"/>
    <n v="11132"/>
    <n v="138181.8181818182"/>
    <s v="카페24고체향수유즈 솔리드퍼퓸 - 30ml (10차 재입고 완료 )향=스테이포에버 002 SOLID PERFUME, 세트 선택=1개201210"/>
  </r>
  <r>
    <x v="215"/>
    <s v="금"/>
    <m/>
    <s v="카페24"/>
    <s v="유즈 솔리드퍼퓸 - 30ml (10차 재입고 완료 )향=스테이포에버 002 SOLID PERFUME, 세트 선택=best 2개 (28% 할인)"/>
    <n v="2"/>
    <s v="고체향수"/>
    <s v="스테이포에버 2set"/>
    <n v="201210"/>
    <m/>
    <n v="117600"/>
    <n v="110720.4"/>
    <n v="11132"/>
    <n v="106909.0909090909"/>
    <s v="카페24고체향수유즈 솔리드퍼퓸 - 30ml (10차 재입고 완료 )향=스테이포에버 002 SOLID PERFUME, 세트 선택=best 2개 (28% 할인)201210"/>
  </r>
  <r>
    <x v="215"/>
    <s v="금"/>
    <m/>
    <s v="카페24"/>
    <s v="유즈 솔리드퍼퓸 - 30ml (10차 재입고 완료 )향=커플세트(이그나이트 + 스테이포에버), 세트 선택=1 SET"/>
    <n v="5"/>
    <s v="고체향수"/>
    <s v="이그나이트 + 스테이포에버"/>
    <n v="201210"/>
    <m/>
    <n v="345000"/>
    <n v="324817.5"/>
    <n v="28355"/>
    <n v="313636.3636363636"/>
    <s v="카페24고체향수유즈 솔리드퍼퓸 - 30ml (10차 재입고 완료 )향=커플세트(이그나이트 + 스테이포에버), 세트 선택=1 SET201210"/>
  </r>
  <r>
    <x v="215"/>
    <s v="금"/>
    <m/>
    <s v="카페24"/>
    <s v="유즈 솔리드퍼퓸 - 30ml (10차 재입고 완료)향=커플세트"/>
    <n v="1"/>
    <s v="고체향수"/>
    <s v="이그나이트 + 스테이포에버"/>
    <n v="201210"/>
    <m/>
    <n v="69000"/>
    <n v="64963.5"/>
    <n v="5671"/>
    <n v="62727.27272727272"/>
    <s v="카페24고체향수유즈 솔리드퍼퓸 - 30ml (10차 재입고 완료)향=커플세트201210"/>
  </r>
  <r>
    <x v="215"/>
    <s v="금"/>
    <m/>
    <s v="카페24"/>
    <s v="유즈 스테이포에버 솔리드퍼퓸 002 (10차 재입고 완료제품선택=스테이포에버 1개"/>
    <n v="141"/>
    <s v="고체향수"/>
    <s v="스테이포에버"/>
    <n v="201210"/>
    <m/>
    <n v="5358000"/>
    <n v="5044557"/>
    <n v="392403"/>
    <n v="4870909.090909091"/>
    <s v="카페24고체향수유즈 스테이포에버 솔리드퍼퓸 002 (10차 재입고 완료제품선택=스테이포에버 1개201210"/>
  </r>
  <r>
    <x v="215"/>
    <s v="금"/>
    <m/>
    <s v="카페24"/>
    <s v="유즈 스테이포에버 솔리드퍼퓸 002 (10차 재입고 완료제품선택=best"/>
    <n v="76"/>
    <s v="고체향수"/>
    <s v="스테이포에버 2set"/>
    <n v="201210"/>
    <m/>
    <n v="4468800"/>
    <n v="4207375.2"/>
    <n v="423016"/>
    <n v="4062545.454545454"/>
    <s v="카페24고체향수유즈 스테이포에버 솔리드퍼퓸 002 (10차 재입고 완료제품선택=best201210"/>
  </r>
  <r>
    <x v="215"/>
    <s v="금"/>
    <m/>
    <s v="카페24"/>
    <s v="유즈 스테이포에버 솔리드퍼퓸 002 (10차 재입고 완료제품선택=커플추천"/>
    <n v="11"/>
    <s v="고체향수"/>
    <s v="이그나이트 + 스테이포에버"/>
    <n v="201210"/>
    <m/>
    <n v="759000"/>
    <n v="714598.5"/>
    <n v="62381"/>
    <n v="690000"/>
    <s v="카페24고체향수유즈 스테이포에버 솔리드퍼퓸 002 (10차 재입고 완료제품선택=커플추천201210"/>
  </r>
  <r>
    <x v="215"/>
    <s v="금"/>
    <m/>
    <s v="카페24"/>
    <s v="유즈 스테이포에버 솔리드퍼퓸 002 (10차 재입고 완료쇼핑백=선물용 쇼핑백"/>
    <n v="4"/>
    <s v="고체향수"/>
    <s v="쇼핑백"/>
    <n v="201210"/>
    <m/>
    <n v="8000"/>
    <n v="7532"/>
    <n v="4840"/>
    <n v="7272.727272727272"/>
    <s v="카페24고체향수유즈 스테이포에버 솔리드퍼퓸 002 (10차 재입고 완료쇼핑백=선물용 쇼핑백201210"/>
  </r>
  <r>
    <x v="215"/>
    <s v="금"/>
    <m/>
    <s v="카페24"/>
    <s v="유즈 스테이포에버 솔리드퍼퓸 002 (10차 재입고 완료)제품선택=스테이포에버 1개"/>
    <n v="264"/>
    <s v="고체향수"/>
    <s v="스테이포에버"/>
    <n v="201210"/>
    <m/>
    <n v="10032000"/>
    <n v="9445128"/>
    <n v="734712"/>
    <n v="9120000"/>
    <s v="카페24고체향수유즈 스테이포에버 솔리드퍼퓸 002 (10차 재입고 완료)제품선택=스테이포에버 1개201210"/>
  </r>
  <r>
    <x v="215"/>
    <s v="금"/>
    <m/>
    <s v="카페24"/>
    <s v="유즈 스테이포에버 솔리드퍼퓸 002 (10차 재입고 완료)제품선택=best스테이포에버 2개[28% 할인]"/>
    <n v="115"/>
    <s v="고체향수"/>
    <s v="스테이포에버 2set"/>
    <n v="201210"/>
    <m/>
    <n v="6762000"/>
    <n v="6366423"/>
    <n v="640090"/>
    <n v="6147272.727272727"/>
    <s v="카페24고체향수유즈 스테이포에버 솔리드퍼퓸 002 (10차 재입고 완료)제품선택=best스테이포에버 2개[28% 할인]201210"/>
  </r>
  <r>
    <x v="215"/>
    <s v="금"/>
    <m/>
    <s v="카페24"/>
    <s v="유즈 스테이포에버 솔리드퍼퓸 002 (10차 재입고 완료)제품선택=커플추천스테이포에버 + 이그나이트 세트"/>
    <n v="21"/>
    <s v="고체향수"/>
    <s v="이그나이트 + 스테이포에버"/>
    <n v="201210"/>
    <m/>
    <n v="0"/>
    <n v="0"/>
    <n v="119091"/>
    <n v="0"/>
    <s v="카페24고체향수유즈 스테이포에버 솔리드퍼퓸 002 (10차 재입고 완료)제품선택=커플추천스테이포에버 + 이그나이트 세트201210"/>
  </r>
  <r>
    <x v="215"/>
    <s v="금"/>
    <m/>
    <s v="카페24"/>
    <s v="유즈 스테이포에버 솔리드퍼퓸 002 (10차 재입고 완료)쇼핑백=선물용 쇼핑백"/>
    <n v="13"/>
    <s v="고체향수"/>
    <s v="쇼핑백"/>
    <n v="201210"/>
    <m/>
    <n v="26000"/>
    <n v="24479"/>
    <n v="15730"/>
    <n v="23636.36363636364"/>
    <s v="카페24고체향수유즈 스테이포에버 솔리드퍼퓸 002 (10차 재입고 완료)쇼핑백=선물용 쇼핑백201210"/>
  </r>
  <r>
    <x v="215"/>
    <s v="금"/>
    <m/>
    <s v="카페24"/>
    <s v="유즈 이그나이트 솔리드퍼퓸 001제품선택=이그나이트 솔리드퍼퓸 - 30ml"/>
    <n v="6"/>
    <s v="고체향수"/>
    <s v="이그나이트"/>
    <n v="201210"/>
    <m/>
    <n v="228000"/>
    <n v="214662"/>
    <n v="17328"/>
    <n v="207272.7272727273"/>
    <s v="카페24고체향수유즈 이그나이트 솔리드퍼퓸 001제품선택=이그나이트 솔리드퍼퓸 - 30ml201210"/>
  </r>
  <r>
    <x v="215"/>
    <s v="금"/>
    <m/>
    <s v="카페24"/>
    <s v="유즈 이그나이트 솔리드퍼퓸 001제품선택=이그나이트 2개 세트"/>
    <n v="2"/>
    <s v="고체향수"/>
    <s v="이그나이트 2set"/>
    <n v="201210"/>
    <m/>
    <n v="117600"/>
    <n v="110720.4"/>
    <n v="11552"/>
    <n v="106909.0909090909"/>
    <s v="카페24고체향수유즈 이그나이트 솔리드퍼퓸 001제품선택=이그나이트 2개 세트201210"/>
  </r>
  <r>
    <x v="216"/>
    <s v="토"/>
    <m/>
    <s v="카페24"/>
    <s v="유즈 솔리드퍼퓸 - 30ml (10차 재입고 완료향=스테이포에버 002 SOLID PERFUME, 세트 선택=1개"/>
    <n v="7"/>
    <s v="고체향수"/>
    <s v="스테이포에버"/>
    <n v="201210"/>
    <m/>
    <n v="266000"/>
    <n v="250439"/>
    <n v="19481"/>
    <n v="241818.1818181818"/>
    <s v="카페24고체향수유즈 솔리드퍼퓸 - 30ml (10차 재입고 완료향=스테이포에버 002 SOLID PERFUME, 세트 선택=1개201210"/>
  </r>
  <r>
    <x v="216"/>
    <s v="토"/>
    <m/>
    <s v="카페24"/>
    <s v="유즈 솔리드퍼퓸 - 30ml (10차 재입고 완료향=스테이포에버 002 SOLID PERFUME, 세트 선택=best"/>
    <n v="5"/>
    <s v="고체향수"/>
    <s v="스테이포에버 2set"/>
    <n v="201210"/>
    <m/>
    <n v="294000"/>
    <n v="276801"/>
    <n v="27830"/>
    <n v="267272.7272727272"/>
    <s v="카페24고체향수유즈 솔리드퍼퓸 - 30ml (10차 재입고 완료향=스테이포에버 002 SOLID PERFUME, 세트 선택=best201210"/>
  </r>
  <r>
    <x v="216"/>
    <s v="토"/>
    <m/>
    <s v="카페24"/>
    <s v="유즈 솔리드퍼퓸 - 30ml (10차 재입고 완료향=커플세트"/>
    <n v="7"/>
    <s v="고체향수"/>
    <s v="이그나이트 + 스테이포에버"/>
    <n v="201210"/>
    <m/>
    <n v="483000"/>
    <n v="454744.5"/>
    <n v="39697"/>
    <n v="439090.9090909091"/>
    <s v="카페24고체향수유즈 솔리드퍼퓸 - 30ml (10차 재입고 완료향=커플세트201210"/>
  </r>
  <r>
    <x v="216"/>
    <s v="토"/>
    <m/>
    <s v="카페24"/>
    <s v="유즈 솔리드퍼퓸 - 30ml (10차 재입고 완료 )향=스테이포에버 002 SOLID PERFUME, 세트 선택=1개"/>
    <n v="11"/>
    <s v="고체향수"/>
    <s v="스테이포에버"/>
    <n v="201210"/>
    <m/>
    <n v="418000"/>
    <n v="393547"/>
    <n v="30613"/>
    <n v="379999.9999999999"/>
    <s v="카페24고체향수유즈 솔리드퍼퓸 - 30ml (10차 재입고 완료 )향=스테이포에버 002 SOLID PERFUME, 세트 선택=1개201210"/>
  </r>
  <r>
    <x v="216"/>
    <s v="토"/>
    <m/>
    <s v="카페24"/>
    <s v="유즈 솔리드퍼퓸 - 30ml (10차 재입고 완료 )향=스테이포에버 002 SOLID PERFUME, 세트 선택=best 2개 (28% 할인)"/>
    <n v="2"/>
    <s v="고체향수"/>
    <s v="스테이포에버 2set"/>
    <n v="201210"/>
    <m/>
    <n v="117600"/>
    <n v="110720.4"/>
    <n v="11132"/>
    <n v="106909.0909090909"/>
    <s v="카페24고체향수유즈 솔리드퍼퓸 - 30ml (10차 재입고 완료 )향=스테이포에버 002 SOLID PERFUME, 세트 선택=best 2개 (28% 할인)201210"/>
  </r>
  <r>
    <x v="216"/>
    <s v="토"/>
    <m/>
    <s v="카페24"/>
    <s v="유즈 솔리드퍼퓸 - 30ml (10차 재입고 완료 )향=커플세트(이그나이트 + 스테이포에버), 세트 선택=1 SET"/>
    <n v="4"/>
    <s v="고체향수"/>
    <s v="이그나이트 + 스테이포에버"/>
    <n v="201210"/>
    <m/>
    <n v="276000"/>
    <n v="259854"/>
    <n v="22684"/>
    <n v="250909.0909090909"/>
    <s v="카페24고체향수유즈 솔리드퍼퓸 - 30ml (10차 재입고 완료 )향=커플세트(이그나이트 + 스테이포에버), 세트 선택=1 SET201210"/>
  </r>
  <r>
    <x v="216"/>
    <s v="토"/>
    <m/>
    <s v="카페24"/>
    <s v="유즈 스테이포에버 솔리드퍼퓸 002 (10차 재입고 완료제품선택=스테이포에버 1개"/>
    <n v="179"/>
    <s v="고체향수"/>
    <s v="스테이포에버"/>
    <n v="201210"/>
    <m/>
    <n v="6802000"/>
    <n v="6404083"/>
    <n v="498157"/>
    <n v="6183636.363636363"/>
    <s v="카페24고체향수유즈 스테이포에버 솔리드퍼퓸 002 (10차 재입고 완료제품선택=스테이포에버 1개201210"/>
  </r>
  <r>
    <x v="216"/>
    <s v="토"/>
    <m/>
    <s v="카페24"/>
    <s v="유즈 스테이포에버 솔리드퍼퓸 002 (10차 재입고 완료제품선택=best"/>
    <n v="93"/>
    <s v="고체향수"/>
    <s v="스테이포에버 2set"/>
    <n v="201210"/>
    <m/>
    <n v="5468400"/>
    <n v="5148498.6"/>
    <n v="517638"/>
    <n v="4971272.727272727"/>
    <s v="카페24고체향수유즈 스테이포에버 솔리드퍼퓸 002 (10차 재입고 완료제품선택=best201210"/>
  </r>
  <r>
    <x v="216"/>
    <s v="토"/>
    <m/>
    <s v="카페24"/>
    <s v="유즈 스테이포에버 솔리드퍼퓸 002 (10차 재입고 완료제품선택=커플추천"/>
    <n v="7"/>
    <s v="고체향수"/>
    <s v="이그나이트 + 스테이포에버"/>
    <n v="201210"/>
    <m/>
    <n v="483000"/>
    <n v="454744.5"/>
    <n v="39697"/>
    <n v="439090.9090909091"/>
    <s v="카페24고체향수유즈 스테이포에버 솔리드퍼퓸 002 (10차 재입고 완료제품선택=커플추천201210"/>
  </r>
  <r>
    <x v="216"/>
    <s v="토"/>
    <m/>
    <s v="카페24"/>
    <s v="유즈 스테이포에버 솔리드퍼퓸 002 (10차 재입고 완료쇼핑백=선물용 쇼핑백"/>
    <n v="4"/>
    <s v="고체향수"/>
    <s v="쇼핑백"/>
    <n v="201210"/>
    <m/>
    <n v="8000"/>
    <n v="7532"/>
    <n v="4840"/>
    <n v="7272.727272727272"/>
    <s v="카페24고체향수유즈 스테이포에버 솔리드퍼퓸 002 (10차 재입고 완료쇼핑백=선물용 쇼핑백201210"/>
  </r>
  <r>
    <x v="216"/>
    <s v="토"/>
    <m/>
    <s v="카페24"/>
    <s v="유즈 스테이포에버 솔리드퍼퓸 002 (10차 재입고 완료)제품선택=스테이포에버 1개"/>
    <n v="317"/>
    <s v="고체향수"/>
    <s v="스테이포에버"/>
    <n v="201210"/>
    <m/>
    <n v="12046000"/>
    <n v="11341309"/>
    <n v="882211"/>
    <n v="10950909.09090909"/>
    <s v="카페24고체향수유즈 스테이포에버 솔리드퍼퓸 002 (10차 재입고 완료)제품선택=스테이포에버 1개201210"/>
  </r>
  <r>
    <x v="216"/>
    <s v="토"/>
    <m/>
    <s v="카페24"/>
    <s v="유즈 스테이포에버 솔리드퍼퓸 002 (10차 재입고 완료)제품선택=best스테이포에버 2개[28% 할인]"/>
    <n v="112"/>
    <s v="고체향수"/>
    <s v="스테이포에버 2set"/>
    <n v="201210"/>
    <m/>
    <n v="6585600"/>
    <n v="6200342.4"/>
    <n v="623392"/>
    <n v="5986909.090909091"/>
    <s v="카페24고체향수유즈 스테이포에버 솔리드퍼퓸 002 (10차 재입고 완료)제품선택=best스테이포에버 2개[28% 할인]201210"/>
  </r>
  <r>
    <x v="216"/>
    <s v="토"/>
    <m/>
    <s v="카페24"/>
    <s v="유즈 스테이포에버 솔리드퍼퓸 002 (10차 재입고 완료)제품선택=커플추천스테이포에버 + 이그나이트 세트"/>
    <n v="19"/>
    <s v="고체향수"/>
    <s v="이그나이트 + 스테이포에버"/>
    <n v="201210"/>
    <m/>
    <n v="0"/>
    <n v="0"/>
    <n v="107749"/>
    <n v="0"/>
    <s v="카페24고체향수유즈 스테이포에버 솔리드퍼퓸 002 (10차 재입고 완료)제품선택=커플추천스테이포에버 + 이그나이트 세트201210"/>
  </r>
  <r>
    <x v="216"/>
    <s v="토"/>
    <m/>
    <s v="카페24"/>
    <s v="유즈 스테이포에버 솔리드퍼퓸 002 (10차 재입고 완료)쇼핑백=선물용 쇼핑백"/>
    <n v="9"/>
    <s v="고체향수"/>
    <s v="쇼핑백"/>
    <n v="201210"/>
    <m/>
    <n v="18000"/>
    <n v="16947"/>
    <n v="10890"/>
    <n v="16363.63636363636"/>
    <s v="카페24고체향수유즈 스테이포에버 솔리드퍼퓸 002 (10차 재입고 완료)쇼핑백=선물용 쇼핑백201210"/>
  </r>
  <r>
    <x v="216"/>
    <s v="토"/>
    <m/>
    <s v="카페24"/>
    <s v="유즈 이그나이트 솔리드퍼퓸 001제품선택=이그나이트 솔리드퍼퓸 - 30ml"/>
    <n v="6"/>
    <s v="고체향수"/>
    <s v="이그나이트"/>
    <n v="201210"/>
    <m/>
    <n v="228000"/>
    <n v="214662"/>
    <n v="17328"/>
    <n v="207272.7272727273"/>
    <s v="카페24고체향수유즈 이그나이트 솔리드퍼퓸 001제품선택=이그나이트 솔리드퍼퓸 - 30ml201210"/>
  </r>
  <r>
    <x v="217"/>
    <s v="일"/>
    <m/>
    <s v="카페24"/>
    <s v="SHOPPING BAG"/>
    <n v="3"/>
    <s v="쇼핑백"/>
    <s v="쇼핑백"/>
    <n v="201210"/>
    <m/>
    <n v="6000"/>
    <n v="5649"/>
    <n v="3630"/>
    <n v="5454.545454545454"/>
    <s v="카페24쇼핑백SHOPPING BAG201210"/>
  </r>
  <r>
    <x v="217"/>
    <s v="일"/>
    <m/>
    <s v="카페24"/>
    <s v="유즈 솔리드퍼퓸 - 30ml (10차 재입고 완료향=이그나이트 001 SOLID PERFUME, 세트 선택=1개"/>
    <n v="1"/>
    <s v="고체향수"/>
    <s v="이그나이트"/>
    <n v="201210"/>
    <m/>
    <n v="38000"/>
    <n v="35777"/>
    <n v="2888"/>
    <n v="34545.45454545454"/>
    <s v="카페24고체향수유즈 솔리드퍼퓸 - 30ml (10차 재입고 완료향=이그나이트 001 SOLID PERFUME, 세트 선택=1개201210"/>
  </r>
  <r>
    <x v="217"/>
    <s v="일"/>
    <m/>
    <s v="카페24"/>
    <s v="유즈 솔리드퍼퓸 - 30ml (10차 재입고 완료향=이그나이트 001 SOLID PERFUME, 세트 선택=best"/>
    <n v="1"/>
    <s v="고체향수"/>
    <s v="이그나이트 2set"/>
    <n v="201210"/>
    <m/>
    <n v="58800"/>
    <n v="55360.2"/>
    <n v="5776"/>
    <n v="53454.54545454545"/>
    <s v="카페24고체향수유즈 솔리드퍼퓸 - 30ml (10차 재입고 완료향=이그나이트 001 SOLID PERFUME, 세트 선택=best201210"/>
  </r>
  <r>
    <x v="217"/>
    <s v="일"/>
    <m/>
    <s v="카페24"/>
    <s v="유즈 솔리드퍼퓸 - 30ml (10차 재입고 완료향=스테이포에버 002 SOLID PERFUME, 세트 선택=1개"/>
    <n v="6"/>
    <s v="고체향수"/>
    <s v="스테이포에버"/>
    <n v="201210"/>
    <m/>
    <n v="228000"/>
    <n v="214662"/>
    <n v="16698"/>
    <n v="207272.7272727273"/>
    <s v="카페24고체향수유즈 솔리드퍼퓸 - 30ml (10차 재입고 완료향=스테이포에버 002 SOLID PERFUME, 세트 선택=1개201210"/>
  </r>
  <r>
    <x v="217"/>
    <s v="일"/>
    <m/>
    <s v="카페24"/>
    <s v="유즈 솔리드퍼퓸 - 30ml (10차 재입고 완료향=스테이포에버 002 SOLID PERFUME, 세트 선택=best"/>
    <n v="2"/>
    <s v="고체향수"/>
    <s v="스테이포에버 2set"/>
    <n v="201210"/>
    <m/>
    <n v="117600"/>
    <n v="110720.4"/>
    <n v="11132"/>
    <n v="106909.0909090909"/>
    <s v="카페24고체향수유즈 솔리드퍼퓸 - 30ml (10차 재입고 완료향=스테이포에버 002 SOLID PERFUME, 세트 선택=best201210"/>
  </r>
  <r>
    <x v="217"/>
    <s v="일"/>
    <m/>
    <s v="카페24"/>
    <s v="유즈 솔리드퍼퓸 - 30ml (10차 재입고 완료향=커플세트"/>
    <n v="3"/>
    <s v="고체향수"/>
    <s v="이그나이트 + 스테이포에버"/>
    <n v="201210"/>
    <m/>
    <n v="207000"/>
    <n v="194890.5"/>
    <n v="17013"/>
    <n v="188181.8181818182"/>
    <s v="카페24고체향수유즈 솔리드퍼퓸 - 30ml (10차 재입고 완료향=커플세트201210"/>
  </r>
  <r>
    <x v="217"/>
    <s v="일"/>
    <m/>
    <s v="카페24"/>
    <s v="유즈 솔리드퍼퓸 - 30ml (10차 재입고 완료향=커플세트"/>
    <n v="2"/>
    <s v="고체향수"/>
    <s v="이그나이트 + 스테이포에버"/>
    <n v="201210"/>
    <m/>
    <n v="138000"/>
    <n v="129927"/>
    <n v="11342"/>
    <n v="125454.5454545454"/>
    <s v="카페24고체향수유즈 솔리드퍼퓸 - 30ml (10차 재입고 완료향=커플세트201210"/>
  </r>
  <r>
    <x v="217"/>
    <s v="일"/>
    <m/>
    <s v="카페24"/>
    <s v="유즈 솔리드퍼퓸 - 30ml (10차 재입고 완료 )향=이그나이트 001 SOLID PERFUME, 세트 선택=1개"/>
    <n v="1"/>
    <s v="고체향수"/>
    <s v="이그나이트"/>
    <n v="201210"/>
    <m/>
    <n v="38000"/>
    <n v="35777"/>
    <n v="2888"/>
    <n v="34545.45454545454"/>
    <s v="카페24고체향수유즈 솔리드퍼퓸 - 30ml (10차 재입고 완료 )향=이그나이트 001 SOLID PERFUME, 세트 선택=1개201210"/>
  </r>
  <r>
    <x v="217"/>
    <s v="일"/>
    <m/>
    <s v="카페24"/>
    <s v="유즈 솔리드퍼퓸 - 30ml (10차 재입고 완료 )향=스테이포에버 002 SOLID PERFUME, 세트 선택=1개"/>
    <n v="8"/>
    <s v="고체향수"/>
    <s v="스테이포에버"/>
    <n v="201210"/>
    <m/>
    <n v="304000"/>
    <n v="286216"/>
    <n v="22264"/>
    <n v="276363.6363636364"/>
    <s v="카페24고체향수유즈 솔리드퍼퓸 - 30ml (10차 재입고 완료 )향=스테이포에버 002 SOLID PERFUME, 세트 선택=1개201210"/>
  </r>
  <r>
    <x v="217"/>
    <s v="일"/>
    <m/>
    <s v="카페24"/>
    <s v="유즈 솔리드퍼퓸 - 30ml (10차 재입고 완료 )향=스테이포에버 002 SOLID PERFUME, 세트 선택=best 2개 (28% 할인)"/>
    <n v="1"/>
    <s v="고체향수"/>
    <s v="스테이포에버 2set"/>
    <n v="201210"/>
    <m/>
    <n v="58800"/>
    <n v="55360.2"/>
    <n v="5566"/>
    <n v="53454.54545454545"/>
    <s v="카페24고체향수유즈 솔리드퍼퓸 - 30ml (10차 재입고 완료 )향=스테이포에버 002 SOLID PERFUME, 세트 선택=best 2개 (28% 할인)201210"/>
  </r>
  <r>
    <x v="217"/>
    <s v="일"/>
    <m/>
    <s v="카페24"/>
    <s v="유즈 솔리드퍼퓸 - 30ml (10차 재입고 완료 )향=커플세트(이그나이트 + 스테이포에버), 세트 선택=1 SET"/>
    <n v="7"/>
    <s v="고체향수"/>
    <s v="이그나이트 + 스테이포에버"/>
    <n v="201210"/>
    <m/>
    <n v="483000"/>
    <n v="454744.5"/>
    <n v="39697"/>
    <n v="439090.9090909091"/>
    <s v="카페24고체향수유즈 솔리드퍼퓸 - 30ml (10차 재입고 완료 )향=커플세트(이그나이트 + 스테이포에버), 세트 선택=1 SET201210"/>
  </r>
  <r>
    <x v="217"/>
    <s v="일"/>
    <m/>
    <s v="카페24"/>
    <s v="유즈 스테이포에버 솔리드퍼퓸 002 (10차 재입고 완료제품선택=스테이포에버 1개"/>
    <n v="143"/>
    <s v="고체향수"/>
    <s v="스테이포에버"/>
    <n v="201210"/>
    <m/>
    <n v="5434000"/>
    <n v="5116111"/>
    <n v="397969"/>
    <n v="4940000"/>
    <s v="카페24고체향수유즈 스테이포에버 솔리드퍼퓸 002 (10차 재입고 완료제품선택=스테이포에버 1개201210"/>
  </r>
  <r>
    <x v="217"/>
    <s v="일"/>
    <m/>
    <s v="카페24"/>
    <s v="유즈 스테이포에버 솔리드퍼퓸 002 (10차 재입고 완료제품선택=best"/>
    <n v="114"/>
    <s v="고체향수"/>
    <s v="스테이포에버 2set"/>
    <n v="201210"/>
    <m/>
    <n v="6703200"/>
    <n v="6311062.8"/>
    <n v="634524"/>
    <n v="6093818.181818182"/>
    <s v="카페24고체향수유즈 스테이포에버 솔리드퍼퓸 002 (10차 재입고 완료제품선택=best201210"/>
  </r>
  <r>
    <x v="217"/>
    <s v="일"/>
    <m/>
    <s v="카페24"/>
    <s v="유즈 스테이포에버 솔리드퍼퓸 002 (10차 재입고 완료제품선택=커플추천"/>
    <n v="10"/>
    <s v="고체향수"/>
    <s v="이그나이트 + 스테이포에버"/>
    <n v="201210"/>
    <m/>
    <n v="690000"/>
    <n v="649635"/>
    <n v="56710"/>
    <n v="627272.7272727272"/>
    <s v="카페24고체향수유즈 스테이포에버 솔리드퍼퓸 002 (10차 재입고 완료제품선택=커플추천201210"/>
  </r>
  <r>
    <x v="217"/>
    <s v="일"/>
    <m/>
    <s v="카페24"/>
    <s v="유즈 스테이포에버 솔리드퍼퓸 002 (10차 재입고 완료쇼핑백=선물용 쇼핑백"/>
    <n v="3"/>
    <s v="고체향수"/>
    <s v="쇼핑백"/>
    <n v="201210"/>
    <m/>
    <n v="6000"/>
    <n v="5649"/>
    <n v="3630"/>
    <n v="5454.545454545454"/>
    <s v="카페24고체향수유즈 스테이포에버 솔리드퍼퓸 002 (10차 재입고 완료쇼핑백=선물용 쇼핑백201210"/>
  </r>
  <r>
    <x v="217"/>
    <s v="일"/>
    <m/>
    <s v="카페24"/>
    <s v="유즈 스테이포에버 솔리드퍼퓸 002 (10차 재입고 완료)제품선택=스테이포에버 1개"/>
    <n v="226"/>
    <s v="고체향수"/>
    <s v="스테이포에버"/>
    <n v="201210"/>
    <m/>
    <n v="8588000"/>
    <n v="8085602"/>
    <n v="628958"/>
    <n v="7807272.727272727"/>
    <s v="카페24고체향수유즈 스테이포에버 솔리드퍼퓸 002 (10차 재입고 완료)제품선택=스테이포에버 1개201210"/>
  </r>
  <r>
    <x v="217"/>
    <s v="일"/>
    <m/>
    <s v="카페24"/>
    <s v="유즈 스테이포에버 솔리드퍼퓸 002 (10차 재입고 완료)제품선택=best스테이포에버 2개[28% 할인]"/>
    <n v="117"/>
    <s v="고체향수"/>
    <s v="스테이포에버 2set"/>
    <n v="201210"/>
    <m/>
    <n v="6879600"/>
    <n v="6477143.4"/>
    <n v="651222"/>
    <n v="6254181.818181817"/>
    <s v="카페24고체향수유즈 스테이포에버 솔리드퍼퓸 002 (10차 재입고 완료)제품선택=best스테이포에버 2개[28% 할인]201210"/>
  </r>
  <r>
    <x v="217"/>
    <s v="일"/>
    <m/>
    <s v="카페24"/>
    <s v="유즈 스테이포에버 솔리드퍼퓸 002 (10차 재입고 완료)제품선택=커플추천스테이포에버 + 이그나이트 세트"/>
    <n v="21"/>
    <s v="고체향수"/>
    <s v="이그나이트 + 스테이포에버"/>
    <n v="201210"/>
    <m/>
    <n v="0"/>
    <n v="0"/>
    <n v="119091"/>
    <n v="0"/>
    <s v="카페24고체향수유즈 스테이포에버 솔리드퍼퓸 002 (10차 재입고 완료)제품선택=커플추천스테이포에버 + 이그나이트 세트201210"/>
  </r>
  <r>
    <x v="217"/>
    <s v="일"/>
    <m/>
    <s v="카페24"/>
    <s v="유즈 스테이포에버 솔리드퍼퓸 002 (10차 재입고 완료)쇼핑백=선물용 쇼핑백"/>
    <n v="15"/>
    <s v="고체향수"/>
    <s v="쇼핑백"/>
    <n v="201210"/>
    <m/>
    <n v="30000"/>
    <n v="28245"/>
    <n v="18150"/>
    <n v="27272.72727272727"/>
    <s v="카페24고체향수유즈 스테이포에버 솔리드퍼퓸 002 (10차 재입고 완료)쇼핑백=선물용 쇼핑백201210"/>
  </r>
  <r>
    <x v="217"/>
    <s v="일"/>
    <m/>
    <s v="카페24"/>
    <s v="유즈 이그나이트 솔리드퍼퓸 001제품선택=이그나이트 솔리드퍼퓸 - 30ml"/>
    <n v="3"/>
    <s v="고체향수"/>
    <s v="이그나이트"/>
    <n v="201210"/>
    <m/>
    <n v="114000"/>
    <n v="107331"/>
    <n v="8664"/>
    <n v="103636.3636363636"/>
    <s v="카페24고체향수유즈 이그나이트 솔리드퍼퓸 001제품선택=이그나이트 솔리드퍼퓸 - 30ml201210"/>
  </r>
  <r>
    <x v="217"/>
    <s v="일"/>
    <m/>
    <s v="카페24"/>
    <s v="유즈 이그나이트 솔리드퍼퓸 001제품선택=이그나이트 2개 세트"/>
    <n v="1"/>
    <s v="고체향수"/>
    <s v="이그나이트 2set"/>
    <n v="201210"/>
    <m/>
    <n v="58800"/>
    <n v="55360.2"/>
    <n v="5776"/>
    <n v="53454.54545454545"/>
    <s v="카페24고체향수유즈 이그나이트 솔리드퍼퓸 001제품선택=이그나이트 2개 세트201210"/>
  </r>
  <r>
    <x v="218"/>
    <s v="월"/>
    <m/>
    <s v="카페24"/>
    <s v="유즈 솔리드퍼퓸 - 30ml (10차 재입고 완료향=스테이포에버 002 SOLID PERFUME, 세트 선택=1개"/>
    <n v="2"/>
    <s v="고체향수"/>
    <s v="스테이포에버"/>
    <n v="201210"/>
    <m/>
    <n v="76000"/>
    <n v="71554"/>
    <n v="5566"/>
    <n v="69090.90909090909"/>
    <s v="카페24고체향수유즈 솔리드퍼퓸 - 30ml (10차 재입고 완료향=스테이포에버 002 SOLID PERFUME, 세트 선택=1개201210"/>
  </r>
  <r>
    <x v="218"/>
    <s v="월"/>
    <m/>
    <s v="카페24"/>
    <s v="유즈 솔리드퍼퓸 - 30ml (10차 재입고 완료 )향=스테이포에버 002 SOLID PERFUME, 세트 선택=1개"/>
    <n v="1"/>
    <s v="고체향수"/>
    <s v="스테이포에버"/>
    <n v="201210"/>
    <m/>
    <n v="38000"/>
    <n v="35777"/>
    <n v="2783"/>
    <n v="34545.45454545454"/>
    <s v="카페24고체향수유즈 솔리드퍼퓸 - 30ml (10차 재입고 완료 )향=스테이포에버 002 SOLID PERFUME, 세트 선택=1개201210"/>
  </r>
  <r>
    <x v="218"/>
    <s v="월"/>
    <m/>
    <s v="카페24"/>
    <s v="유즈 솔리드퍼퓸 - 30ml (10차 재입고 완료 )향=스테이포에버 002 SOLID PERFUME, 세트 선택=best 2개 (28% 할인)"/>
    <n v="1"/>
    <s v="고체향수"/>
    <s v="스테이포에버 2set"/>
    <n v="201210"/>
    <m/>
    <n v="58800"/>
    <n v="55360.2"/>
    <n v="5566"/>
    <n v="53454.54545454545"/>
    <s v="카페24고체향수유즈 솔리드퍼퓸 - 30ml (10차 재입고 완료 )향=스테이포에버 002 SOLID PERFUME, 세트 선택=best 2개 (28% 할인)201210"/>
  </r>
  <r>
    <x v="218"/>
    <s v="월"/>
    <m/>
    <s v="카페24"/>
    <s v="유즈 솔리드퍼퓸 - 30ml (10차 재입고 완료)향=이그나이트 001 SOLID PERFUME, 세트 선택=1개"/>
    <n v="1"/>
    <s v="고체향수"/>
    <s v="이그나이트"/>
    <n v="201210"/>
    <m/>
    <n v="38000"/>
    <n v="35777"/>
    <n v="2888"/>
    <n v="34545.45454545454"/>
    <s v="카페24고체향수유즈 솔리드퍼퓸 - 30ml (10차 재입고 완료)향=이그나이트 001 SOLID PERFUME, 세트 선택=1개201210"/>
  </r>
  <r>
    <x v="218"/>
    <s v="월"/>
    <m/>
    <s v="카페24"/>
    <s v="유즈 솔리드퍼퓸 - 30ml (10차 재입고 완료)향=이그나이트 001 SOLID PERFUME, 세트 선택=best"/>
    <n v="1"/>
    <s v="고체향수"/>
    <s v="이그나이트 2set"/>
    <n v="201210"/>
    <m/>
    <n v="58800"/>
    <n v="55360.2"/>
    <n v="5776"/>
    <n v="53454.54545454545"/>
    <s v="카페24고체향수유즈 솔리드퍼퓸 - 30ml (10차 재입고 완료)향=이그나이트 001 SOLID PERFUME, 세트 선택=best201210"/>
  </r>
  <r>
    <x v="218"/>
    <s v="월"/>
    <m/>
    <s v="카페24"/>
    <s v="유즈 솔리드퍼퓸 - 30ml (10차 재입고 완료)향=스테이포에버 002 SOLID PERFUME, 세트 선택=1개"/>
    <n v="8"/>
    <s v="고체향수"/>
    <s v="스테이포에버"/>
    <n v="201210"/>
    <m/>
    <n v="304000"/>
    <n v="286216"/>
    <n v="22264"/>
    <n v="276363.6363636364"/>
    <s v="카페24고체향수유즈 솔리드퍼퓸 - 30ml (10차 재입고 완료)향=스테이포에버 002 SOLID PERFUME, 세트 선택=1개201210"/>
  </r>
  <r>
    <x v="218"/>
    <s v="월"/>
    <m/>
    <s v="카페24"/>
    <s v="유즈 솔리드퍼퓸 - 30ml (10차 재입고 완료)향=스테이포에버 002 SOLID PERFUME, 세트 선택=best 2개 (28% 할인)"/>
    <n v="2"/>
    <s v="고체향수"/>
    <s v="스테이포에버 2set"/>
    <n v="201210"/>
    <m/>
    <n v="117600"/>
    <n v="110720.4"/>
    <n v="11132"/>
    <n v="106909.0909090909"/>
    <s v="카페24고체향수유즈 솔리드퍼퓸 - 30ml (10차 재입고 완료)향=스테이포에버 002 SOLID PERFUME, 세트 선택=best 2개 (28% 할인)201210"/>
  </r>
  <r>
    <x v="218"/>
    <s v="월"/>
    <m/>
    <s v="카페24"/>
    <s v="유즈 솔리드퍼퓸 - 30ml (10차 재입고 완료)향=커플세트"/>
    <n v="6"/>
    <s v="고체향수"/>
    <s v="이그나이트 + 스테이포에버"/>
    <n v="201210"/>
    <m/>
    <n v="414000"/>
    <n v="389781"/>
    <n v="34026"/>
    <n v="376363.6363636364"/>
    <s v="카페24고체향수유즈 솔리드퍼퓸 - 30ml (10차 재입고 완료)향=커플세트201210"/>
  </r>
  <r>
    <x v="218"/>
    <s v="월"/>
    <m/>
    <s v="카페24"/>
    <s v="유즈 솔리드퍼퓸 - 30ml (10차 재입고 완료)향=커플세트(이그나이트 + 스테이포에버), 세트 선택=1 SET"/>
    <n v="2"/>
    <s v="고체향수"/>
    <s v="이그나이트 + 스테이포에버"/>
    <n v="201210"/>
    <m/>
    <n v="138000"/>
    <n v="129927"/>
    <n v="11342"/>
    <n v="125454.5454545454"/>
    <s v="카페24고체향수유즈 솔리드퍼퓸 - 30ml (10차 재입고 완료)향=커플세트(이그나이트 + 스테이포에버), 세트 선택=1 SET201210"/>
  </r>
  <r>
    <x v="218"/>
    <s v="월"/>
    <m/>
    <s v="카페24"/>
    <s v="유즈 스테이포에버 솔리드퍼퓸 002 (10차 재입고 완료제품선택=스테이포에버 1개"/>
    <n v="32"/>
    <s v="고체향수"/>
    <s v="스테이포에버"/>
    <n v="201210"/>
    <m/>
    <n v="1216000"/>
    <n v="1144864"/>
    <n v="89056"/>
    <n v="1105454.545454545"/>
    <s v="카페24고체향수유즈 스테이포에버 솔리드퍼퓸 002 (10차 재입고 완료제품선택=스테이포에버 1개201210"/>
  </r>
  <r>
    <x v="218"/>
    <s v="월"/>
    <m/>
    <s v="카페24"/>
    <s v="유즈 스테이포에버 솔리드퍼퓸 002 (10차 재입고 완료제품선택=best"/>
    <n v="14"/>
    <s v="고체향수"/>
    <s v="스테이포에버 2set"/>
    <n v="201210"/>
    <m/>
    <n v="823200"/>
    <n v="775042.8"/>
    <n v="77924"/>
    <n v="748363.6363636364"/>
    <s v="카페24고체향수유즈 스테이포에버 솔리드퍼퓸 002 (10차 재입고 완료제품선택=best201210"/>
  </r>
  <r>
    <x v="218"/>
    <s v="월"/>
    <m/>
    <s v="카페24"/>
    <s v="유즈 스테이포에버 솔리드퍼퓸 002 (10차 재입고 완료제품선택=커플추천"/>
    <n v="4"/>
    <s v="고체향수"/>
    <s v="이그나이트 + 스테이포에버"/>
    <n v="201210"/>
    <m/>
    <n v="276000"/>
    <n v="259854"/>
    <n v="22684"/>
    <n v="250909.0909090909"/>
    <s v="카페24고체향수유즈 스테이포에버 솔리드퍼퓸 002 (10차 재입고 완료제품선택=커플추천201210"/>
  </r>
  <r>
    <x v="218"/>
    <s v="월"/>
    <m/>
    <s v="카페24"/>
    <s v="유즈 스테이포에버 솔리드퍼퓸 002 (10차 재입고 완료)제품선택=스테이포에버 1개"/>
    <n v="251"/>
    <s v="고체향수"/>
    <s v="스테이포에버"/>
    <n v="201210"/>
    <m/>
    <n v="9538000"/>
    <n v="8980027"/>
    <n v="698533"/>
    <n v="8670909.09090909"/>
    <s v="카페24고체향수유즈 스테이포에버 솔리드퍼퓸 002 (10차 재입고 완료)제품선택=스테이포에버 1개201210"/>
  </r>
  <r>
    <x v="218"/>
    <s v="월"/>
    <m/>
    <s v="카페24"/>
    <s v="유즈 스테이포에버 솔리드퍼퓸 002 (10차 재입고 완료)제품선택=best"/>
    <n v="29"/>
    <s v="고체향수"/>
    <s v="스테이포에버 2set"/>
    <n v="201210"/>
    <m/>
    <n v="1705200"/>
    <n v="1605445.8"/>
    <n v="161414"/>
    <n v="1550181.818181818"/>
    <s v="카페24고체향수유즈 스테이포에버 솔리드퍼퓸 002 (10차 재입고 완료)제품선택=best201210"/>
  </r>
  <r>
    <x v="218"/>
    <s v="월"/>
    <m/>
    <s v="카페24"/>
    <s v="유즈 스테이포에버 솔리드퍼퓸 002 (10차 재입고 완료)제품선택=best스테이포에버 2개[28% 할인]"/>
    <n v="63"/>
    <s v="고체향수"/>
    <s v="스테이포에버 2set"/>
    <n v="201210"/>
    <m/>
    <n v="3704400"/>
    <n v="3487692.6"/>
    <n v="350658"/>
    <n v="3367636.363636363"/>
    <s v="카페24고체향수유즈 스테이포에버 솔리드퍼퓸 002 (10차 재입고 완료)제품선택=best스테이포에버 2개[28% 할인]201210"/>
  </r>
  <r>
    <x v="218"/>
    <s v="월"/>
    <m/>
    <s v="카페24"/>
    <s v="유즈 스테이포에버 솔리드퍼퓸 002 (10차 재입고 완료)제품선택=커플추천"/>
    <n v="6"/>
    <s v="고체향수"/>
    <s v="이그나이트 + 스테이포에버"/>
    <n v="201210"/>
    <m/>
    <n v="352800"/>
    <n v="332161.2"/>
    <n v="34656"/>
    <n v="320727.2727272727"/>
    <s v="카페24고체향수유즈 스테이포에버 솔리드퍼퓸 002 (10차 재입고 완료)제품선택=커플추천201210"/>
  </r>
  <r>
    <x v="218"/>
    <s v="월"/>
    <m/>
    <s v="카페24"/>
    <s v="유즈 스테이포에버 솔리드퍼퓸 002 (10차 재입고 완료)제품선택=커플추천스테이포에버 + 이그나이트 세트"/>
    <n v="9"/>
    <s v="고체향수"/>
    <s v="이그나이트 + 스테이포에버"/>
    <n v="201210"/>
    <m/>
    <n v="0"/>
    <n v="0"/>
    <n v="51039"/>
    <n v="0"/>
    <s v="카페24고체향수유즈 스테이포에버 솔리드퍼퓸 002 (10차 재입고 완료)제품선택=커플추천스테이포에버 + 이그나이트 세트201210"/>
  </r>
  <r>
    <x v="218"/>
    <s v="월"/>
    <m/>
    <s v="카페24"/>
    <s v="유즈 스테이포에버 솔리드퍼퓸 002 (10차 재입고 완료)쇼핑백=선물용 쇼핑백"/>
    <n v="14"/>
    <s v="고체향수"/>
    <s v="쇼핑백"/>
    <n v="201210"/>
    <m/>
    <n v="28000"/>
    <n v="26362"/>
    <n v="16940"/>
    <n v="25454.54545454545"/>
    <s v="카페24고체향수유즈 스테이포에버 솔리드퍼퓸 002 (10차 재입고 완료)쇼핑백=선물용 쇼핑백201210"/>
  </r>
  <r>
    <x v="218"/>
    <s v="월"/>
    <m/>
    <s v="카페24"/>
    <s v="유즈 이그나이트 솔리드퍼퓸 001제품선택=이그나이트 솔리드퍼퓸 - 30ml"/>
    <n v="3"/>
    <s v="고체향수"/>
    <s v="이그나이트"/>
    <n v="201210"/>
    <m/>
    <n v="114000"/>
    <n v="107331"/>
    <n v="8664"/>
    <n v="103636.3636363636"/>
    <s v="카페24고체향수유즈 이그나이트 솔리드퍼퓸 001제품선택=이그나이트 솔리드퍼퓸 - 30ml201210"/>
  </r>
  <r>
    <x v="218"/>
    <s v="월"/>
    <m/>
    <s v="카페24"/>
    <s v="유즈 이그나이트 솔리드퍼퓸 001제품선택=이그나이트 2개 세트"/>
    <n v="1"/>
    <s v="고체향수"/>
    <s v="이그나이트 2set"/>
    <n v="201210"/>
    <m/>
    <n v="58800"/>
    <n v="55360.2"/>
    <n v="5776"/>
    <n v="53454.54545454545"/>
    <s v="카페24고체향수유즈 이그나이트 솔리드퍼퓸 001제품선택=이그나이트 2개 세트201210"/>
  </r>
  <r>
    <x v="219"/>
    <s v="화"/>
    <m/>
    <s v="카페24"/>
    <s v="유즈 솔리드퍼퓸 - 30ml (10차 재입고 완료)향=이그나이트 001 SOLID PERFUME, 세트 선택=1개"/>
    <n v="3"/>
    <s v="고체향수"/>
    <s v="이그나이트"/>
    <n v="201210"/>
    <m/>
    <n v="114000"/>
    <n v="107331"/>
    <n v="8664"/>
    <n v="103636.3636363636"/>
    <s v="카페24고체향수유즈 솔리드퍼퓸 - 30ml (10차 재입고 완료)향=이그나이트 001 SOLID PERFUME, 세트 선택=1개201210"/>
  </r>
  <r>
    <x v="219"/>
    <s v="화"/>
    <m/>
    <s v="카페24"/>
    <s v="유즈 솔리드퍼퓸 - 30ml (10차 재입고 완료)향=이그나이트 001 SOLID PERFUME, 세트 선택=best"/>
    <n v="1"/>
    <s v="고체향수"/>
    <s v="이그나이트 2set"/>
    <n v="201210"/>
    <m/>
    <n v="58800"/>
    <n v="55360.2"/>
    <n v="5776"/>
    <n v="53454.54545454545"/>
    <s v="카페24고체향수유즈 솔리드퍼퓸 - 30ml (10차 재입고 완료)향=이그나이트 001 SOLID PERFUME, 세트 선택=best201210"/>
  </r>
  <r>
    <x v="219"/>
    <s v="화"/>
    <m/>
    <s v="카페24"/>
    <s v="유즈 솔리드퍼퓸 - 30ml (10차 재입고 완료)향=스테이포에버 002 SOLID PERFUME, 세트 선택=1개"/>
    <n v="9"/>
    <s v="고체향수"/>
    <s v="스테이포에버"/>
    <n v="201210"/>
    <m/>
    <n v="342000"/>
    <n v="321993"/>
    <n v="25047"/>
    <n v="310909.0909090909"/>
    <s v="카페24고체향수유즈 솔리드퍼퓸 - 30ml (10차 재입고 완료)향=스테이포에버 002 SOLID PERFUME, 세트 선택=1개201210"/>
  </r>
  <r>
    <x v="219"/>
    <s v="화"/>
    <m/>
    <s v="카페24"/>
    <s v="유즈 솔리드퍼퓸 - 30ml (10차 재입고 완료)향=스테이포에버 002 SOLID PERFUME, 세트 선택=best"/>
    <n v="5"/>
    <s v="고체향수"/>
    <s v="스테이포에버 2set"/>
    <n v="201210"/>
    <m/>
    <n v="294000"/>
    <n v="276801"/>
    <n v="27830"/>
    <n v="267272.7272727272"/>
    <s v="카페24고체향수유즈 솔리드퍼퓸 - 30ml (10차 재입고 완료)향=스테이포에버 002 SOLID PERFUME, 세트 선택=best201210"/>
  </r>
  <r>
    <x v="219"/>
    <s v="화"/>
    <m/>
    <s v="카페24"/>
    <s v="유즈 솔리드퍼퓸 - 30ml (10차 재입고 완료)향=스테이포에버 002 SOLID PERFUME, 세트 선택=best 2개 (28% 할인)"/>
    <n v="2"/>
    <s v="고체향수"/>
    <s v="스테이포에버 2set"/>
    <n v="201210"/>
    <m/>
    <n v="117600"/>
    <n v="110720.4"/>
    <n v="11132"/>
    <n v="106909.0909090909"/>
    <s v="카페24고체향수유즈 솔리드퍼퓸 - 30ml (10차 재입고 완료)향=스테이포에버 002 SOLID PERFUME, 세트 선택=best 2개 (28% 할인)201210"/>
  </r>
  <r>
    <x v="219"/>
    <s v="화"/>
    <m/>
    <s v="카페24"/>
    <s v="유즈 솔리드퍼퓸 - 30ml (10차 재입고 완료)향=커플세트"/>
    <n v="1"/>
    <s v="고체향수"/>
    <s v="이그나이트 + 스테이포에버"/>
    <n v="201210"/>
    <m/>
    <n v="69000"/>
    <n v="64963.5"/>
    <n v="5671"/>
    <n v="62727.27272727272"/>
    <s v="카페24고체향수유즈 솔리드퍼퓸 - 30ml (10차 재입고 완료)향=커플세트201210"/>
  </r>
  <r>
    <x v="219"/>
    <s v="화"/>
    <m/>
    <s v="카페24"/>
    <s v="유즈 솔리드퍼퓸 - 30ml (10차 재입고 완료)향=커플세트(이그나이트 + 스테이포에버), 세트 선택=1 SET"/>
    <n v="3"/>
    <s v="고체향수"/>
    <s v="이그나이트 + 스테이포에버"/>
    <n v="201210"/>
    <m/>
    <n v="207000"/>
    <n v="194890.5"/>
    <n v="17013"/>
    <n v="188181.8181818182"/>
    <s v="카페24고체향수유즈 솔리드퍼퓸 - 30ml (10차 재입고 완료)향=커플세트(이그나이트 + 스테이포에버), 세트 선택=1 SET201210"/>
  </r>
  <r>
    <x v="219"/>
    <s v="화"/>
    <m/>
    <s v="카페24"/>
    <s v="유즈 솔리드퍼퓸 - 30ml (10차 재입고 완료)향=커플세트"/>
    <n v="1"/>
    <s v="고체향수"/>
    <s v="이그나이트 + 스테이포에버"/>
    <n v="201210"/>
    <m/>
    <n v="69000"/>
    <n v="64963.5"/>
    <n v="5671"/>
    <n v="62727.27272727272"/>
    <s v="카페24고체향수유즈 솔리드퍼퓸 - 30ml (10차 재입고 완료)향=커플세트201210"/>
  </r>
  <r>
    <x v="219"/>
    <s v="화"/>
    <m/>
    <s v="카페24"/>
    <s v="유즈 솔리드퍼퓸 - 30ml (10차 재입고 완료)향=커플세트(이그나이트 + 스테이포에버), 세트 선택=2 SET (42% 할인)"/>
    <n v="1"/>
    <s v="고체향수"/>
    <s v="이그나이트 + 스테이포에버"/>
    <n v="201210"/>
    <m/>
    <n v="58800"/>
    <n v="55360.2"/>
    <n v="5776"/>
    <n v="53454.54545454545"/>
    <s v="카페24고체향수유즈 솔리드퍼퓸 - 30ml (10차 재입고 완료)향=커플세트(이그나이트 + 스테이포에버), 세트 선택=2 SET (42% 할인)201210"/>
  </r>
  <r>
    <x v="219"/>
    <s v="화"/>
    <m/>
    <s v="카페24"/>
    <s v="유즈 스테이포에버 솔리드퍼퓸 002 (10차 재입고 완료제품선택=스테이포에버 1개"/>
    <n v="1"/>
    <s v="고체향수"/>
    <s v="스테이포에버"/>
    <n v="201210"/>
    <m/>
    <n v="38000"/>
    <n v="35777"/>
    <n v="2783"/>
    <n v="34545.45454545454"/>
    <s v="카페24고체향수유즈 스테이포에버 솔리드퍼퓸 002 (10차 재입고 완료제품선택=스테이포에버 1개201210"/>
  </r>
  <r>
    <x v="219"/>
    <s v="화"/>
    <m/>
    <s v="카페24"/>
    <s v="유즈 스테이포에버 솔리드퍼퓸 002 (10차 재입고 완료제품선택=best"/>
    <n v="1"/>
    <s v="고체향수"/>
    <s v="스테이포에버 2set"/>
    <n v="201210"/>
    <m/>
    <n v="58800"/>
    <n v="55360.2"/>
    <n v="5566"/>
    <n v="53454.54545454545"/>
    <s v="카페24고체향수유즈 스테이포에버 솔리드퍼퓸 002 (10차 재입고 완료제품선택=best201210"/>
  </r>
  <r>
    <x v="219"/>
    <s v="화"/>
    <m/>
    <s v="카페24"/>
    <s v="유즈 스테이포에버 솔리드퍼퓸 002 (10차 재입고 완료제품선택=커플추천"/>
    <n v="1"/>
    <s v="고체향수"/>
    <s v="이그나이트 + 스테이포에버"/>
    <n v="201210"/>
    <m/>
    <n v="69000"/>
    <n v="64963.5"/>
    <n v="5671"/>
    <n v="62727.27272727272"/>
    <s v="카페24고체향수유즈 스테이포에버 솔리드퍼퓸 002 (10차 재입고 완료제품선택=커플추천201210"/>
  </r>
  <r>
    <x v="219"/>
    <s v="화"/>
    <m/>
    <s v="카페24"/>
    <s v="유즈 스테이포에버 솔리드퍼퓸 002 (10차 재입고 완료)제품선택=스테이포에버 1개"/>
    <n v="281"/>
    <s v="고체향수"/>
    <s v="스테이포에버"/>
    <n v="201210"/>
    <m/>
    <n v="10678000"/>
    <n v="10053337"/>
    <n v="782023"/>
    <n v="9707272.727272727"/>
    <s v="카페24고체향수유즈 스테이포에버 솔리드퍼퓸 002 (10차 재입고 완료)제품선택=스테이포에버 1개201210"/>
  </r>
  <r>
    <x v="219"/>
    <s v="화"/>
    <m/>
    <s v="카페24"/>
    <s v="유즈 스테이포에버 솔리드퍼퓸 002 (10차 재입고 완료)제품선택=best"/>
    <n v="46"/>
    <s v="고체향수"/>
    <s v="스테이포에버 2set"/>
    <n v="201210"/>
    <m/>
    <n v="2704800"/>
    <n v="2546569.2"/>
    <n v="256036"/>
    <n v="2458909.090909091"/>
    <s v="카페24고체향수유즈 스테이포에버 솔리드퍼퓸 002 (10차 재입고 완료)제품선택=best201210"/>
  </r>
  <r>
    <x v="219"/>
    <s v="화"/>
    <m/>
    <s v="카페24"/>
    <s v="유즈 스테이포에버 솔리드퍼퓸 002 (10차 재입고 완료)제품선택=best스테이포에버 2개[28% 할인]"/>
    <n v="58"/>
    <s v="고체향수"/>
    <s v="스테이포에버 2set"/>
    <n v="201210"/>
    <m/>
    <n v="3410400"/>
    <n v="3210891.6"/>
    <n v="322828"/>
    <n v="3100363.636363636"/>
    <s v="카페24고체향수유즈 스테이포에버 솔리드퍼퓸 002 (10차 재입고 완료)제품선택=best스테이포에버 2개[28% 할인]201210"/>
  </r>
  <r>
    <x v="219"/>
    <s v="화"/>
    <m/>
    <s v="카페24"/>
    <s v="유즈 스테이포에버 솔리드퍼퓸 002 (10차 재입고 완료)제품선택=커플추천"/>
    <n v="9"/>
    <s v="고체향수"/>
    <s v="이그나이트 + 스테이포에버"/>
    <n v="201210"/>
    <m/>
    <n v="529200"/>
    <n v="498241.8"/>
    <n v="51984"/>
    <n v="481090.9090909091"/>
    <s v="카페24고체향수유즈 스테이포에버 솔리드퍼퓸 002 (10차 재입고 완료)제품선택=커플추천201210"/>
  </r>
  <r>
    <x v="219"/>
    <s v="화"/>
    <m/>
    <s v="카페24"/>
    <s v="유즈 스테이포에버 솔리드퍼퓸 002 (10차 재입고 완료)제품선택=커플추천스테이포에버 + 이그나이트 세트"/>
    <n v="9"/>
    <s v="고체향수"/>
    <s v="이그나이트 + 스테이포에버"/>
    <n v="201210"/>
    <m/>
    <n v="0"/>
    <n v="0"/>
    <n v="51039"/>
    <n v="0"/>
    <s v="카페24고체향수유즈 스테이포에버 솔리드퍼퓸 002 (10차 재입고 완료)제품선택=커플추천스테이포에버 + 이그나이트 세트201210"/>
  </r>
  <r>
    <x v="219"/>
    <s v="화"/>
    <m/>
    <s v="카페24"/>
    <s v="유즈 스테이포에버 솔리드퍼퓸 002 (10차 재입고 완료)쇼핑백=선물용 쇼핑백"/>
    <n v="13"/>
    <s v="고체향수"/>
    <s v="쇼핑백"/>
    <n v="201210"/>
    <m/>
    <n v="26000"/>
    <n v="24479"/>
    <n v="15730"/>
    <n v="23636.36363636364"/>
    <s v="카페24고체향수유즈 스테이포에버 솔리드퍼퓸 002 (10차 재입고 완료)쇼핑백=선물용 쇼핑백201210"/>
  </r>
  <r>
    <x v="219"/>
    <s v="화"/>
    <m/>
    <s v="카페24"/>
    <s v="유즈 이그나이트 솔리드퍼퓸 001제품선택=이그나이트 솔리드퍼퓸 - 30ml"/>
    <n v="4"/>
    <s v="고체향수"/>
    <s v="이그나이트"/>
    <n v="201210"/>
    <m/>
    <n v="152000"/>
    <n v="143108"/>
    <n v="11552"/>
    <n v="138181.8181818182"/>
    <s v="카페24고체향수유즈 이그나이트 솔리드퍼퓸 001제품선택=이그나이트 솔리드퍼퓸 - 30ml201210"/>
  </r>
  <r>
    <x v="219"/>
    <s v="화"/>
    <m/>
    <s v="카페24"/>
    <s v="유즈 이그나이트 솔리드퍼퓸 001제품선택=이그나이트 2개 세트"/>
    <n v="4"/>
    <s v="고체향수"/>
    <s v="이그나이트 2set"/>
    <n v="201210"/>
    <m/>
    <n v="235200"/>
    <n v="221440.8"/>
    <n v="23104"/>
    <n v="213818.1818181818"/>
    <s v="카페24고체향수유즈 이그나이트 솔리드퍼퓸 001제품선택=이그나이트 2개 세트201210"/>
  </r>
  <r>
    <x v="220"/>
    <s v="수"/>
    <m/>
    <s v="카페24"/>
    <s v="SHOPPING BAG"/>
    <n v="1"/>
    <s v="쇼핑백"/>
    <s v="쇼핑백"/>
    <n v="201210"/>
    <m/>
    <n v="2000"/>
    <n v="1883"/>
    <n v="1210"/>
    <n v="1818.181818181818"/>
    <s v="카페24쇼핑백SHOPPING BAG201210"/>
  </r>
  <r>
    <x v="220"/>
    <s v="수"/>
    <m/>
    <s v="카페24"/>
    <s v="솔리드퍼퓸 스테이포에버 002 30ml"/>
    <n v="1"/>
    <s v="고체향수"/>
    <s v="스테이포에버"/>
    <n v="201210"/>
    <m/>
    <n v="38000"/>
    <n v="35777"/>
    <n v="2783"/>
    <n v="34545.45454545454"/>
    <s v="카페24고체향수솔리드퍼퓸 스테이포에버 002 30ml201210"/>
  </r>
  <r>
    <x v="220"/>
    <s v="수"/>
    <m/>
    <s v="카페24"/>
    <s v="유즈 솔리드퍼퓸 - 30ml (10차 재입고 완료)향=이그나이트 001 SOLID PERFUME, 세트 선택=1개"/>
    <n v="1"/>
    <s v="고체향수"/>
    <s v="이그나이트"/>
    <n v="201210"/>
    <m/>
    <n v="38000"/>
    <n v="35777"/>
    <n v="2888"/>
    <n v="34545.45454545454"/>
    <s v="카페24고체향수유즈 솔리드퍼퓸 - 30ml (10차 재입고 완료)향=이그나이트 001 SOLID PERFUME, 세트 선택=1개201210"/>
  </r>
  <r>
    <x v="220"/>
    <s v="수"/>
    <m/>
    <s v="카페24"/>
    <s v="유즈 솔리드퍼퓸 - 30ml (10차 재입고 완료)향=스테이포에버 002 SOLID PERFUME, 세트 선택=1개"/>
    <n v="11"/>
    <s v="고체향수"/>
    <s v="스테이포에버"/>
    <n v="201210"/>
    <m/>
    <n v="418000"/>
    <n v="393547"/>
    <n v="30613"/>
    <n v="379999.9999999999"/>
    <s v="카페24고체향수유즈 솔리드퍼퓸 - 30ml (10차 재입고 완료)향=스테이포에버 002 SOLID PERFUME, 세트 선택=1개201210"/>
  </r>
  <r>
    <x v="220"/>
    <s v="수"/>
    <m/>
    <s v="카페24"/>
    <s v="유즈 솔리드퍼퓸 - 30ml (10차 재입고 완료)향=스테이포에버 002 SOLID PERFUME, 세트 선택=best"/>
    <n v="1"/>
    <s v="고체향수"/>
    <s v="스테이포에버 2set"/>
    <n v="201210"/>
    <m/>
    <n v="58800"/>
    <n v="55360.2"/>
    <n v="5566"/>
    <n v="53454.54545454545"/>
    <s v="카페24고체향수유즈 솔리드퍼퓸 - 30ml (10차 재입고 완료)향=스테이포에버 002 SOLID PERFUME, 세트 선택=best201210"/>
  </r>
  <r>
    <x v="220"/>
    <s v="수"/>
    <m/>
    <s v="카페24"/>
    <s v="유즈 솔리드퍼퓸 - 30ml (10차 재입고 완료)향=스테이포에버 002 SOLID PERFUME, 세트 선택=best 2개 (28% 할인)"/>
    <n v="2"/>
    <s v="고체향수"/>
    <s v="스테이포에버 2set"/>
    <n v="201210"/>
    <m/>
    <n v="117600"/>
    <n v="110720.4"/>
    <n v="11132"/>
    <n v="106909.0909090909"/>
    <s v="카페24고체향수유즈 솔리드퍼퓸 - 30ml (10차 재입고 완료)향=스테이포에버 002 SOLID PERFUME, 세트 선택=best 2개 (28% 할인)201210"/>
  </r>
  <r>
    <x v="220"/>
    <s v="수"/>
    <m/>
    <s v="카페24"/>
    <s v="유즈 솔리드퍼퓸 - 30ml (10차 재입고 완료)향=커플세트"/>
    <n v="4"/>
    <s v="고체향수"/>
    <s v="이그나이트 + 스테이포에버"/>
    <n v="201210"/>
    <m/>
    <n v="276000"/>
    <n v="259854"/>
    <n v="22684"/>
    <n v="250909.0909090909"/>
    <s v="카페24고체향수유즈 솔리드퍼퓸 - 30ml (10차 재입고 완료)향=커플세트201210"/>
  </r>
  <r>
    <x v="220"/>
    <s v="수"/>
    <m/>
    <s v="카페24"/>
    <s v="유즈 솔리드퍼퓸 - 30ml (10차 재입고 완료)향=커플세트(이그나이트 + 스테이포에버), 세트 선택=1 SET"/>
    <n v="3"/>
    <s v="고체향수"/>
    <s v="이그나이트 + 스테이포에버"/>
    <n v="201210"/>
    <m/>
    <n v="207000"/>
    <n v="194890.5"/>
    <n v="17013"/>
    <n v="188181.8181818182"/>
    <s v="카페24고체향수유즈 솔리드퍼퓸 - 30ml (10차 재입고 완료)향=커플세트(이그나이트 + 스테이포에버), 세트 선택=1 SET201210"/>
  </r>
  <r>
    <x v="220"/>
    <s v="수"/>
    <m/>
    <s v="카페24"/>
    <s v="유즈 솔리드퍼퓸 - 30ml (10차 재입고 완료)향=커플세트"/>
    <n v="1"/>
    <s v="고체향수"/>
    <s v="이그나이트 + 스테이포에버"/>
    <n v="201210"/>
    <m/>
    <n v="69000"/>
    <n v="64963.5"/>
    <n v="5671"/>
    <n v="62727.27272727272"/>
    <s v="카페24고체향수유즈 솔리드퍼퓸 - 30ml (10차 재입고 완료)향=커플세트201210"/>
  </r>
  <r>
    <x v="220"/>
    <s v="수"/>
    <m/>
    <s v="카페24"/>
    <s v="유즈 솔리드퍼퓸 - 30ml (10차 재입고 완료)향=커플세트(이그나이트 + 스테이포에버), 세트 선택=2 SET (42% 할인)"/>
    <n v="1"/>
    <s v="고체향수"/>
    <s v="이그나이트 + 스테이포에버"/>
    <n v="201210"/>
    <m/>
    <n v="58800"/>
    <n v="55360.2"/>
    <n v="5776"/>
    <n v="53454.54545454545"/>
    <s v="카페24고체향수유즈 솔리드퍼퓸 - 30ml (10차 재입고 완료)향=커플세트(이그나이트 + 스테이포에버), 세트 선택=2 SET (42% 할인)201210"/>
  </r>
  <r>
    <x v="220"/>
    <s v="수"/>
    <m/>
    <s v="카페24"/>
    <s v="유즈 스테이포에버 솔리드퍼퓸 002 (10차 재입고 완료)제품선택=스테이포에버 1개"/>
    <n v="305"/>
    <s v="고체향수"/>
    <s v="스테이포에버"/>
    <n v="201210"/>
    <m/>
    <n v="11590000"/>
    <n v="10911985"/>
    <n v="848815"/>
    <n v="10536363.63636363"/>
    <s v="카페24고체향수유즈 스테이포에버 솔리드퍼퓸 002 (10차 재입고 완료)제품선택=스테이포에버 1개201210"/>
  </r>
  <r>
    <x v="220"/>
    <s v="수"/>
    <m/>
    <s v="카페24"/>
    <s v="유즈 스테이포에버 솔리드퍼퓸 002 (10차 재입고 완료)제품선택=best"/>
    <n v="42"/>
    <s v="고체향수"/>
    <s v="스테이포에버 2set"/>
    <n v="201210"/>
    <m/>
    <n v="2469600"/>
    <n v="2325128.4"/>
    <n v="233772"/>
    <n v="2245090.909090909"/>
    <s v="카페24고체향수유즈 스테이포에버 솔리드퍼퓸 002 (10차 재입고 완료)제품선택=best201210"/>
  </r>
  <r>
    <x v="220"/>
    <s v="수"/>
    <m/>
    <s v="카페24"/>
    <s v="유즈 스테이포에버 솔리드퍼퓸 002 (10차 재입고 완료)제품선택=best스테이포에버 2개[28% 할인]"/>
    <n v="64"/>
    <s v="고체향수"/>
    <s v="스테이포에버 2set"/>
    <n v="201210"/>
    <m/>
    <n v="3763200"/>
    <n v="3543052.8"/>
    <n v="356224"/>
    <n v="3421090.909090909"/>
    <s v="카페24고체향수유즈 스테이포에버 솔리드퍼퓸 002 (10차 재입고 완료)제품선택=best스테이포에버 2개[28% 할인]201210"/>
  </r>
  <r>
    <x v="220"/>
    <s v="수"/>
    <m/>
    <s v="카페24"/>
    <s v="유즈 스테이포에버 솔리드퍼퓸 002 (10차 재입고 완료)제품선택=커플추천"/>
    <n v="10"/>
    <s v="고체향수"/>
    <s v="이그나이트 + 스테이포에버"/>
    <n v="201210"/>
    <m/>
    <n v="588000"/>
    <n v="553602"/>
    <n v="57760"/>
    <n v="534545.4545454545"/>
    <s v="카페24고체향수유즈 스테이포에버 솔리드퍼퓸 002 (10차 재입고 완료)제품선택=커플추천201210"/>
  </r>
  <r>
    <x v="220"/>
    <s v="수"/>
    <m/>
    <s v="카페24"/>
    <s v="유즈 스테이포에버 솔리드퍼퓸 002 (10차 재입고 완료)제품선택=커플추천스테이포에버 + 이그나이트 세트"/>
    <n v="13"/>
    <s v="고체향수"/>
    <s v="이그나이트 + 스테이포에버"/>
    <n v="201210"/>
    <m/>
    <n v="0"/>
    <n v="0"/>
    <n v="73723"/>
    <n v="0"/>
    <s v="카페24고체향수유즈 스테이포에버 솔리드퍼퓸 002 (10차 재입고 완료)제품선택=커플추천스테이포에버 + 이그나이트 세트201210"/>
  </r>
  <r>
    <x v="220"/>
    <s v="수"/>
    <m/>
    <s v="카페24"/>
    <s v="유즈 스테이포에버 솔리드퍼퓸 002 (10차 재입고 완료)쇼핑백=선물용 쇼핑백"/>
    <n v="10"/>
    <s v="고체향수"/>
    <s v="쇼핑백"/>
    <n v="201210"/>
    <m/>
    <n v="20000"/>
    <n v="18830"/>
    <n v="12100"/>
    <n v="18181.81818181818"/>
    <s v="카페24고체향수유즈 스테이포에버 솔리드퍼퓸 002 (10차 재입고 완료)쇼핑백=선물용 쇼핑백201210"/>
  </r>
  <r>
    <x v="220"/>
    <s v="수"/>
    <m/>
    <s v="카페24"/>
    <s v="유즈 이그나이트 솔리드퍼퓸 001제품선택=이그나이트 솔리드퍼퓸 - 30ml"/>
    <n v="3"/>
    <s v="고체향수"/>
    <s v="이그나이트"/>
    <n v="201210"/>
    <m/>
    <n v="114000"/>
    <n v="107331"/>
    <n v="8664"/>
    <n v="103636.3636363636"/>
    <s v="카페24고체향수유즈 이그나이트 솔리드퍼퓸 001제품선택=이그나이트 솔리드퍼퓸 - 30ml201210"/>
  </r>
  <r>
    <x v="220"/>
    <s v="수"/>
    <m/>
    <s v="카페24"/>
    <s v="유즈 이그나이트 솔리드퍼퓸 001제품선택=이그나이트 2개 세트"/>
    <n v="1"/>
    <s v="고체향수"/>
    <s v="이그나이트 2set"/>
    <n v="201210"/>
    <m/>
    <n v="58800"/>
    <n v="55360.2"/>
    <n v="5776"/>
    <n v="53454.54545454545"/>
    <s v="카페24고체향수유즈 이그나이트 솔리드퍼퓸 001제품선택=이그나이트 2개 세트201210"/>
  </r>
  <r>
    <x v="221"/>
    <s v="목"/>
    <m/>
    <s v="카페24"/>
    <s v="솔리드퍼퓸 스테이포에버 002 30ml"/>
    <n v="2"/>
    <s v="고체향수"/>
    <s v="스테이포에버"/>
    <n v="201210"/>
    <m/>
    <n v="76000"/>
    <n v="71554"/>
    <n v="5566"/>
    <n v="69090.90909090909"/>
    <s v="카페24고체향수솔리드퍼퓸 스테이포에버 002 30ml201210"/>
  </r>
  <r>
    <x v="221"/>
    <s v="목"/>
    <m/>
    <s v="카페24"/>
    <s v="유즈 솔리드퍼퓸 - 30ml (10차 재입고 완료)향=스테이포에버 002 SOLID PERFUME, 세트 선택=1개"/>
    <n v="3"/>
    <s v="고체향수"/>
    <s v="스테이포에버"/>
    <n v="201210"/>
    <m/>
    <n v="114000"/>
    <n v="107331"/>
    <n v="8349"/>
    <n v="103636.3636363636"/>
    <s v="카페24고체향수유즈 솔리드퍼퓸 - 30ml (10차 재입고 완료)향=스테이포에버 002 SOLID PERFUME, 세트 선택=1개201210"/>
  </r>
  <r>
    <x v="221"/>
    <s v="목"/>
    <m/>
    <s v="카페24"/>
    <s v="유즈 솔리드퍼퓸 - 30ml (10차 재입고 완료)향=스테이포에버 002 SOLID PERFUME, 세트 선택=best"/>
    <n v="1"/>
    <s v="고체향수"/>
    <s v="스테이포에버 2set"/>
    <n v="201210"/>
    <m/>
    <n v="58800"/>
    <n v="55360.2"/>
    <n v="5566"/>
    <n v="53454.54545454545"/>
    <s v="카페24고체향수유즈 솔리드퍼퓸 - 30ml (10차 재입고 완료)향=스테이포에버 002 SOLID PERFUME, 세트 선택=best201210"/>
  </r>
  <r>
    <x v="221"/>
    <s v="목"/>
    <m/>
    <s v="카페24"/>
    <s v="유즈 솔리드퍼퓸 - 30ml (10차 재입고 완료)향=스테이포에버 002 SOLID PERFUME, 세트 선택=best 2개 (28% 할인)"/>
    <n v="1"/>
    <s v="고체향수"/>
    <s v="스테이포에버 2set"/>
    <n v="201210"/>
    <m/>
    <n v="58800"/>
    <n v="55360.2"/>
    <n v="5566"/>
    <n v="53454.54545454545"/>
    <s v="카페24고체향수유즈 솔리드퍼퓸 - 30ml (10차 재입고 완료)향=스테이포에버 002 SOLID PERFUME, 세트 선택=best 2개 (28% 할인)201210"/>
  </r>
  <r>
    <x v="221"/>
    <s v="목"/>
    <m/>
    <s v="카페24"/>
    <s v="유즈 솔리드퍼퓸 - 30ml (10차 재입고 완료)향=커플세트(이그나이트 + 스테이포에버), 세트 선택=1 SET"/>
    <n v="5"/>
    <s v="고체향수"/>
    <s v="이그나이트 + 스테이포에버"/>
    <n v="201210"/>
    <m/>
    <n v="345000"/>
    <n v="324817.5"/>
    <n v="28355"/>
    <n v="313636.3636363636"/>
    <s v="카페24고체향수유즈 솔리드퍼퓸 - 30ml (10차 재입고 완료)향=커플세트(이그나이트 + 스테이포에버), 세트 선택=1 SET201210"/>
  </r>
  <r>
    <x v="221"/>
    <s v="목"/>
    <m/>
    <s v="카페24"/>
    <s v="유즈 솔리드퍼퓸 - 30ml (10차 재입고 완료)향=커플세트"/>
    <n v="1"/>
    <s v="고체향수"/>
    <s v="이그나이트 + 스테이포에버"/>
    <n v="201210"/>
    <m/>
    <n v="69000"/>
    <n v="64963.5"/>
    <n v="5671"/>
    <n v="62727.27272727272"/>
    <s v="카페24고체향수유즈 솔리드퍼퓸 - 30ml (10차 재입고 완료)향=커플세트201210"/>
  </r>
  <r>
    <x v="221"/>
    <s v="목"/>
    <m/>
    <s v="카페24"/>
    <s v="유즈 솔리드퍼퓸 - 30ml (11차 예약구매 진행중)향=스테이포에버 002 SOLID PERFUME, 세트 선택=1개"/>
    <n v="2"/>
    <s v="고체향수"/>
    <s v="스테이포에버"/>
    <n v="201210"/>
    <m/>
    <n v="68000"/>
    <n v="64022"/>
    <n v="5566"/>
    <n v="61818.18181818182"/>
    <s v="카페24고체향수유즈 솔리드퍼퓸 - 30ml (11차 예약구매 진행중)향=스테이포에버 002 SOLID PERFUME, 세트 선택=1개201210"/>
  </r>
  <r>
    <x v="221"/>
    <s v="목"/>
    <m/>
    <s v="카페24"/>
    <s v="유즈 솔리드퍼퓸 - 30ml (11차 예약구매 진행중)향=스테이포에버 002 SOLID PERFUME, 세트 선택=best 2개 (28% 할인)"/>
    <n v="1"/>
    <s v="고체향수"/>
    <s v="스테이포에버 2set"/>
    <n v="201210"/>
    <m/>
    <n v="58800"/>
    <n v="55360.2"/>
    <n v="5566"/>
    <n v="53454.54545454545"/>
    <s v="카페24고체향수유즈 솔리드퍼퓸 - 30ml (11차 예약구매 진행중)향=스테이포에버 002 SOLID PERFUME, 세트 선택=best 2개 (28% 할인)201210"/>
  </r>
  <r>
    <x v="221"/>
    <s v="목"/>
    <m/>
    <s v="카페24"/>
    <s v="유즈 스테이포에버 솔리드퍼퓸 002 (10차 재입고 완료제품선택=스테이포에버 1개"/>
    <n v="2"/>
    <s v="고체향수"/>
    <s v="스테이포에버"/>
    <n v="201210"/>
    <m/>
    <n v="76000"/>
    <n v="71554"/>
    <n v="5566"/>
    <n v="69090.90909090909"/>
    <s v="카페24고체향수유즈 스테이포에버 솔리드퍼퓸 002 (10차 재입고 완료제품선택=스테이포에버 1개201210"/>
  </r>
  <r>
    <x v="221"/>
    <s v="목"/>
    <m/>
    <s v="카페24"/>
    <s v="유즈 스테이포에버 솔리드퍼퓸 002 (10차 재입고 완료쇼핑백=선물용 쇼핑백"/>
    <n v="1"/>
    <s v="고체향수"/>
    <s v="쇼핑백"/>
    <n v="201210"/>
    <m/>
    <n v="2000"/>
    <n v="1883"/>
    <n v="1210"/>
    <n v="1818.181818181818"/>
    <s v="카페24고체향수유즈 스테이포에버 솔리드퍼퓸 002 (10차 재입고 완료쇼핑백=선물용 쇼핑백201210"/>
  </r>
  <r>
    <x v="221"/>
    <s v="목"/>
    <m/>
    <s v="카페24"/>
    <s v="유즈 스테이포에버 솔리드퍼퓸 002 (10차 재입고 완료)제품선택=스테이포에버 1개"/>
    <n v="198"/>
    <s v="고체향수"/>
    <s v="스테이포에버"/>
    <n v="201210"/>
    <m/>
    <n v="7524000"/>
    <n v="7083846"/>
    <n v="551034"/>
    <n v="6839999.999999999"/>
    <s v="카페24고체향수유즈 스테이포에버 솔리드퍼퓸 002 (10차 재입고 완료)제품선택=스테이포에버 1개201210"/>
  </r>
  <r>
    <x v="221"/>
    <s v="목"/>
    <m/>
    <s v="카페24"/>
    <s v="유즈 스테이포에버 솔리드퍼퓸 002 (10차 재입고 완료)제품선택=best"/>
    <n v="36"/>
    <s v="고체향수"/>
    <s v="스테이포에버 2set"/>
    <n v="201210"/>
    <m/>
    <n v="2116800"/>
    <n v="1992967.2"/>
    <n v="200376"/>
    <n v="1924363.636363636"/>
    <s v="카페24고체향수유즈 스테이포에버 솔리드퍼퓸 002 (10차 재입고 완료)제품선택=best201210"/>
  </r>
  <r>
    <x v="221"/>
    <s v="목"/>
    <m/>
    <s v="카페24"/>
    <s v="유즈 스테이포에버 솔리드퍼퓸 002 (10차 재입고 완료)제품선택=best스테이포에버 2개[28% 할인]"/>
    <n v="45"/>
    <s v="고체향수"/>
    <s v="스테이포에버 2set"/>
    <n v="201210"/>
    <m/>
    <n v="2646000"/>
    <n v="2491209"/>
    <n v="250470"/>
    <n v="2405454.545454545"/>
    <s v="카페24고체향수유즈 스테이포에버 솔리드퍼퓸 002 (10차 재입고 완료)제품선택=best스테이포에버 2개[28% 할인]201210"/>
  </r>
  <r>
    <x v="221"/>
    <s v="목"/>
    <m/>
    <s v="카페24"/>
    <s v="유즈 스테이포에버 솔리드퍼퓸 002 (10차 재입고 완료)제품선택=커플추천"/>
    <n v="6"/>
    <s v="고체향수"/>
    <s v="이그나이트 + 스테이포에버"/>
    <n v="201210"/>
    <m/>
    <n v="352800"/>
    <n v="332161.2"/>
    <n v="34656"/>
    <n v="320727.2727272727"/>
    <s v="카페24고체향수유즈 스테이포에버 솔리드퍼퓸 002 (10차 재입고 완료)제품선택=커플추천201210"/>
  </r>
  <r>
    <x v="221"/>
    <s v="목"/>
    <m/>
    <s v="카페24"/>
    <s v="유즈 스테이포에버 솔리드퍼퓸 002 (10차 재입고 완료)제품선택=커플추천스테이포에버 + 이그나이트 세트"/>
    <n v="13"/>
    <s v="고체향수"/>
    <s v="이그나이트 + 스테이포에버"/>
    <n v="201210"/>
    <m/>
    <n v="0"/>
    <n v="0"/>
    <n v="73723"/>
    <n v="0"/>
    <s v="카페24고체향수유즈 스테이포에버 솔리드퍼퓸 002 (10차 재입고 완료)제품선택=커플추천스테이포에버 + 이그나이트 세트201210"/>
  </r>
  <r>
    <x v="221"/>
    <s v="목"/>
    <m/>
    <s v="카페24"/>
    <s v="유즈 스테이포에버 솔리드퍼퓸 002 (10차 재입고 완료)쇼핑백=선물용 쇼핑백"/>
    <n v="7"/>
    <s v="고체향수"/>
    <s v="쇼핑백"/>
    <n v="201210"/>
    <m/>
    <n v="14000"/>
    <n v="13181"/>
    <n v="8470"/>
    <n v="12727.27272727273"/>
    <s v="카페24고체향수유즈 스테이포에버 솔리드퍼퓸 002 (10차 재입고 완료)쇼핑백=선물용 쇼핑백201210"/>
  </r>
  <r>
    <x v="221"/>
    <s v="목"/>
    <m/>
    <s v="카페24"/>
    <s v="유즈 스테이포에버 솔리드퍼퓸 002 (11차 예약구매 진행중)제품선택=스테이포에버 1개"/>
    <n v="70"/>
    <s v="고체향수"/>
    <s v="스테이포에버"/>
    <n v="201210"/>
    <m/>
    <n v="2380000"/>
    <n v="2240770"/>
    <n v="194810"/>
    <n v="2163636.363636363"/>
    <s v="카페24고체향수유즈 스테이포에버 솔리드퍼퓸 002 (11차 예약구매 진행중)제품선택=스테이포에버 1개201210"/>
  </r>
  <r>
    <x v="221"/>
    <s v="목"/>
    <m/>
    <s v="카페24"/>
    <s v="유즈 스테이포에버 솔리드퍼퓸 002 (11차 예약구매 진행중)제품선택=best"/>
    <n v="21"/>
    <s v="고체향수"/>
    <s v="스테이포에버"/>
    <n v="201210"/>
    <m/>
    <n v="714000"/>
    <n v="672231"/>
    <n v="58443"/>
    <n v="649090.9090909091"/>
    <s v="카페24고체향수유즈 스테이포에버 솔리드퍼퓸 002 (11차 예약구매 진행중)제품선택=best201210"/>
  </r>
  <r>
    <x v="221"/>
    <s v="목"/>
    <m/>
    <s v="카페24"/>
    <s v="유즈 스테이포에버 솔리드퍼퓸 002 (11차 예약구매 진행중)제품선택=best스테이포에버 2개[28% 할인]"/>
    <n v="24"/>
    <s v="고체향수"/>
    <s v="스테이포에버 2set"/>
    <n v="201210"/>
    <m/>
    <n v="1411200"/>
    <n v="1328644.8"/>
    <n v="133584"/>
    <n v="1282909.090909091"/>
    <s v="카페24고체향수유즈 스테이포에버 솔리드퍼퓸 002 (11차 예약구매 진행중)제품선택=best스테이포에버 2개[28% 할인]201210"/>
  </r>
  <r>
    <x v="221"/>
    <s v="목"/>
    <m/>
    <s v="카페24"/>
    <s v="유즈 스테이포에버 솔리드퍼퓸 002 (11차 예약구매 진행중)제품선택=커플추천"/>
    <n v="1"/>
    <s v="고체향수"/>
    <s v="스테이포에버"/>
    <n v="201210"/>
    <m/>
    <n v="34000"/>
    <n v="32011"/>
    <n v="2783"/>
    <n v="30909.09090909091"/>
    <s v="카페24고체향수유즈 스테이포에버 솔리드퍼퓸 002 (11차 예약구매 진행중)제품선택=커플추천201210"/>
  </r>
  <r>
    <x v="221"/>
    <s v="목"/>
    <m/>
    <s v="카페24"/>
    <s v="유즈 스테이포에버 솔리드퍼퓸 002 (11차 예약구매 진행중)제품선택=커플추천스테이포에버 + 이그나이트 세트"/>
    <n v="1"/>
    <s v="고체향수"/>
    <s v="이그나이트 + 스테이포에버"/>
    <n v="201210"/>
    <m/>
    <n v="58800"/>
    <n v="55360.2"/>
    <n v="5776"/>
    <n v="53454.54545454545"/>
    <s v="카페24고체향수유즈 스테이포에버 솔리드퍼퓸 002 (11차 예약구매 진행중)제품선택=커플추천스테이포에버 + 이그나이트 세트201210"/>
  </r>
  <r>
    <x v="221"/>
    <s v="목"/>
    <m/>
    <s v="카페24"/>
    <s v="유즈 스테이포에버 솔리드퍼퓸 002 (11차 예약구매 진행중)쇼핑백=선물용 쇼핑백"/>
    <n v="4"/>
    <s v="고체향수"/>
    <s v="쇼핑백"/>
    <n v="201210"/>
    <m/>
    <n v="8000"/>
    <n v="7532"/>
    <n v="4840"/>
    <n v="7272.727272727272"/>
    <s v="카페24고체향수유즈 스테이포에버 솔리드퍼퓸 002 (11차 예약구매 진행중)쇼핑백=선물용 쇼핑백201210"/>
  </r>
  <r>
    <x v="221"/>
    <s v="목"/>
    <m/>
    <s v="카페24"/>
    <s v="유즈 이그나이트 솔리드퍼퓸 001제품선택=이그나이트 솔리드퍼퓸 - 30ml"/>
    <n v="5"/>
    <s v="고체향수"/>
    <s v="이그나이트"/>
    <n v="201210"/>
    <m/>
    <n v="190000"/>
    <n v="178885"/>
    <n v="14440"/>
    <n v="172727.2727272727"/>
    <s v="카페24고체향수유즈 이그나이트 솔리드퍼퓸 001제품선택=이그나이트 솔리드퍼퓸 - 30ml201210"/>
  </r>
  <r>
    <x v="221"/>
    <s v="목"/>
    <m/>
    <s v="카페24"/>
    <s v="유즈 이그나이트 솔리드퍼퓸 001제품선택=이그나이트 2개 세트"/>
    <n v="1"/>
    <s v="고체향수"/>
    <s v="이그나이트 2set"/>
    <n v="201210"/>
    <m/>
    <n v="58800"/>
    <n v="55360.2"/>
    <n v="5776"/>
    <n v="53454.54545454545"/>
    <s v="카페24고체향수유즈 이그나이트 솔리드퍼퓸 001제품선택=이그나이트 2개 세트201210"/>
  </r>
  <r>
    <x v="221"/>
    <s v="목"/>
    <m/>
    <s v="카페24"/>
    <s v="유즈 이그나이트 솔리드퍼퓸 001쇼핑백=선물용 쇼핑백"/>
    <n v="1"/>
    <s v="쇼핑백"/>
    <s v="쇼핑백"/>
    <n v="201210"/>
    <m/>
    <n v="2000"/>
    <n v="1883"/>
    <n v="1210"/>
    <n v="1818.181818181818"/>
    <s v="카페24쇼핑백유즈 이그나이트 솔리드퍼퓸 001쇼핑백=선물용 쇼핑백201210"/>
  </r>
  <r>
    <x v="222"/>
    <s v="금"/>
    <m/>
    <s v="카페24"/>
    <s v="SHOPPING BAG"/>
    <n v="1"/>
    <s v="쇼핑백"/>
    <s v="쇼핑백"/>
    <n v="210101"/>
    <m/>
    <n v="2000"/>
    <n v="1883"/>
    <n v="830"/>
    <n v="1818.181818181818"/>
    <s v="카페24쇼핑백SHOPPING BAG210101"/>
  </r>
  <r>
    <x v="222"/>
    <s v="금"/>
    <m/>
    <s v="카페24"/>
    <s v="유즈 솔리드퍼퓸 - 30ml (11차 예약구매 진행중)향=이그나이트 001 SOLID PERFUME, 세트 선택=1개"/>
    <n v="2"/>
    <s v="고체향수"/>
    <s v="이그나이트"/>
    <n v="210101"/>
    <m/>
    <n v="68000"/>
    <n v="64022"/>
    <n v="5506"/>
    <n v="61818.18181818182"/>
    <s v="카페24고체향수유즈 솔리드퍼퓸 - 30ml (11차 예약구매 진행중)향=이그나이트 001 SOLID PERFUME, 세트 선택=1개210101"/>
  </r>
  <r>
    <x v="222"/>
    <s v="금"/>
    <m/>
    <s v="카페24"/>
    <s v="유즈 솔리드퍼퓸 - 30ml (11차 예약구매 진행중)향=스테이포에버 002 SOLID PERFUME, 세트 선택=1개"/>
    <n v="24"/>
    <s v="고체향수"/>
    <s v="스테이포에버"/>
    <n v="210101"/>
    <m/>
    <n v="816000"/>
    <n v="768264"/>
    <n v="62208"/>
    <n v="741818.1818181818"/>
    <s v="카페24고체향수유즈 솔리드퍼퓸 - 30ml (11차 예약구매 진행중)향=스테이포에버 002 SOLID PERFUME, 세트 선택=1개210101"/>
  </r>
  <r>
    <x v="222"/>
    <s v="금"/>
    <m/>
    <s v="카페24"/>
    <s v="유즈 솔리드퍼퓸 - 30ml (11차 예약구매 진행중)향=스테이포에버 002 SOLID PERFUME, 세트 선택=best"/>
    <n v="3"/>
    <s v="고체향수"/>
    <s v="스테이포에버"/>
    <n v="210101"/>
    <m/>
    <n v="102000"/>
    <n v="96033"/>
    <n v="7776"/>
    <n v="92727.27272727272"/>
    <s v="카페24고체향수유즈 솔리드퍼퓸 - 30ml (11차 예약구매 진행중)향=스테이포에버 002 SOLID PERFUME, 세트 선택=best210101"/>
  </r>
  <r>
    <x v="222"/>
    <s v="금"/>
    <m/>
    <s v="카페24"/>
    <s v="유즈 솔리드퍼퓸 - 30ml (11차 예약구매 진행중)향=스테이포에버 002 SOLID PERFUME, 세트 선택=best 2개 (28% 할인)"/>
    <n v="2"/>
    <s v="고체향수"/>
    <s v="스테이포에버 2set"/>
    <n v="210101"/>
    <m/>
    <n v="117600"/>
    <n v="110720.4"/>
    <n v="10368"/>
    <n v="106909.0909090909"/>
    <s v="카페24고체향수유즈 솔리드퍼퓸 - 30ml (11차 예약구매 진행중)향=스테이포에버 002 SOLID PERFUME, 세트 선택=best 2개 (28% 할인)210101"/>
  </r>
  <r>
    <x v="222"/>
    <s v="금"/>
    <m/>
    <s v="카페24"/>
    <s v="유즈 솔리드퍼퓸 - 30ml (11차 예약구매 진행중)향=커플세트"/>
    <n v="6"/>
    <s v="고체향수"/>
    <s v="이그나이트 + 스테이포에버"/>
    <n v="210101"/>
    <m/>
    <n v="352800"/>
    <n v="332161.2"/>
    <n v="32070"/>
    <n v="320727.2727272727"/>
    <s v="카페24고체향수유즈 솔리드퍼퓸 - 30ml (11차 예약구매 진행중)향=커플세트210101"/>
  </r>
  <r>
    <x v="222"/>
    <s v="금"/>
    <m/>
    <s v="카페24"/>
    <s v="유즈 솔리드퍼퓸 - 30ml (11차 예약구매 진행중)향=커플세트(이그나이트 + 스테이포에버), 세트 선택=1 SET"/>
    <n v="7"/>
    <s v="고체향수"/>
    <s v="이그나이트 + 스테이포에버"/>
    <n v="210101"/>
    <m/>
    <n v="411600"/>
    <n v="387521.4"/>
    <n v="37415"/>
    <n v="374181.8181818182"/>
    <s v="카페24고체향수유즈 솔리드퍼퓸 - 30ml (11차 예약구매 진행중)향=커플세트(이그나이트 + 스테이포에버), 세트 선택=1 SET210101"/>
  </r>
  <r>
    <x v="222"/>
    <s v="금"/>
    <m/>
    <s v="카페24"/>
    <s v="유즈 스테이포에버 솔리드퍼퓸 002 (10차 재입고 완료)제품선택=스테이포에버 1개"/>
    <n v="2"/>
    <s v="고체향수"/>
    <s v="스테이포에버"/>
    <n v="210101"/>
    <m/>
    <n v="76000"/>
    <n v="71554"/>
    <n v="5184"/>
    <n v="69090.90909090909"/>
    <s v="카페24고체향수유즈 스테이포에버 솔리드퍼퓸 002 (10차 재입고 완료)제품선택=스테이포에버 1개210101"/>
  </r>
  <r>
    <x v="222"/>
    <s v="금"/>
    <m/>
    <s v="카페24"/>
    <s v="유즈 스테이포에버 솔리드퍼퓸 002 (11차 예약구매 진행중)제품선택=스테이포에버 1개"/>
    <n v="512"/>
    <s v="고체향수"/>
    <s v="스테이포에버"/>
    <n v="210101"/>
    <m/>
    <n v="17408000"/>
    <n v="16389632"/>
    <n v="1327104"/>
    <n v="15825454.54545454"/>
    <s v="카페24고체향수유즈 스테이포에버 솔리드퍼퓸 002 (11차 예약구매 진행중)제품선택=스테이포에버 1개210101"/>
  </r>
  <r>
    <x v="222"/>
    <s v="금"/>
    <m/>
    <s v="카페24"/>
    <s v="유즈 스테이포에버 솔리드퍼퓸 002 (11차 예약구매 진행중)제품선택=best"/>
    <n v="105"/>
    <s v="고체향수"/>
    <s v="스테이포에버"/>
    <n v="210101"/>
    <m/>
    <n v="3570000"/>
    <n v="3361155"/>
    <n v="272160"/>
    <n v="3245454.545454545"/>
    <s v="카페24고체향수유즈 스테이포에버 솔리드퍼퓸 002 (11차 예약구매 진행중)제품선택=best210101"/>
  </r>
  <r>
    <x v="222"/>
    <s v="금"/>
    <m/>
    <s v="카페24"/>
    <s v="유즈 스테이포에버 솔리드퍼퓸 002 (11차 예약구매 진행중)제품선택=best스테이포에버 2개[28% 할인]"/>
    <n v="152"/>
    <s v="고체향수"/>
    <s v="스테이포에버 2set"/>
    <n v="210101"/>
    <m/>
    <n v="8937600"/>
    <n v="8414750.4"/>
    <n v="787968"/>
    <n v="8125090.909090908"/>
    <s v="카페24고체향수유즈 스테이포에버 솔리드퍼퓸 002 (11차 예약구매 진행중)제품선택=best스테이포에버 2개[28% 할인]210101"/>
  </r>
  <r>
    <x v="222"/>
    <s v="금"/>
    <m/>
    <s v="카페24"/>
    <s v="유즈 스테이포에버 솔리드퍼퓸 002 (11차 예약구매 진행중)제품선택=커플추천"/>
    <n v="16"/>
    <s v="고체향수"/>
    <s v="스테이포에버"/>
    <n v="210101"/>
    <m/>
    <n v="544000"/>
    <n v="512176"/>
    <n v="41472"/>
    <n v="494545.4545454545"/>
    <s v="카페24고체향수유즈 스테이포에버 솔리드퍼퓸 002 (11차 예약구매 진행중)제품선택=커플추천210101"/>
  </r>
  <r>
    <x v="222"/>
    <s v="금"/>
    <m/>
    <s v="카페24"/>
    <s v="유즈 스테이포에버 솔리드퍼퓸 002 (11차 예약구매 진행중)제품선택=커플추천스테이포에버 + 이그나이트 세트"/>
    <n v="15"/>
    <s v="고체향수"/>
    <s v="이그나이트 + 스테이포에버"/>
    <n v="210101"/>
    <m/>
    <n v="882000"/>
    <n v="830403"/>
    <n v="80175"/>
    <n v="801818.1818181818"/>
    <s v="카페24고체향수유즈 스테이포에버 솔리드퍼퓸 002 (11차 예약구매 진행중)제품선택=커플추천스테이포에버 + 이그나이트 세트210101"/>
  </r>
  <r>
    <x v="222"/>
    <s v="금"/>
    <m/>
    <s v="카페24"/>
    <s v="유즈 스테이포에버 솔리드퍼퓸 002 (11차 예약구매 진행중)쇼핑백=선물용 쇼핑백"/>
    <n v="17"/>
    <s v="고체향수"/>
    <s v="쇼핑백"/>
    <n v="210101"/>
    <m/>
    <n v="34000"/>
    <n v="32011"/>
    <n v="14110"/>
    <n v="30909.09090909091"/>
    <s v="카페24고체향수유즈 스테이포에버 솔리드퍼퓸 002 (11차 예약구매 진행중)쇼핑백=선물용 쇼핑백210101"/>
  </r>
  <r>
    <x v="222"/>
    <s v="금"/>
    <m/>
    <s v="카페24"/>
    <s v="유즈 이그나이트 솔리드퍼퓸 001제품선택=이그나이트 솔리드퍼퓸 - 30ml"/>
    <n v="6"/>
    <s v="고체향수"/>
    <s v="이그나이트"/>
    <n v="210101"/>
    <m/>
    <n v="228000"/>
    <n v="214662"/>
    <n v="16518"/>
    <n v="207272.7272727273"/>
    <s v="카페24고체향수유즈 이그나이트 솔리드퍼퓸 001제품선택=이그나이트 솔리드퍼퓸 - 30ml210101"/>
  </r>
  <r>
    <x v="222"/>
    <s v="금"/>
    <m/>
    <s v="카페24"/>
    <s v="유즈 이그나이트 솔리드퍼퓸 001제품선택=이그나이트 2개 세트"/>
    <n v="5"/>
    <s v="고체향수"/>
    <s v="이그나이트 2set"/>
    <n v="210101"/>
    <m/>
    <n v="294000"/>
    <n v="276801"/>
    <n v="27530"/>
    <n v="267272.7272727272"/>
    <s v="카페24고체향수유즈 이그나이트 솔리드퍼퓸 001제품선택=이그나이트 2개 세트210101"/>
  </r>
  <r>
    <x v="223"/>
    <s v="토"/>
    <m/>
    <s v="카페24"/>
    <s v="유즈 솔리드퍼퓸 - 30ml (11차 예약구매 진행중)향=이그나이트 001 SOLID PERFUME, 세트 선택=1개"/>
    <n v="2"/>
    <s v="고체향수"/>
    <s v="이그나이트"/>
    <n v="210101"/>
    <m/>
    <n v="68000"/>
    <n v="64022"/>
    <n v="5506"/>
    <n v="61818.18181818182"/>
    <s v="카페24고체향수유즈 솔리드퍼퓸 - 30ml (11차 예약구매 진행중)향=이그나이트 001 SOLID PERFUME, 세트 선택=1개210101"/>
  </r>
  <r>
    <x v="223"/>
    <s v="토"/>
    <m/>
    <s v="카페24"/>
    <s v="유즈 솔리드퍼퓸 - 30ml (11차 예약구매 진행중)향=스테이포에버 002 SOLID PERFUME, 세트 선택=1개"/>
    <n v="18"/>
    <s v="고체향수"/>
    <s v="스테이포에버"/>
    <n v="210101"/>
    <m/>
    <n v="612000"/>
    <n v="576198"/>
    <n v="46656"/>
    <n v="556363.6363636364"/>
    <s v="카페24고체향수유즈 솔리드퍼퓸 - 30ml (11차 예약구매 진행중)향=스테이포에버 002 SOLID PERFUME, 세트 선택=1개210101"/>
  </r>
  <r>
    <x v="223"/>
    <s v="토"/>
    <m/>
    <s v="카페24"/>
    <s v="유즈 솔리드퍼퓸 - 30ml (11차 예약구매 진행중)향=스테이포에버 002 SOLID PERFUME, 세트 선택=best"/>
    <n v="2"/>
    <s v="고체향수"/>
    <s v="스테이포에버"/>
    <n v="210101"/>
    <m/>
    <n v="68000"/>
    <n v="64022"/>
    <n v="5184"/>
    <n v="61818.18181818182"/>
    <s v="카페24고체향수유즈 솔리드퍼퓸 - 30ml (11차 예약구매 진행중)향=스테이포에버 002 SOLID PERFUME, 세트 선택=best210101"/>
  </r>
  <r>
    <x v="223"/>
    <s v="토"/>
    <m/>
    <s v="카페24"/>
    <s v="유즈 솔리드퍼퓸 - 30ml (11차 예약구매 진행중)향=스테이포에버 002 SOLID PERFUME, 세트 선택=best 2개 (28% 할인)"/>
    <n v="4"/>
    <s v="고체향수"/>
    <s v="스테이포에버 2set"/>
    <n v="210101"/>
    <m/>
    <n v="235200"/>
    <n v="221440.8"/>
    <n v="20736"/>
    <n v="213818.1818181818"/>
    <s v="카페24고체향수유즈 솔리드퍼퓸 - 30ml (11차 예약구매 진행중)향=스테이포에버 002 SOLID PERFUME, 세트 선택=best 2개 (28% 할인)210101"/>
  </r>
  <r>
    <x v="223"/>
    <s v="토"/>
    <m/>
    <s v="카페24"/>
    <s v="유즈 솔리드퍼퓸 - 30ml (11차 예약구매 진행중)향=커플세트"/>
    <n v="5"/>
    <s v="고체향수"/>
    <s v="이그나이트 + 스테이포에버"/>
    <n v="210101"/>
    <m/>
    <n v="294000"/>
    <n v="276801"/>
    <n v="26725"/>
    <n v="267272.7272727272"/>
    <s v="카페24고체향수유즈 솔리드퍼퓸 - 30ml (11차 예약구매 진행중)향=커플세트210101"/>
  </r>
  <r>
    <x v="223"/>
    <s v="토"/>
    <m/>
    <s v="카페24"/>
    <s v="유즈 솔리드퍼퓸 - 30ml (11차 예약구매 진행중)향=커플세트(이그나이트 + 스테이포에버), 세트 선택=1 SET"/>
    <n v="7"/>
    <s v="고체향수"/>
    <s v="이그나이트 + 스테이포에버"/>
    <n v="210101"/>
    <m/>
    <n v="411600"/>
    <n v="387521.4"/>
    <n v="37415"/>
    <n v="374181.8181818182"/>
    <s v="카페24고체향수유즈 솔리드퍼퓸 - 30ml (11차 예약구매 진행중)향=커플세트(이그나이트 + 스테이포에버), 세트 선택=1 SET210101"/>
  </r>
  <r>
    <x v="223"/>
    <s v="토"/>
    <m/>
    <s v="카페24"/>
    <s v="유즈 솔리드퍼퓸 - 30ml (11차 예약구매 진행중)향=커플세트"/>
    <n v="2"/>
    <s v="고체향수"/>
    <s v="이그나이트 + 스테이포에버"/>
    <n v="210101"/>
    <m/>
    <n v="117600"/>
    <n v="110720.4"/>
    <n v="10690"/>
    <n v="106909.0909090909"/>
    <s v="카페24고체향수유즈 솔리드퍼퓸 - 30ml (11차 예약구매 진행중)향=커플세트210101"/>
  </r>
  <r>
    <x v="223"/>
    <s v="토"/>
    <m/>
    <s v="카페24"/>
    <s v="유즈 솔리드퍼퓸 - 30ml (11차 예약구매 진행중)향=커플세트(이그나이트 + 스테이포에버), 세트 선택=2 SET (42% 할인)"/>
    <n v="1"/>
    <s v="고체향수"/>
    <s v="이그나이트 + 스테이포에버"/>
    <n v="210101"/>
    <m/>
    <n v="58800"/>
    <n v="55360.2"/>
    <n v="5345"/>
    <n v="53454.54545454545"/>
    <s v="카페24고체향수유즈 솔리드퍼퓸 - 30ml (11차 예약구매 진행중)향=커플세트(이그나이트 + 스테이포에버), 세트 선택=2 SET (42% 할인)210101"/>
  </r>
  <r>
    <x v="223"/>
    <s v="토"/>
    <m/>
    <s v="카페24"/>
    <s v="유즈 스테이포에버 솔리드퍼퓸 002 (10차 재입고 완료)제품선택=best"/>
    <n v="1"/>
    <s v="고체향수"/>
    <s v="스테이포에버 2set"/>
    <n v="210101"/>
    <m/>
    <n v="58800"/>
    <n v="55360.2"/>
    <n v="5184"/>
    <n v="53454.54545454545"/>
    <s v="카페24고체향수유즈 스테이포에버 솔리드퍼퓸 002 (10차 재입고 완료)제품선택=best210101"/>
  </r>
  <r>
    <x v="223"/>
    <s v="토"/>
    <m/>
    <s v="카페24"/>
    <s v="유즈 스테이포에버 솔리드퍼퓸 002 (11차 예약구매 진행중)제품선택=스테이포에버 1개"/>
    <n v="426"/>
    <s v="고체향수"/>
    <s v="스테이포에버"/>
    <n v="210101"/>
    <m/>
    <n v="14484000"/>
    <n v="13636686"/>
    <n v="1104192"/>
    <n v="13167272.72727273"/>
    <s v="카페24고체향수유즈 스테이포에버 솔리드퍼퓸 002 (11차 예약구매 진행중)제품선택=스테이포에버 1개210101"/>
  </r>
  <r>
    <x v="223"/>
    <s v="토"/>
    <m/>
    <s v="카페24"/>
    <s v="유즈 스테이포에버 솔리드퍼퓸 002 (11차 예약구매 진행중)제품선택=best"/>
    <n v="78"/>
    <s v="고체향수"/>
    <s v="스테이포에버"/>
    <n v="210101"/>
    <m/>
    <n v="2652000"/>
    <n v="2496858"/>
    <n v="202176"/>
    <n v="2410909.090909091"/>
    <s v="카페24고체향수유즈 스테이포에버 솔리드퍼퓸 002 (11차 예약구매 진행중)제품선택=best210101"/>
  </r>
  <r>
    <x v="223"/>
    <s v="토"/>
    <m/>
    <s v="카페24"/>
    <s v="유즈 스테이포에버 솔리드퍼퓸 002 (11차 예약구매 진행중)제품선택=best스테이포에버 2개[28% 할인]"/>
    <n v="137"/>
    <s v="고체향수"/>
    <s v="스테이포에버 2set"/>
    <n v="210101"/>
    <m/>
    <n v="8055600"/>
    <n v="7584347.4"/>
    <n v="710208"/>
    <n v="7323272.727272727"/>
    <s v="카페24고체향수유즈 스테이포에버 솔리드퍼퓸 002 (11차 예약구매 진행중)제품선택=best스테이포에버 2개[28% 할인]210101"/>
  </r>
  <r>
    <x v="223"/>
    <s v="토"/>
    <m/>
    <s v="카페24"/>
    <s v="유즈 스테이포에버 솔리드퍼퓸 002 (11차 예약구매 진행중)제품선택=커플추천"/>
    <n v="11"/>
    <s v="고체향수"/>
    <s v="스테이포에버"/>
    <n v="210101"/>
    <m/>
    <n v="374000"/>
    <n v="352121"/>
    <n v="28512"/>
    <n v="340000"/>
    <s v="카페24고체향수유즈 스테이포에버 솔리드퍼퓸 002 (11차 예약구매 진행중)제품선택=커플추천210101"/>
  </r>
  <r>
    <x v="223"/>
    <s v="토"/>
    <m/>
    <s v="카페24"/>
    <s v="유즈 스테이포에버 솔리드퍼퓸 002 (11차 예약구매 진행중)제품선택=커플추천스테이포에버 + 이그나이트 세트"/>
    <n v="19"/>
    <s v="고체향수"/>
    <s v="이그나이트 + 스테이포에버"/>
    <n v="210101"/>
    <m/>
    <n v="1117200"/>
    <n v="1051843.8"/>
    <n v="101555"/>
    <n v="1015636.363636364"/>
    <s v="카페24고체향수유즈 스테이포에버 솔리드퍼퓸 002 (11차 예약구매 진행중)제품선택=커플추천스테이포에버 + 이그나이트 세트210101"/>
  </r>
  <r>
    <x v="223"/>
    <s v="토"/>
    <m/>
    <s v="카페24"/>
    <s v="유즈 스테이포에버 솔리드퍼퓸 002 (11차 예약구매 진행중)쇼핑백=선물용 쇼핑백"/>
    <n v="17"/>
    <s v="고체향수"/>
    <s v="쇼핑백"/>
    <n v="210101"/>
    <m/>
    <n v="34000"/>
    <n v="32011"/>
    <n v="14110"/>
    <n v="30909.09090909091"/>
    <s v="카페24고체향수유즈 스테이포에버 솔리드퍼퓸 002 (11차 예약구매 진행중)쇼핑백=선물용 쇼핑백210101"/>
  </r>
  <r>
    <x v="223"/>
    <s v="토"/>
    <m/>
    <s v="카페24"/>
    <s v="유즈 이그나이트 솔리드퍼퓸 001제품선택=이그나이트 솔리드퍼퓸 - 30ml"/>
    <n v="9"/>
    <s v="고체향수"/>
    <s v="이그나이트"/>
    <n v="210101"/>
    <m/>
    <n v="342000"/>
    <n v="321993"/>
    <n v="24777"/>
    <n v="310909.0909090909"/>
    <s v="카페24고체향수유즈 이그나이트 솔리드퍼퓸 001제품선택=이그나이트 솔리드퍼퓸 - 30ml210101"/>
  </r>
  <r>
    <x v="223"/>
    <s v="토"/>
    <m/>
    <s v="카페24"/>
    <s v="유즈 이그나이트 솔리드퍼퓸 001제품선택=이그나이트 2개 세트"/>
    <n v="1"/>
    <s v="고체향수"/>
    <s v="이그나이트 2set"/>
    <n v="210101"/>
    <m/>
    <n v="58800"/>
    <n v="55360.2"/>
    <n v="5506"/>
    <n v="53454.54545454545"/>
    <s v="카페24고체향수유즈 이그나이트 솔리드퍼퓸 001제품선택=이그나이트 2개 세트210101"/>
  </r>
  <r>
    <x v="224"/>
    <s v="일"/>
    <m/>
    <s v="카페24"/>
    <s v="유즈 솔리드퍼퓸 - 30ml (11차 예약구매 진행중)향=이그나이트 001 SOLID PERFUME, 세트 선택=1개"/>
    <n v="1"/>
    <s v="고체향수"/>
    <s v="이그나이트"/>
    <n v="210101"/>
    <m/>
    <n v="34000"/>
    <n v="32011"/>
    <n v="2753"/>
    <n v="30909.09090909091"/>
    <s v="카페24고체향수유즈 솔리드퍼퓸 - 30ml (11차 예약구매 진행중)향=이그나이트 001 SOLID PERFUME, 세트 선택=1개210101"/>
  </r>
  <r>
    <x v="224"/>
    <s v="일"/>
    <m/>
    <s v="카페24"/>
    <s v="유즈 솔리드퍼퓸 - 30ml (11차 예약구매 진행중)향=스테이포에버 002 SOLID PERFUME, 세트 선택=1개"/>
    <n v="18"/>
    <s v="고체향수"/>
    <s v="스테이포에버"/>
    <n v="210101"/>
    <m/>
    <n v="612000"/>
    <n v="576198"/>
    <n v="46656"/>
    <n v="556363.6363636364"/>
    <s v="카페24고체향수유즈 솔리드퍼퓸 - 30ml (11차 예약구매 진행중)향=스테이포에버 002 SOLID PERFUME, 세트 선택=1개210101"/>
  </r>
  <r>
    <x v="224"/>
    <s v="일"/>
    <m/>
    <s v="카페24"/>
    <s v="유즈 솔리드퍼퓸 - 30ml (11차 예약구매 진행중)향=스테이포에버 002 SOLID PERFUME, 세트 선택=best"/>
    <n v="7"/>
    <s v="고체향수"/>
    <s v="스테이포에버"/>
    <n v="210101"/>
    <m/>
    <n v="238000"/>
    <n v="224077"/>
    <n v="18144"/>
    <n v="216363.6363636364"/>
    <s v="카페24고체향수유즈 솔리드퍼퓸 - 30ml (11차 예약구매 진행중)향=스테이포에버 002 SOLID PERFUME, 세트 선택=best210101"/>
  </r>
  <r>
    <x v="224"/>
    <s v="일"/>
    <m/>
    <s v="카페24"/>
    <s v="유즈 솔리드퍼퓸 - 30ml (11차 예약구매 진행중)향=커플세트"/>
    <n v="7"/>
    <s v="고체향수"/>
    <s v="이그나이트 + 스테이포에버"/>
    <n v="210101"/>
    <m/>
    <n v="411600"/>
    <n v="387521.4"/>
    <n v="37415"/>
    <n v="374181.8181818182"/>
    <s v="카페24고체향수유즈 솔리드퍼퓸 - 30ml (11차 예약구매 진행중)향=커플세트210101"/>
  </r>
  <r>
    <x v="224"/>
    <s v="일"/>
    <m/>
    <s v="카페24"/>
    <s v="유즈 솔리드퍼퓸 - 30ml (11차 예약구매 진행중)향=커플세트(이그나이트 + 스테이포에버), 세트 선택=1 SET"/>
    <n v="5"/>
    <s v="고체향수"/>
    <s v="이그나이트 + 스테이포에버"/>
    <n v="210101"/>
    <m/>
    <n v="294000"/>
    <n v="276801"/>
    <n v="26725"/>
    <n v="267272.7272727272"/>
    <s v="카페24고체향수유즈 솔리드퍼퓸 - 30ml (11차 예약구매 진행중)향=커플세트(이그나이트 + 스테이포에버), 세트 선택=1 SET210101"/>
  </r>
  <r>
    <x v="224"/>
    <s v="일"/>
    <m/>
    <s v="카페24"/>
    <s v="유즈 솔리드퍼퓸 - 30ml (11차 예약구매 진행중)향=커플세트"/>
    <n v="1"/>
    <s v="고체향수"/>
    <s v="이그나이트 + 스테이포에버"/>
    <n v="210101"/>
    <m/>
    <n v="58800"/>
    <n v="55360.2"/>
    <n v="5345"/>
    <n v="53454.54545454545"/>
    <s v="카페24고체향수유즈 솔리드퍼퓸 - 30ml (11차 예약구매 진행중)향=커플세트210101"/>
  </r>
  <r>
    <x v="224"/>
    <s v="일"/>
    <m/>
    <s v="카페24"/>
    <s v="유즈 솔리드퍼퓸 - 30ml (11차 예약구매 진행중)향=커플세트(이그나이트 + 스테이포에버), 세트 선택=2 SET (42% 할인)"/>
    <n v="1"/>
    <s v="고체향수"/>
    <s v="이그나이트 + 스테이포에버"/>
    <n v="210101"/>
    <m/>
    <n v="58800"/>
    <n v="55360.2"/>
    <n v="5345"/>
    <n v="53454.54545454545"/>
    <s v="카페24고체향수유즈 솔리드퍼퓸 - 30ml (11차 예약구매 진행중)향=커플세트(이그나이트 + 스테이포에버), 세트 선택=2 SET (42% 할인)210101"/>
  </r>
  <r>
    <x v="224"/>
    <s v="일"/>
    <m/>
    <s v="카페24"/>
    <s v="유즈 스테이포에버 솔리드퍼퓸 002 (10차 재입고 완료)제품선택=스테이포에버 1개"/>
    <n v="1"/>
    <s v="고체향수"/>
    <s v="스테이포에버"/>
    <n v="210101"/>
    <m/>
    <n v="38000"/>
    <n v="35777"/>
    <n v="2592"/>
    <n v="34545.45454545454"/>
    <s v="카페24고체향수유즈 스테이포에버 솔리드퍼퓸 002 (10차 재입고 완료)제품선택=스테이포에버 1개210101"/>
  </r>
  <r>
    <x v="224"/>
    <s v="일"/>
    <m/>
    <s v="카페24"/>
    <s v="유즈 스테이포에버 솔리드퍼퓸 002 (10차 재입고 완료)제품선택=best스테이포에버 2개[28% 할인]"/>
    <n v="1"/>
    <s v="고체향수"/>
    <s v="스테이포에버 2set"/>
    <n v="210101"/>
    <m/>
    <n v="58800"/>
    <n v="55360.2"/>
    <n v="5184"/>
    <n v="53454.54545454545"/>
    <s v="카페24고체향수유즈 스테이포에버 솔리드퍼퓸 002 (10차 재입고 완료)제품선택=best스테이포에버 2개[28% 할인]210101"/>
  </r>
  <r>
    <x v="224"/>
    <s v="일"/>
    <m/>
    <s v="카페24"/>
    <s v="유즈 스테이포에버 솔리드퍼퓸 002 (11차 예약구매 진행중)제품선택=스테이포에버 1개"/>
    <n v="404"/>
    <s v="고체향수"/>
    <s v="스테이포에버"/>
    <n v="210101"/>
    <m/>
    <n v="13736000"/>
    <n v="12932444"/>
    <n v="1047168"/>
    <n v="12487272.72727273"/>
    <s v="카페24고체향수유즈 스테이포에버 솔리드퍼퓸 002 (11차 예약구매 진행중)제품선택=스테이포에버 1개210101"/>
  </r>
  <r>
    <x v="224"/>
    <s v="일"/>
    <m/>
    <s v="카페24"/>
    <s v="유즈 스테이포에버 솔리드퍼퓸 002 (11차 예약구매 진행중)제품선택=best"/>
    <n v="81"/>
    <s v="고체향수"/>
    <s v="스테이포에버"/>
    <n v="210101"/>
    <m/>
    <n v="2754000"/>
    <n v="2592891"/>
    <n v="209952"/>
    <n v="2503636.363636363"/>
    <s v="카페24고체향수유즈 스테이포에버 솔리드퍼퓸 002 (11차 예약구매 진행중)제품선택=best210101"/>
  </r>
  <r>
    <x v="224"/>
    <s v="일"/>
    <m/>
    <s v="카페24"/>
    <s v="유즈 스테이포에버 솔리드퍼퓸 002 (11차 예약구매 진행중)제품선택=best스테이포에버 2개[28% 할인]"/>
    <n v="129"/>
    <s v="고체향수"/>
    <s v="스테이포에버 2set"/>
    <n v="210101"/>
    <m/>
    <n v="7585200"/>
    <n v="7141465.8"/>
    <n v="668736"/>
    <n v="6895636.363636363"/>
    <s v="카페24고체향수유즈 스테이포에버 솔리드퍼퓸 002 (11차 예약구매 진행중)제품선택=best스테이포에버 2개[28% 할인]210101"/>
  </r>
  <r>
    <x v="224"/>
    <s v="일"/>
    <m/>
    <s v="카페24"/>
    <s v="유즈 스테이포에버 솔리드퍼퓸 002 (11차 예약구매 진행중)제품선택=커플추천"/>
    <n v="7"/>
    <s v="고체향수"/>
    <s v="스테이포에버"/>
    <n v="210101"/>
    <m/>
    <n v="238000"/>
    <n v="224077"/>
    <n v="18144"/>
    <n v="216363.6363636364"/>
    <s v="카페24고체향수유즈 스테이포에버 솔리드퍼퓸 002 (11차 예약구매 진행중)제품선택=커플추천210101"/>
  </r>
  <r>
    <x v="224"/>
    <s v="일"/>
    <m/>
    <s v="카페24"/>
    <s v="유즈 스테이포에버 솔리드퍼퓸 002 (11차 예약구매 진행중)제품선택=커플추천스테이포에버 + 이그나이트 세트"/>
    <n v="17"/>
    <s v="고체향수"/>
    <s v="이그나이트 + 스테이포에버"/>
    <n v="210101"/>
    <m/>
    <n v="999600"/>
    <n v="941123.4"/>
    <n v="90865"/>
    <n v="908727.2727272727"/>
    <s v="카페24고체향수유즈 스테이포에버 솔리드퍼퓸 002 (11차 예약구매 진행중)제품선택=커플추천스테이포에버 + 이그나이트 세트210101"/>
  </r>
  <r>
    <x v="224"/>
    <s v="일"/>
    <m/>
    <s v="카페24"/>
    <s v="유즈 스테이포에버 솔리드퍼퓸 002 (11차 예약구매 진행중)쇼핑백=선물용 쇼핑백"/>
    <n v="21"/>
    <s v="고체향수"/>
    <s v="쇼핑백"/>
    <n v="210101"/>
    <m/>
    <n v="42000"/>
    <n v="39543"/>
    <n v="17430"/>
    <n v="38181.81818181818"/>
    <s v="카페24고체향수유즈 스테이포에버 솔리드퍼퓸 002 (11차 예약구매 진행중)쇼핑백=선물용 쇼핑백210101"/>
  </r>
  <r>
    <x v="224"/>
    <s v="일"/>
    <m/>
    <s v="카페24"/>
    <s v="유즈 이그나이트 솔리드퍼퓸 001제품선택=이그나이트 솔리드퍼퓸 - 30ml"/>
    <n v="1"/>
    <s v="고체향수"/>
    <s v="이그나이트"/>
    <n v="210101"/>
    <m/>
    <n v="38000"/>
    <n v="35777"/>
    <n v="2753"/>
    <n v="34545.45454545454"/>
    <s v="카페24고체향수유즈 이그나이트 솔리드퍼퓸 001제품선택=이그나이트 솔리드퍼퓸 - 30ml210101"/>
  </r>
  <r>
    <x v="224"/>
    <s v="일"/>
    <m/>
    <s v="카페24"/>
    <s v="유즈 이그나이트 솔리드퍼퓸 001쇼핑백=선물용 쇼핑백"/>
    <n v="1"/>
    <s v="쇼핑백"/>
    <s v="쇼핑백"/>
    <n v="210101"/>
    <m/>
    <n v="2000"/>
    <n v="1883"/>
    <n v="830"/>
    <n v="1818.181818181818"/>
    <s v="카페24쇼핑백유즈 이그나이트 솔리드퍼퓸 001쇼핑백=선물용 쇼핑백210101"/>
  </r>
  <r>
    <x v="225"/>
    <s v="월"/>
    <m/>
    <s v="카페24"/>
    <s v="유즈 솔리드퍼퓸 - 30ml (11차 예약구매 진행중)향=이그나이트 001 SOLID PERFUME, 세트 선택=1개"/>
    <n v="1"/>
    <s v="고체향수"/>
    <s v="이그나이트"/>
    <n v="210101"/>
    <m/>
    <n v="34000"/>
    <n v="32011"/>
    <n v="2753"/>
    <n v="30909.09090909091"/>
    <s v="카페24고체향수유즈 솔리드퍼퓸 - 30ml (11차 예약구매 진행중)향=이그나이트 001 SOLID PERFUME, 세트 선택=1개210101"/>
  </r>
  <r>
    <x v="225"/>
    <s v="월"/>
    <m/>
    <s v="카페24"/>
    <s v="유즈 솔리드퍼퓸 - 30ml (11차 예약구매 진행중)향=이그나이트 001 SOLID PERFUME, 세트 선택=best"/>
    <n v="1"/>
    <s v="고체향수"/>
    <s v="이그나이트"/>
    <n v="210101"/>
    <m/>
    <n v="34000"/>
    <n v="32011"/>
    <n v="2753"/>
    <n v="30909.09090909091"/>
    <s v="카페24고체향수유즈 솔리드퍼퓸 - 30ml (11차 예약구매 진행중)향=이그나이트 001 SOLID PERFUME, 세트 선택=best210101"/>
  </r>
  <r>
    <x v="225"/>
    <s v="월"/>
    <m/>
    <s v="카페24"/>
    <s v="유즈 솔리드퍼퓸 - 30ml (11차 예약구매 진행중)향=스테이포에버 002 SOLID PERFUME, 세트 선택=1개"/>
    <n v="10"/>
    <s v="고체향수"/>
    <s v="스테이포에버"/>
    <n v="210101"/>
    <m/>
    <n v="340000"/>
    <n v="320110"/>
    <n v="25920"/>
    <n v="309090.9090909091"/>
    <s v="카페24고체향수유즈 솔리드퍼퓸 - 30ml (11차 예약구매 진행중)향=스테이포에버 002 SOLID PERFUME, 세트 선택=1개210101"/>
  </r>
  <r>
    <x v="225"/>
    <s v="월"/>
    <m/>
    <s v="카페24"/>
    <s v="유즈 솔리드퍼퓸 - 30ml (11차 예약구매 진행중)향=스테이포에버 002 SOLID PERFUME, 세트 선택=best"/>
    <n v="4"/>
    <s v="고체향수"/>
    <s v="스테이포에버"/>
    <n v="210101"/>
    <m/>
    <n v="136000"/>
    <n v="128044"/>
    <n v="10368"/>
    <n v="123636.3636363636"/>
    <s v="카페24고체향수유즈 솔리드퍼퓸 - 30ml (11차 예약구매 진행중)향=스테이포에버 002 SOLID PERFUME, 세트 선택=best210101"/>
  </r>
  <r>
    <x v="225"/>
    <s v="월"/>
    <m/>
    <s v="카페24"/>
    <s v="유즈 솔리드퍼퓸 - 30ml (11차 예약구매 진행중)향=스테이포에버 002 SOLID PERFUME, 세트 선택=best 2개 (28% 할인)"/>
    <n v="4"/>
    <s v="고체향수"/>
    <s v="스테이포에버 2set"/>
    <n v="210101"/>
    <m/>
    <n v="235200"/>
    <n v="221440.8"/>
    <n v="20736"/>
    <n v="213818.1818181818"/>
    <s v="카페24고체향수유즈 솔리드퍼퓸 - 30ml (11차 예약구매 진행중)향=스테이포에버 002 SOLID PERFUME, 세트 선택=best 2개 (28% 할인)210101"/>
  </r>
  <r>
    <x v="225"/>
    <s v="월"/>
    <m/>
    <s v="카페24"/>
    <s v="유즈 솔리드퍼퓸 - 30ml (11차 예약구매 진행중)향=커플세트"/>
    <n v="7"/>
    <s v="고체향수"/>
    <s v="이그나이트 + 스테이포에버"/>
    <n v="210101"/>
    <m/>
    <n v="411600"/>
    <n v="387521.4"/>
    <n v="37415"/>
    <n v="374181.8181818182"/>
    <s v="카페24고체향수유즈 솔리드퍼퓸 - 30ml (11차 예약구매 진행중)향=커플세트210101"/>
  </r>
  <r>
    <x v="225"/>
    <s v="월"/>
    <m/>
    <s v="카페24"/>
    <s v="유즈 솔리드퍼퓸 - 30ml (11차 예약구매 진행중)향=커플세트(이그나이트 + 스테이포에버), 세트 선택=1 SET"/>
    <n v="4"/>
    <s v="고체향수"/>
    <s v="이그나이트 + 스테이포에버"/>
    <n v="210101"/>
    <m/>
    <n v="235200"/>
    <n v="221440.8"/>
    <n v="21380"/>
    <n v="213818.1818181818"/>
    <s v="카페24고체향수유즈 솔리드퍼퓸 - 30ml (11차 예약구매 진행중)향=커플세트(이그나이트 + 스테이포에버), 세트 선택=1 SET210101"/>
  </r>
  <r>
    <x v="225"/>
    <s v="월"/>
    <m/>
    <s v="카페24"/>
    <s v="유즈 솔리드퍼퓸 - 30ml (11차 예약구매 진행중)향=커플세트"/>
    <n v="1"/>
    <s v="고체향수"/>
    <s v="이그나이트 + 스테이포에버"/>
    <n v="210101"/>
    <m/>
    <n v="58800"/>
    <n v="55360.2"/>
    <n v="5345"/>
    <n v="53454.54545454545"/>
    <s v="카페24고체향수유즈 솔리드퍼퓸 - 30ml (11차 예약구매 진행중)향=커플세트210101"/>
  </r>
  <r>
    <x v="225"/>
    <s v="월"/>
    <m/>
    <s v="카페24"/>
    <s v="유즈 스테이포에버 솔리드퍼퓸 002 (10차 재입고 완료제품선택=스테이포에버 1개"/>
    <n v="1"/>
    <s v="고체향수"/>
    <s v="스테이포에버"/>
    <n v="210101"/>
    <m/>
    <n v="38000"/>
    <n v="35777"/>
    <n v="2592"/>
    <n v="34545.45454545454"/>
    <s v="카페24고체향수유즈 스테이포에버 솔리드퍼퓸 002 (10차 재입고 완료제품선택=스테이포에버 1개210101"/>
  </r>
  <r>
    <x v="225"/>
    <s v="월"/>
    <m/>
    <s v="카페24"/>
    <s v="유즈 스테이포에버 솔리드퍼퓸 002 (10차 재입고 완료)제품선택=스테이포에버 1개"/>
    <n v="1"/>
    <s v="고체향수"/>
    <s v="스테이포에버"/>
    <n v="210101"/>
    <m/>
    <n v="38000"/>
    <n v="35777"/>
    <n v="2592"/>
    <n v="34545.45454545454"/>
    <s v="카페24고체향수유즈 스테이포에버 솔리드퍼퓸 002 (10차 재입고 완료)제품선택=스테이포에버 1개210101"/>
  </r>
  <r>
    <x v="225"/>
    <s v="월"/>
    <m/>
    <s v="카페24"/>
    <s v="유즈 스테이포에버 솔리드퍼퓸 002 (10차 재입고 완료)제품선택=best"/>
    <n v="1"/>
    <s v="고체향수"/>
    <s v="스테이포에버 2set"/>
    <n v="210101"/>
    <m/>
    <n v="58800"/>
    <n v="55360.2"/>
    <n v="5184"/>
    <n v="53454.54545454545"/>
    <s v="카페24고체향수유즈 스테이포에버 솔리드퍼퓸 002 (10차 재입고 완료)제품선택=best210101"/>
  </r>
  <r>
    <x v="225"/>
    <s v="월"/>
    <m/>
    <s v="카페24"/>
    <s v="유즈 스테이포에버 솔리드퍼퓸 002 (11차 예약구매 진행중)제품선택=스테이포에버 1개"/>
    <n v="410"/>
    <s v="고체향수"/>
    <s v="스테이포에버"/>
    <n v="210101"/>
    <m/>
    <n v="13940000"/>
    <n v="13124510"/>
    <n v="1062720"/>
    <n v="12672727.27272727"/>
    <s v="카페24고체향수유즈 스테이포에버 솔리드퍼퓸 002 (11차 예약구매 진행중)제품선택=스테이포에버 1개210101"/>
  </r>
  <r>
    <x v="225"/>
    <s v="월"/>
    <m/>
    <s v="카페24"/>
    <s v="유즈 스테이포에버 솔리드퍼퓸 002 (11차 예약구매 진행중)제품선택=best"/>
    <n v="75"/>
    <s v="고체향수"/>
    <s v="스테이포에버"/>
    <n v="210101"/>
    <m/>
    <n v="2550000"/>
    <n v="2400825"/>
    <n v="194400"/>
    <n v="2318181.818181818"/>
    <s v="카페24고체향수유즈 스테이포에버 솔리드퍼퓸 002 (11차 예약구매 진행중)제품선택=best210101"/>
  </r>
  <r>
    <x v="225"/>
    <s v="월"/>
    <m/>
    <s v="카페24"/>
    <s v="유즈 스테이포에버 솔리드퍼퓸 002 (11차 예약구매 진행중)제품선택=best스테이포에버 2개[28% 할인]"/>
    <n v="119"/>
    <s v="고체향수"/>
    <s v="스테이포에버 2set"/>
    <n v="210101"/>
    <m/>
    <n v="6997200"/>
    <n v="6587863.8"/>
    <n v="616896"/>
    <n v="6361090.909090908"/>
    <s v="카페24고체향수유즈 스테이포에버 솔리드퍼퓸 002 (11차 예약구매 진행중)제품선택=best스테이포에버 2개[28% 할인]210101"/>
  </r>
  <r>
    <x v="225"/>
    <s v="월"/>
    <m/>
    <s v="카페24"/>
    <s v="유즈 스테이포에버 솔리드퍼퓸 002 (11차 예약구매 진행중)제품선택=커플추천"/>
    <n v="15"/>
    <s v="고체향수"/>
    <s v="스테이포에버"/>
    <n v="210101"/>
    <m/>
    <n v="510000"/>
    <n v="480165"/>
    <n v="38880"/>
    <n v="463636.3636363636"/>
    <s v="카페24고체향수유즈 스테이포에버 솔리드퍼퓸 002 (11차 예약구매 진행중)제품선택=커플추천210101"/>
  </r>
  <r>
    <x v="225"/>
    <s v="월"/>
    <m/>
    <s v="카페24"/>
    <s v="유즈 스테이포에버 솔리드퍼퓸 002 (11차 예약구매 진행중)제품선택=커플추천스테이포에버 + 이그나이트 세트"/>
    <n v="12"/>
    <s v="고체향수"/>
    <s v="이그나이트 + 스테이포에버"/>
    <n v="210101"/>
    <m/>
    <n v="705600"/>
    <n v="664322.4"/>
    <n v="64140"/>
    <n v="641454.5454545454"/>
    <s v="카페24고체향수유즈 스테이포에버 솔리드퍼퓸 002 (11차 예약구매 진행중)제품선택=커플추천스테이포에버 + 이그나이트 세트210101"/>
  </r>
  <r>
    <x v="225"/>
    <s v="월"/>
    <m/>
    <s v="카페24"/>
    <s v="유즈 스테이포에버 솔리드퍼퓸 002 (11차 예약구매 진행중)쇼핑백=선물용 쇼핑백"/>
    <n v="16"/>
    <s v="고체향수"/>
    <s v="쇼핑백"/>
    <n v="210101"/>
    <m/>
    <n v="32000"/>
    <n v="30128"/>
    <n v="13280"/>
    <n v="29090.90909090909"/>
    <s v="카페24고체향수유즈 스테이포에버 솔리드퍼퓸 002 (11차 예약구매 진행중)쇼핑백=선물용 쇼핑백210101"/>
  </r>
  <r>
    <x v="225"/>
    <s v="월"/>
    <m/>
    <s v="카페24"/>
    <s v="유즈 이그나이트 솔리드퍼퓸 001제품선택=이그나이트 솔리드퍼퓸 - 30ml"/>
    <n v="7"/>
    <s v="고체향수"/>
    <s v="이그나이트"/>
    <n v="210101"/>
    <m/>
    <n v="266000"/>
    <n v="250439"/>
    <n v="19271"/>
    <n v="241818.1818181818"/>
    <s v="카페24고체향수유즈 이그나이트 솔리드퍼퓸 001제품선택=이그나이트 솔리드퍼퓸 - 30ml210101"/>
  </r>
  <r>
    <x v="226"/>
    <s v="화"/>
    <m/>
    <s v="카페24"/>
    <s v="유즈 솔리드퍼퓸 - 30ml (11차 예약구매 진행중)향=이그나이트 001 SOLID PERFUME, 세트 선택=1개"/>
    <n v="1"/>
    <s v="고체향수"/>
    <s v="이그나이트"/>
    <n v="210101"/>
    <m/>
    <n v="34000"/>
    <n v="32011"/>
    <n v="2753"/>
    <n v="30909.09090909091"/>
    <s v="카페24고체향수유즈 솔리드퍼퓸 - 30ml (11차 예약구매 진행중)향=이그나이트 001 SOLID PERFUME, 세트 선택=1개210101"/>
  </r>
  <r>
    <x v="226"/>
    <s v="화"/>
    <m/>
    <s v="카페24"/>
    <s v="유즈 솔리드퍼퓸 - 30ml (11차 예약구매 진행중)향=스테이포에버 002 SOLID PERFUME, 세트 선택=1개"/>
    <n v="12"/>
    <s v="고체향수"/>
    <s v="스테이포에버"/>
    <n v="210101"/>
    <m/>
    <n v="408000"/>
    <n v="384132"/>
    <n v="31104"/>
    <n v="370909.0909090909"/>
    <s v="카페24고체향수유즈 솔리드퍼퓸 - 30ml (11차 예약구매 진행중)향=스테이포에버 002 SOLID PERFUME, 세트 선택=1개210101"/>
  </r>
  <r>
    <x v="226"/>
    <s v="화"/>
    <m/>
    <s v="카페24"/>
    <s v="유즈 솔리드퍼퓸 - 30ml (11차 예약구매 진행중)향=스테이포에버 002 SOLID PERFUME, 세트 선택=best"/>
    <n v="6"/>
    <s v="고체향수"/>
    <s v="스테이포에버"/>
    <n v="210101"/>
    <m/>
    <n v="204000"/>
    <n v="192066"/>
    <n v="15552"/>
    <n v="185454.5454545454"/>
    <s v="카페24고체향수유즈 솔리드퍼퓸 - 30ml (11차 예약구매 진행중)향=스테이포에버 002 SOLID PERFUME, 세트 선택=best210101"/>
  </r>
  <r>
    <x v="226"/>
    <s v="화"/>
    <m/>
    <s v="카페24"/>
    <s v="유즈 솔리드퍼퓸 - 30ml (11차 예약구매 진행중)향=스테이포에버 002 SOLID PERFUME, 세트 선택=best 2개 (28% 할인)"/>
    <n v="4"/>
    <s v="고체향수"/>
    <s v="스테이포에버 2set"/>
    <n v="210101"/>
    <m/>
    <n v="235200"/>
    <n v="221440.8"/>
    <n v="20736"/>
    <n v="213818.1818181818"/>
    <s v="카페24고체향수유즈 솔리드퍼퓸 - 30ml (11차 예약구매 진행중)향=스테이포에버 002 SOLID PERFUME, 세트 선택=best 2개 (28% 할인)210101"/>
  </r>
  <r>
    <x v="226"/>
    <s v="화"/>
    <m/>
    <s v="카페24"/>
    <s v="유즈 솔리드퍼퓸 - 30ml (11차 예약구매 진행중)향=커플세트"/>
    <n v="4"/>
    <s v="고체향수"/>
    <s v="이그나이트 + 스테이포에버"/>
    <n v="210101"/>
    <m/>
    <n v="235200"/>
    <n v="221440.8"/>
    <n v="21380"/>
    <n v="213818.1818181818"/>
    <s v="카페24고체향수유즈 솔리드퍼퓸 - 30ml (11차 예약구매 진행중)향=커플세트210101"/>
  </r>
  <r>
    <x v="226"/>
    <s v="화"/>
    <m/>
    <s v="카페24"/>
    <s v="유즈 솔리드퍼퓸 - 30ml (11차 예약구매 진행중)향=커플세트(이그나이트 + 스테이포에버), 세트 선택=1 SET"/>
    <n v="4"/>
    <s v="고체향수"/>
    <s v="이그나이트 + 스테이포에버"/>
    <n v="210101"/>
    <m/>
    <n v="235200"/>
    <n v="221440.8"/>
    <n v="21380"/>
    <n v="213818.1818181818"/>
    <s v="카페24고체향수유즈 솔리드퍼퓸 - 30ml (11차 예약구매 진행중)향=커플세트(이그나이트 + 스테이포에버), 세트 선택=1 SET210101"/>
  </r>
  <r>
    <x v="226"/>
    <s v="화"/>
    <m/>
    <s v="카페24"/>
    <s v="유즈 솔리드퍼퓸 - 30ml (11차 예약구매 진행중)향=커플세트"/>
    <n v="1"/>
    <s v="고체향수"/>
    <s v="이그나이트 + 스테이포에버"/>
    <n v="210101"/>
    <m/>
    <n v="58800"/>
    <n v="55360.2"/>
    <n v="5345"/>
    <n v="53454.54545454545"/>
    <s v="카페24고체향수유즈 솔리드퍼퓸 - 30ml (11차 예약구매 진행중)향=커플세트210101"/>
  </r>
  <r>
    <x v="226"/>
    <s v="화"/>
    <m/>
    <s v="카페24"/>
    <s v="유즈 스테이포에버 솔리드퍼퓸 002 (10차 재입고 완료제품선택=스테이포에버 1개"/>
    <n v="1"/>
    <s v="고체향수"/>
    <s v="스테이포에버"/>
    <n v="210101"/>
    <m/>
    <n v="38000"/>
    <n v="35777"/>
    <n v="2592"/>
    <n v="34545.45454545454"/>
    <s v="카페24고체향수유즈 스테이포에버 솔리드퍼퓸 002 (10차 재입고 완료제품선택=스테이포에버 1개210101"/>
  </r>
  <r>
    <x v="226"/>
    <s v="화"/>
    <m/>
    <s v="카페24"/>
    <s v="유즈 스테이포에버 솔리드퍼퓸 002 (10차 재입고 완료제품선택=best"/>
    <n v="1"/>
    <s v="고체향수"/>
    <s v="스테이포에버 2set"/>
    <n v="210101"/>
    <m/>
    <n v="58800"/>
    <n v="55360.2"/>
    <n v="5184"/>
    <n v="53454.54545454545"/>
    <s v="카페24고체향수유즈 스테이포에버 솔리드퍼퓸 002 (10차 재입고 완료제품선택=best210101"/>
  </r>
  <r>
    <x v="226"/>
    <s v="화"/>
    <m/>
    <s v="카페24"/>
    <s v="유즈 스테이포에버 솔리드퍼퓸 002 (10차 재입고 완료)제품선택=스테이포에버 1개"/>
    <n v="1"/>
    <s v="고체향수"/>
    <s v="스테이포에버"/>
    <n v="210101"/>
    <m/>
    <n v="38000"/>
    <n v="35777"/>
    <n v="2592"/>
    <n v="34545.45454545454"/>
    <s v="카페24고체향수유즈 스테이포에버 솔리드퍼퓸 002 (10차 재입고 완료)제품선택=스테이포에버 1개210101"/>
  </r>
  <r>
    <x v="226"/>
    <s v="화"/>
    <m/>
    <s v="카페24"/>
    <s v="유즈 스테이포에버 솔리드퍼퓸 002 (10차 재입고 완료)제품선택=best"/>
    <n v="2"/>
    <s v="고체향수"/>
    <s v="스테이포에버 2set"/>
    <n v="210101"/>
    <m/>
    <n v="117600"/>
    <n v="110720.4"/>
    <n v="10368"/>
    <n v="106909.0909090909"/>
    <s v="카페24고체향수유즈 스테이포에버 솔리드퍼퓸 002 (10차 재입고 완료)제품선택=best210101"/>
  </r>
  <r>
    <x v="226"/>
    <s v="화"/>
    <m/>
    <s v="카페24"/>
    <s v="유즈 스테이포에버 솔리드퍼퓸 002 (11차 예약구매 진행중)제품선택=스테이포에버 1개"/>
    <n v="419"/>
    <s v="고체향수"/>
    <s v="스테이포에버"/>
    <n v="210101"/>
    <m/>
    <n v="14246000"/>
    <n v="13412609"/>
    <n v="1086048"/>
    <n v="12950909.09090909"/>
    <s v="카페24고체향수유즈 스테이포에버 솔리드퍼퓸 002 (11차 예약구매 진행중)제품선택=스테이포에버 1개210101"/>
  </r>
  <r>
    <x v="226"/>
    <s v="화"/>
    <m/>
    <s v="카페24"/>
    <s v="유즈 스테이포에버 솔리드퍼퓸 002 (11차 예약구매 진행중)제품선택=best"/>
    <n v="77"/>
    <s v="고체향수"/>
    <s v="스테이포에버"/>
    <n v="210101"/>
    <m/>
    <n v="2618000"/>
    <n v="2464847"/>
    <n v="199584"/>
    <n v="2380000"/>
    <s v="카페24고체향수유즈 스테이포에버 솔리드퍼퓸 002 (11차 예약구매 진행중)제품선택=best210101"/>
  </r>
  <r>
    <x v="226"/>
    <s v="화"/>
    <m/>
    <s v="카페24"/>
    <s v="유즈 스테이포에버 솔리드퍼퓸 002 (11차 예약구매 진행중)제품선택=best스테이포에버 2개[28% 할인]"/>
    <n v="122"/>
    <s v="고체향수"/>
    <s v="스테이포에버 2set"/>
    <n v="210101"/>
    <m/>
    <n v="7173600"/>
    <n v="6753944.4"/>
    <n v="632448"/>
    <n v="6521454.545454545"/>
    <s v="카페24고체향수유즈 스테이포에버 솔리드퍼퓸 002 (11차 예약구매 진행중)제품선택=best스테이포에버 2개[28% 할인]210101"/>
  </r>
  <r>
    <x v="226"/>
    <s v="화"/>
    <m/>
    <s v="카페24"/>
    <s v="유즈 스테이포에버 솔리드퍼퓸 002 (11차 예약구매 진행중)제품선택=커플추천"/>
    <n v="9"/>
    <s v="고체향수"/>
    <s v="스테이포에버"/>
    <n v="210101"/>
    <m/>
    <n v="306000"/>
    <n v="288099"/>
    <n v="23328"/>
    <n v="278181.8181818182"/>
    <s v="카페24고체향수유즈 스테이포에버 솔리드퍼퓸 002 (11차 예약구매 진행중)제품선택=커플추천210101"/>
  </r>
  <r>
    <x v="226"/>
    <s v="화"/>
    <m/>
    <s v="카페24"/>
    <s v="유즈 스테이포에버 솔리드퍼퓸 002 (11차 예약구매 진행중)제품선택=커플추천스테이포에버 + 이그나이트 세트"/>
    <n v="17"/>
    <s v="고체향수"/>
    <s v="이그나이트 + 스테이포에버"/>
    <n v="210101"/>
    <m/>
    <n v="999600"/>
    <n v="941123.4"/>
    <n v="90865"/>
    <n v="908727.2727272727"/>
    <s v="카페24고체향수유즈 스테이포에버 솔리드퍼퓸 002 (11차 예약구매 진행중)제품선택=커플추천스테이포에버 + 이그나이트 세트210101"/>
  </r>
  <r>
    <x v="226"/>
    <s v="화"/>
    <m/>
    <s v="카페24"/>
    <s v="유즈 스테이포에버 솔리드퍼퓸 002 (11차 예약구매 진행중)쇼핑백=선물용 쇼핑백"/>
    <n v="8"/>
    <s v="고체향수"/>
    <s v="쇼핑백"/>
    <n v="210101"/>
    <m/>
    <n v="16000"/>
    <n v="15064"/>
    <n v="6640"/>
    <n v="14545.45454545454"/>
    <s v="카페24고체향수유즈 스테이포에버 솔리드퍼퓸 002 (11차 예약구매 진행중)쇼핑백=선물용 쇼핑백210101"/>
  </r>
  <r>
    <x v="226"/>
    <s v="화"/>
    <m/>
    <s v="카페24"/>
    <s v="유즈 이그나이트 솔리드퍼퓸 001제품선택=이그나이트 솔리드퍼퓸 - 30ml"/>
    <n v="2"/>
    <s v="고체향수"/>
    <s v="이그나이트"/>
    <n v="210101"/>
    <m/>
    <n v="76000"/>
    <n v="71554"/>
    <n v="5506"/>
    <n v="69090.90909090909"/>
    <s v="카페24고체향수유즈 이그나이트 솔리드퍼퓸 001제품선택=이그나이트 솔리드퍼퓸 - 30ml210101"/>
  </r>
  <r>
    <x v="226"/>
    <s v="화"/>
    <m/>
    <s v="카페24"/>
    <s v="유즈 이그나이트 솔리드퍼퓸 001제품선택=이그나이트 2개 세트"/>
    <n v="2"/>
    <s v="고체향수"/>
    <s v="이그나이트 2set"/>
    <n v="210101"/>
    <m/>
    <n v="117600"/>
    <n v="110720.4"/>
    <n v="11012"/>
    <n v="106909.0909090909"/>
    <s v="카페24고체향수유즈 이그나이트 솔리드퍼퓸 001제품선택=이그나이트 2개 세트210101"/>
  </r>
  <r>
    <x v="226"/>
    <s v="화"/>
    <m/>
    <s v="카페24"/>
    <s v="유즈 이그나이트 솔리드퍼퓸 001쇼핑백=선물용 쇼핑백"/>
    <n v="1"/>
    <s v="쇼핑백"/>
    <s v="쇼핑백"/>
    <n v="210101"/>
    <m/>
    <n v="2000"/>
    <n v="1883"/>
    <n v="830"/>
    <n v="1818.181818181818"/>
    <s v="카페24쇼핑백유즈 이그나이트 솔리드퍼퓸 001쇼핑백=선물용 쇼핑백210101"/>
  </r>
  <r>
    <x v="227"/>
    <s v="수"/>
    <m/>
    <s v="카페24"/>
    <s v="솔리드퍼퓸 스테이포에버 002 30ml"/>
    <n v="3"/>
    <s v="고체향수"/>
    <s v="스테이포에버"/>
    <n v="210101"/>
    <m/>
    <n v="114000"/>
    <n v="107331"/>
    <n v="7776"/>
    <n v="103636.3636363636"/>
    <s v="카페24고체향수솔리드퍼퓸 스테이포에버 002 30ml210101"/>
  </r>
  <r>
    <x v="227"/>
    <s v="수"/>
    <m/>
    <s v="카페24"/>
    <s v="유즈 솔리드퍼퓸 - 30ml (11차 예약구매 진행중)향=이그나이트 001 SOLID PERFUME, 세트 선택=1개"/>
    <n v="2"/>
    <s v="고체향수"/>
    <s v="이그나이트"/>
    <n v="210101"/>
    <m/>
    <n v="68000"/>
    <n v="64022"/>
    <n v="5506"/>
    <n v="61818.18181818182"/>
    <s v="카페24고체향수유즈 솔리드퍼퓸 - 30ml (11차 예약구매 진행중)향=이그나이트 001 SOLID PERFUME, 세트 선택=1개210101"/>
  </r>
  <r>
    <x v="227"/>
    <s v="수"/>
    <m/>
    <s v="카페24"/>
    <s v="유즈 솔리드퍼퓸 - 30ml (11차 예약구매 진행중)향=스테이포에버 002 SOLID PERFUME, 세트 선택=1개"/>
    <n v="12"/>
    <s v="고체향수"/>
    <s v="스테이포에버"/>
    <n v="210101"/>
    <m/>
    <n v="408000"/>
    <n v="384132"/>
    <n v="31104"/>
    <n v="370909.0909090909"/>
    <s v="카페24고체향수유즈 솔리드퍼퓸 - 30ml (11차 예약구매 진행중)향=스테이포에버 002 SOLID PERFUME, 세트 선택=1개210101"/>
  </r>
  <r>
    <x v="227"/>
    <s v="수"/>
    <m/>
    <s v="카페24"/>
    <s v="유즈 솔리드퍼퓸 - 30ml (11차 예약구매 진행중)향=스테이포에버 002 SOLID PERFUME, 세트 선택=best"/>
    <n v="6"/>
    <s v="고체향수"/>
    <s v="스테이포에버"/>
    <n v="210101"/>
    <m/>
    <n v="204000"/>
    <n v="192066"/>
    <n v="15552"/>
    <n v="185454.5454545454"/>
    <s v="카페24고체향수유즈 솔리드퍼퓸 - 30ml (11차 예약구매 진행중)향=스테이포에버 002 SOLID PERFUME, 세트 선택=best210101"/>
  </r>
  <r>
    <x v="227"/>
    <s v="수"/>
    <m/>
    <s v="카페24"/>
    <s v="유즈 솔리드퍼퓸 - 30ml (11차 예약구매 진행중)향=스테이포에버 002 SOLID PERFUME, 세트 선택=best 2개 (28% 할인)"/>
    <n v="2"/>
    <s v="고체향수"/>
    <s v="스테이포에버 2set"/>
    <n v="210101"/>
    <m/>
    <n v="117600"/>
    <n v="110720.4"/>
    <n v="10368"/>
    <n v="106909.0909090909"/>
    <s v="카페24고체향수유즈 솔리드퍼퓸 - 30ml (11차 예약구매 진행중)향=스테이포에버 002 SOLID PERFUME, 세트 선택=best 2개 (28% 할인)210101"/>
  </r>
  <r>
    <x v="227"/>
    <s v="수"/>
    <m/>
    <s v="카페24"/>
    <s v="유즈 솔리드퍼퓸 - 30ml (11차 예약구매 진행중)향=커플세트"/>
    <n v="4"/>
    <s v="고체향수"/>
    <s v="이그나이트 + 스테이포에버"/>
    <n v="210101"/>
    <m/>
    <n v="235200"/>
    <n v="221440.8"/>
    <n v="21380"/>
    <n v="213818.1818181818"/>
    <s v="카페24고체향수유즈 솔리드퍼퓸 - 30ml (11차 예약구매 진행중)향=커플세트210101"/>
  </r>
  <r>
    <x v="227"/>
    <s v="수"/>
    <m/>
    <s v="카페24"/>
    <s v="유즈 솔리드퍼퓸 - 30ml (11차 예약구매 진행중)향=커플세트(이그나이트 + 스테이포에버), 세트 선택=1 SET"/>
    <n v="7"/>
    <s v="고체향수"/>
    <s v="이그나이트 + 스테이포에버"/>
    <n v="210101"/>
    <m/>
    <n v="411600"/>
    <n v="387521.4"/>
    <n v="37415"/>
    <n v="374181.8181818182"/>
    <s v="카페24고체향수유즈 솔리드퍼퓸 - 30ml (11차 예약구매 진행중)향=커플세트(이그나이트 + 스테이포에버), 세트 선택=1 SET210101"/>
  </r>
  <r>
    <x v="227"/>
    <s v="수"/>
    <m/>
    <s v="카페24"/>
    <s v="유즈 스테이포에버 솔리드퍼퓸 002 (11차 예약구매 진행중)제품선택=스테이포에버 1개"/>
    <n v="355"/>
    <s v="고체향수"/>
    <s v="스테이포에버"/>
    <n v="210101"/>
    <m/>
    <n v="12070000"/>
    <n v="11363905"/>
    <n v="920160"/>
    <n v="10972727.27272727"/>
    <s v="카페24고체향수유즈 스테이포에버 솔리드퍼퓸 002 (11차 예약구매 진행중)제품선택=스테이포에버 1개210101"/>
  </r>
  <r>
    <x v="227"/>
    <s v="수"/>
    <m/>
    <s v="카페24"/>
    <s v="유즈 스테이포에버 솔리드퍼퓸 002 (11차 예약구매 진행중)제품선택=best"/>
    <n v="70"/>
    <s v="고체향수"/>
    <s v="스테이포에버"/>
    <n v="210101"/>
    <m/>
    <n v="2380000"/>
    <n v="2240770"/>
    <n v="181440"/>
    <n v="2163636.363636363"/>
    <s v="카페24고체향수유즈 스테이포에버 솔리드퍼퓸 002 (11차 예약구매 진행중)제품선택=best210101"/>
  </r>
  <r>
    <x v="227"/>
    <s v="수"/>
    <m/>
    <s v="카페24"/>
    <s v="유즈 스테이포에버 솔리드퍼퓸 002 (11차 예약구매 진행중)제품선택=best스테이포에버 2개[28% 할인]"/>
    <n v="116"/>
    <s v="고체향수"/>
    <s v="스테이포에버 2set"/>
    <n v="210101"/>
    <m/>
    <n v="6820800"/>
    <n v="6421783.2"/>
    <n v="601344"/>
    <n v="6200727.272727272"/>
    <s v="카페24고체향수유즈 스테이포에버 솔리드퍼퓸 002 (11차 예약구매 진행중)제품선택=best스테이포에버 2개[28% 할인]210101"/>
  </r>
  <r>
    <x v="227"/>
    <s v="수"/>
    <m/>
    <s v="카페24"/>
    <s v="유즈 스테이포에버 솔리드퍼퓸 002 (11차 예약구매 진행중)제품선택=커플추천"/>
    <n v="13"/>
    <s v="고체향수"/>
    <s v="스테이포에버"/>
    <n v="210101"/>
    <m/>
    <n v="442000"/>
    <n v="416143"/>
    <n v="33696"/>
    <n v="401818.1818181818"/>
    <s v="카페24고체향수유즈 스테이포에버 솔리드퍼퓸 002 (11차 예약구매 진행중)제품선택=커플추천210101"/>
  </r>
  <r>
    <x v="227"/>
    <s v="수"/>
    <m/>
    <s v="카페24"/>
    <s v="유즈 스테이포에버 솔리드퍼퓸 002 (11차 예약구매 진행중)제품선택=커플추천스테이포에버 + 이그나이트 세트"/>
    <n v="18"/>
    <s v="고체향수"/>
    <s v="이그나이트 + 스테이포에버"/>
    <n v="210101"/>
    <m/>
    <n v="1058400"/>
    <n v="996483.6"/>
    <n v="96210"/>
    <n v="962181.8181818181"/>
    <s v="카페24고체향수유즈 스테이포에버 솔리드퍼퓸 002 (11차 예약구매 진행중)제품선택=커플추천스테이포에버 + 이그나이트 세트210101"/>
  </r>
  <r>
    <x v="227"/>
    <s v="수"/>
    <m/>
    <s v="카페24"/>
    <s v="유즈 스테이포에버 솔리드퍼퓸 002 (11차 예약구매 진행중)쇼핑백=선물용 쇼핑백"/>
    <n v="15"/>
    <s v="고체향수"/>
    <s v="쇼핑백"/>
    <n v="210101"/>
    <m/>
    <n v="30000"/>
    <n v="28245"/>
    <n v="12450"/>
    <n v="27272.72727272727"/>
    <s v="카페24고체향수유즈 스테이포에버 솔리드퍼퓸 002 (11차 예약구매 진행중)쇼핑백=선물용 쇼핑백210101"/>
  </r>
  <r>
    <x v="227"/>
    <s v="수"/>
    <m/>
    <s v="카페24"/>
    <s v="유즈 이그나이트 솔리드퍼퓸 001제품선택=이그나이트 솔리드퍼퓸 - 30ml"/>
    <n v="6"/>
    <s v="고체향수"/>
    <s v="이그나이트"/>
    <n v="210101"/>
    <m/>
    <n v="228000"/>
    <n v="214662"/>
    <n v="16518"/>
    <n v="207272.7272727273"/>
    <s v="카페24고체향수유즈 이그나이트 솔리드퍼퓸 001제품선택=이그나이트 솔리드퍼퓸 - 30ml210101"/>
  </r>
  <r>
    <x v="227"/>
    <s v="수"/>
    <m/>
    <s v="카페24"/>
    <s v="유즈 이그나이트 솔리드퍼퓸 001제품선택=이그나이트 2개 세트"/>
    <n v="1"/>
    <s v="고체향수"/>
    <s v="이그나이트 2set"/>
    <n v="210101"/>
    <m/>
    <n v="58800"/>
    <n v="55360.2"/>
    <n v="5506"/>
    <n v="53454.54545454545"/>
    <s v="카페24고체향수유즈 이그나이트 솔리드퍼퓸 001제품선택=이그나이트 2개 세트210101"/>
  </r>
  <r>
    <x v="227"/>
    <s v="수"/>
    <m/>
    <s v="카페24"/>
    <s v="유즈 이그나이트 솔리드퍼퓸 001쇼핑백=선물용 쇼핑백"/>
    <n v="1"/>
    <s v="쇼핑백"/>
    <s v="쇼핑백"/>
    <n v="210101"/>
    <m/>
    <n v="2000"/>
    <n v="1883"/>
    <n v="830"/>
    <n v="1818.181818181818"/>
    <s v="카페24쇼핑백유즈 이그나이트 솔리드퍼퓸 001쇼핑백=선물용 쇼핑백210101"/>
  </r>
  <r>
    <x v="228"/>
    <s v="목"/>
    <m/>
    <s v="유즈 CS"/>
    <s v="솔리드퍼퓸 스테이포에버 002 30ml"/>
    <n v="2"/>
    <s v="고체향수"/>
    <s v="스테이포에버"/>
    <n v="210101"/>
    <m/>
    <n v="0"/>
    <n v="0"/>
    <n v="5184"/>
    <n v="0"/>
    <s v="유즈 CS고체향수솔리드퍼퓸 스테이포에버 002 30ml210101"/>
  </r>
  <r>
    <x v="228"/>
    <s v="목"/>
    <m/>
    <s v="카페24"/>
    <s v="유즈 솔리드퍼퓸 - 30ml (11차 예약구매 진행중)향=이그나이트 001 SOLID PERFUME, 세트 선택=best"/>
    <n v="1"/>
    <s v="고체향수"/>
    <s v="이그나이트"/>
    <n v="210101"/>
    <m/>
    <n v="34000"/>
    <n v="32011"/>
    <n v="2753"/>
    <n v="30909.09090909091"/>
    <s v="카페24고체향수유즈 솔리드퍼퓸 - 30ml (11차 예약구매 진행중)향=이그나이트 001 SOLID PERFUME, 세트 선택=best210101"/>
  </r>
  <r>
    <x v="228"/>
    <s v="목"/>
    <m/>
    <s v="카페24"/>
    <s v="유즈 솔리드퍼퓸 - 30ml (11차 예약구매 진행중)향=스테이포에버 002 SOLID PERFUME, 세트 선택=1개"/>
    <n v="10"/>
    <s v="고체향수"/>
    <s v="스테이포에버"/>
    <n v="210101"/>
    <m/>
    <n v="340000"/>
    <n v="320110"/>
    <n v="25920"/>
    <n v="309090.9090909091"/>
    <s v="카페24고체향수유즈 솔리드퍼퓸 - 30ml (11차 예약구매 진행중)향=스테이포에버 002 SOLID PERFUME, 세트 선택=1개210101"/>
  </r>
  <r>
    <x v="228"/>
    <s v="목"/>
    <m/>
    <s v="카페24"/>
    <s v="유즈 솔리드퍼퓸 - 30ml (11차 예약구매 진행중)향=스테이포에버 002 SOLID PERFUME, 세트 선택=best"/>
    <n v="4"/>
    <s v="고체향수"/>
    <s v="스테이포에버"/>
    <n v="210101"/>
    <m/>
    <n v="136000"/>
    <n v="128044"/>
    <n v="10368"/>
    <n v="123636.3636363636"/>
    <s v="카페24고체향수유즈 솔리드퍼퓸 - 30ml (11차 예약구매 진행중)향=스테이포에버 002 SOLID PERFUME, 세트 선택=best210101"/>
  </r>
  <r>
    <x v="228"/>
    <s v="목"/>
    <m/>
    <s v="카페24"/>
    <s v="유즈 솔리드퍼퓸 - 30ml (11차 예약구매 진행중)향=스테이포에버 002 SOLID PERFUME, 세트 선택=best 2개 (28% 할인)"/>
    <n v="1"/>
    <s v="고체향수"/>
    <s v="스테이포에버 2set"/>
    <n v="210101"/>
    <m/>
    <n v="58800"/>
    <n v="55360.2"/>
    <n v="5184"/>
    <n v="53454.54545454545"/>
    <s v="카페24고체향수유즈 솔리드퍼퓸 - 30ml (11차 예약구매 진행중)향=스테이포에버 002 SOLID PERFUME, 세트 선택=best 2개 (28% 할인)210101"/>
  </r>
  <r>
    <x v="228"/>
    <s v="목"/>
    <m/>
    <s v="카페24"/>
    <s v="유즈 솔리드퍼퓸 - 30ml (11차 예약구매 진행중)향=커플세트"/>
    <n v="3"/>
    <s v="고체향수"/>
    <s v="이그나이트 + 스테이포에버"/>
    <n v="210101"/>
    <m/>
    <n v="176400"/>
    <n v="166080.6"/>
    <n v="16035"/>
    <n v="160363.6363636364"/>
    <s v="카페24고체향수유즈 솔리드퍼퓸 - 30ml (11차 예약구매 진행중)향=커플세트210101"/>
  </r>
  <r>
    <x v="228"/>
    <s v="목"/>
    <m/>
    <s v="카페24"/>
    <s v="유즈 솔리드퍼퓸 - 30ml (11차 예약구매 진행중)향=커플세트(이그나이트 + 스테이포에버), 세트 선택=1 SET"/>
    <n v="4"/>
    <s v="고체향수"/>
    <s v="이그나이트 + 스테이포에버"/>
    <n v="210101"/>
    <m/>
    <n v="235200"/>
    <n v="221440.8"/>
    <n v="21380"/>
    <n v="213818.1818181818"/>
    <s v="카페24고체향수유즈 솔리드퍼퓸 - 30ml (11차 예약구매 진행중)향=커플세트(이그나이트 + 스테이포에버), 세트 선택=1 SET210101"/>
  </r>
  <r>
    <x v="228"/>
    <s v="목"/>
    <m/>
    <s v="카페24"/>
    <s v="유즈 스테이포에버 솔리드퍼퓸 002 (11차 예약구매 진행중)제품선택=스테이포에버 1개"/>
    <n v="351"/>
    <s v="고체향수"/>
    <s v="스테이포에버"/>
    <n v="210101"/>
    <m/>
    <n v="11934000"/>
    <n v="11235861"/>
    <n v="909792"/>
    <n v="10849090.90909091"/>
    <s v="카페24고체향수유즈 스테이포에버 솔리드퍼퓸 002 (11차 예약구매 진행중)제품선택=스테이포에버 1개210101"/>
  </r>
  <r>
    <x v="228"/>
    <s v="목"/>
    <m/>
    <s v="카페24"/>
    <s v="유즈 스테이포에버 솔리드퍼퓸 002 (11차 예약구매 진행중)제품선택=best"/>
    <n v="82"/>
    <s v="고체향수"/>
    <s v="스테이포에버"/>
    <n v="210101"/>
    <m/>
    <n v="2788000"/>
    <n v="2624902"/>
    <n v="212544"/>
    <n v="2534545.454545454"/>
    <s v="카페24고체향수유즈 스테이포에버 솔리드퍼퓸 002 (11차 예약구매 진행중)제품선택=best210101"/>
  </r>
  <r>
    <x v="228"/>
    <s v="목"/>
    <m/>
    <s v="카페24"/>
    <s v="유즈 스테이포에버 솔리드퍼퓸 002 (11차 예약구매 진행중)제품선택=best스테이포에버 2개[28% 할인]"/>
    <n v="115"/>
    <s v="고체향수"/>
    <s v="스테이포에버 2set"/>
    <n v="210101"/>
    <m/>
    <n v="6762000"/>
    <n v="6366423"/>
    <n v="596160"/>
    <n v="6147272.727272727"/>
    <s v="카페24고체향수유즈 스테이포에버 솔리드퍼퓸 002 (11차 예약구매 진행중)제품선택=best스테이포에버 2개[28% 할인]210101"/>
  </r>
  <r>
    <x v="228"/>
    <s v="목"/>
    <m/>
    <s v="카페24"/>
    <s v="유즈 스테이포에버 솔리드퍼퓸 002 (11차 예약구매 진행중)제품선택=커플추천"/>
    <n v="7"/>
    <s v="고체향수"/>
    <s v="스테이포에버"/>
    <n v="210101"/>
    <m/>
    <n v="238000"/>
    <n v="224077"/>
    <n v="18144"/>
    <n v="216363.6363636364"/>
    <s v="카페24고체향수유즈 스테이포에버 솔리드퍼퓸 002 (11차 예약구매 진행중)제품선택=커플추천210101"/>
  </r>
  <r>
    <x v="228"/>
    <s v="목"/>
    <m/>
    <s v="카페24"/>
    <s v="유즈 스테이포에버 솔리드퍼퓸 002 (11차 예약구매 진행중)제품선택=커플추천스테이포에버 + 이그나이트 세트"/>
    <n v="17"/>
    <s v="고체향수"/>
    <s v="이그나이트 + 스테이포에버"/>
    <n v="210101"/>
    <m/>
    <n v="999600"/>
    <n v="941123.4"/>
    <n v="90865"/>
    <n v="908727.2727272727"/>
    <s v="카페24고체향수유즈 스테이포에버 솔리드퍼퓸 002 (11차 예약구매 진행중)제품선택=커플추천스테이포에버 + 이그나이트 세트210101"/>
  </r>
  <r>
    <x v="228"/>
    <s v="목"/>
    <m/>
    <s v="카페24"/>
    <s v="유즈 스테이포에버 솔리드퍼퓸 002 (11차 예약구매 진행중)쇼핑백=선물용 쇼핑백"/>
    <n v="9"/>
    <s v="고체향수"/>
    <s v="쇼핑백"/>
    <n v="210101"/>
    <m/>
    <n v="18000"/>
    <n v="16947"/>
    <n v="7470"/>
    <n v="16363.63636363636"/>
    <s v="카페24고체향수유즈 스테이포에버 솔리드퍼퓸 002 (11차 예약구매 진행중)쇼핑백=선물용 쇼핑백210101"/>
  </r>
  <r>
    <x v="228"/>
    <s v="목"/>
    <m/>
    <s v="카페24"/>
    <s v="유즈 이그나이트 솔리드퍼퓸 001제품선택=이그나이트 솔리드퍼퓸 - 30ml"/>
    <n v="5"/>
    <s v="고체향수"/>
    <s v="이그나이트"/>
    <n v="210101"/>
    <m/>
    <n v="190000"/>
    <n v="178885"/>
    <n v="13765"/>
    <n v="172727.2727272727"/>
    <s v="카페24고체향수유즈 이그나이트 솔리드퍼퓸 001제품선택=이그나이트 솔리드퍼퓸 - 30ml210101"/>
  </r>
  <r>
    <x v="229"/>
    <s v="금"/>
    <m/>
    <s v="카페24"/>
    <s v="유즈 솔리드퍼퓸 - 30ml (11차 예약구매 진행중)향=이그나이트 001 SOLID PERFUME, 세트 선택=1개"/>
    <n v="2"/>
    <s v="고체향수"/>
    <s v="이그나이트"/>
    <n v="210101"/>
    <m/>
    <n v="68000"/>
    <n v="64022"/>
    <n v="5506"/>
    <n v="61818.18181818182"/>
    <s v="카페24고체향수유즈 솔리드퍼퓸 - 30ml (11차 예약구매 진행중)향=이그나이트 001 SOLID PERFUME, 세트 선택=1개210101"/>
  </r>
  <r>
    <x v="229"/>
    <s v="금"/>
    <m/>
    <s v="카페24"/>
    <s v="유즈 솔리드퍼퓸 - 30ml (11차 예약구매 진행중)향=스테이포에버 002 SOLID PERFUME, 세트 선택=1개"/>
    <n v="16"/>
    <s v="고체향수"/>
    <s v="스테이포에버"/>
    <n v="210101"/>
    <m/>
    <n v="544000"/>
    <n v="512176"/>
    <n v="41472"/>
    <n v="494545.4545454545"/>
    <s v="카페24고체향수유즈 솔리드퍼퓸 - 30ml (11차 예약구매 진행중)향=스테이포에버 002 SOLID PERFUME, 세트 선택=1개210101"/>
  </r>
  <r>
    <x v="229"/>
    <s v="금"/>
    <m/>
    <s v="카페24"/>
    <s v="유즈 솔리드퍼퓸 - 30ml (11차 예약구매 진행중)향=스테이포에버 002 SOLID PERFUME, 세트 선택=best"/>
    <n v="5"/>
    <s v="고체향수"/>
    <s v="스테이포에버"/>
    <n v="210101"/>
    <m/>
    <n v="170000"/>
    <n v="160055"/>
    <n v="12960"/>
    <n v="154545.4545454545"/>
    <s v="카페24고체향수유즈 솔리드퍼퓸 - 30ml (11차 예약구매 진행중)향=스테이포에버 002 SOLID PERFUME, 세트 선택=best210101"/>
  </r>
  <r>
    <x v="229"/>
    <s v="금"/>
    <m/>
    <s v="카페24"/>
    <s v="유즈 솔리드퍼퓸 - 30ml (11차 예약구매 진행중)향=스테이포에버 002 SOLID PERFUME, 세트 선택=best 2개 (28% 할인)"/>
    <n v="4"/>
    <s v="고체향수"/>
    <s v="스테이포에버 2set"/>
    <n v="210101"/>
    <m/>
    <n v="235200"/>
    <n v="221440.8"/>
    <n v="20736"/>
    <n v="213818.1818181818"/>
    <s v="카페24고체향수유즈 솔리드퍼퓸 - 30ml (11차 예약구매 진행중)향=스테이포에버 002 SOLID PERFUME, 세트 선택=best 2개 (28% 할인)210101"/>
  </r>
  <r>
    <x v="229"/>
    <s v="금"/>
    <m/>
    <s v="카페24"/>
    <s v="유즈 솔리드퍼퓸 - 30ml (11차 예약구매 진행중)향=커플세트"/>
    <n v="8"/>
    <s v="고체향수"/>
    <s v="이그나이트 + 스테이포에버"/>
    <n v="210101"/>
    <m/>
    <n v="470400"/>
    <n v="442881.6"/>
    <n v="42760"/>
    <n v="427636.3636363636"/>
    <s v="카페24고체향수유즈 솔리드퍼퓸 - 30ml (11차 예약구매 진행중)향=커플세트210101"/>
  </r>
  <r>
    <x v="229"/>
    <s v="금"/>
    <m/>
    <s v="카페24"/>
    <s v="유즈 솔리드퍼퓸 - 30ml (11차 예약구매 진행중)향=커플세트(이그나이트 + 스테이포에버), 세트 선택=1 SET"/>
    <n v="5"/>
    <s v="고체향수"/>
    <s v="이그나이트 + 스테이포에버"/>
    <n v="210101"/>
    <m/>
    <n v="294000"/>
    <n v="276801"/>
    <n v="26725"/>
    <n v="267272.7272727272"/>
    <s v="카페24고체향수유즈 솔리드퍼퓸 - 30ml (11차 예약구매 진행중)향=커플세트(이그나이트 + 스테이포에버), 세트 선택=1 SET210101"/>
  </r>
  <r>
    <x v="229"/>
    <s v="금"/>
    <m/>
    <s v="카페24"/>
    <s v="유즈 스테이포에버 솔리드퍼퓸 002 (11차 예약구매 진행중)제품선택=스테이포에버 1개"/>
    <n v="294"/>
    <s v="고체향수"/>
    <s v="스테이포에버"/>
    <n v="210101"/>
    <m/>
    <n v="9996000"/>
    <n v="9411234"/>
    <n v="762048"/>
    <n v="9087272.727272727"/>
    <s v="카페24고체향수유즈 스테이포에버 솔리드퍼퓸 002 (11차 예약구매 진행중)제품선택=스테이포에버 1개210101"/>
  </r>
  <r>
    <x v="229"/>
    <s v="금"/>
    <m/>
    <s v="카페24"/>
    <s v="유즈 스테이포에버 솔리드퍼퓸 002 (11차 예약구매 진행중)제품선택=best"/>
    <n v="68"/>
    <s v="고체향수"/>
    <s v="스테이포에버"/>
    <n v="210101"/>
    <m/>
    <n v="2312000"/>
    <n v="2176748"/>
    <n v="176256"/>
    <n v="2101818.181818182"/>
    <s v="카페24고체향수유즈 스테이포에버 솔리드퍼퓸 002 (11차 예약구매 진행중)제품선택=best210101"/>
  </r>
  <r>
    <x v="229"/>
    <s v="금"/>
    <m/>
    <s v="카페24"/>
    <s v="유즈 스테이포에버 솔리드퍼퓸 002 (11차 예약구매 진행중)제품선택=best스테이포에버 2개[28% 할인]"/>
    <n v="92"/>
    <s v="고체향수"/>
    <s v="스테이포에버 2set"/>
    <n v="210101"/>
    <m/>
    <n v="5409600"/>
    <n v="5093138.4"/>
    <n v="476928"/>
    <n v="4917818.181818182"/>
    <s v="카페24고체향수유즈 스테이포에버 솔리드퍼퓸 002 (11차 예약구매 진행중)제품선택=best스테이포에버 2개[28% 할인]210101"/>
  </r>
  <r>
    <x v="229"/>
    <s v="금"/>
    <m/>
    <s v="카페24"/>
    <s v="유즈 스테이포에버 솔리드퍼퓸 002 (11차 예약구매 진행중)제품선택=커플추천"/>
    <n v="6"/>
    <s v="고체향수"/>
    <s v="스테이포에버"/>
    <n v="210101"/>
    <m/>
    <n v="204000"/>
    <n v="192066"/>
    <n v="15552"/>
    <n v="185454.5454545454"/>
    <s v="카페24고체향수유즈 스테이포에버 솔리드퍼퓸 002 (11차 예약구매 진행중)제품선택=커플추천210101"/>
  </r>
  <r>
    <x v="229"/>
    <s v="금"/>
    <m/>
    <s v="카페24"/>
    <s v="유즈 스테이포에버 솔리드퍼퓸 002 (11차 예약구매 진행중)제품선택=커플추천스테이포에버 + 이그나이트 세트"/>
    <n v="10"/>
    <s v="고체향수"/>
    <s v="이그나이트 + 스테이포에버"/>
    <n v="210101"/>
    <m/>
    <n v="588000"/>
    <n v="553602"/>
    <n v="53450"/>
    <n v="534545.4545454545"/>
    <s v="카페24고체향수유즈 스테이포에버 솔리드퍼퓸 002 (11차 예약구매 진행중)제품선택=커플추천스테이포에버 + 이그나이트 세트210101"/>
  </r>
  <r>
    <x v="229"/>
    <s v="금"/>
    <m/>
    <s v="카페24"/>
    <s v="유즈 스테이포에버 솔리드퍼퓸 002 (11차 예약구매 진행중)쇼핑백=선물용 쇼핑백"/>
    <n v="11"/>
    <s v="고체향수"/>
    <s v="쇼핑백"/>
    <n v="210101"/>
    <m/>
    <n v="22000"/>
    <n v="20713"/>
    <n v="9130"/>
    <n v="20000"/>
    <s v="카페24고체향수유즈 스테이포에버 솔리드퍼퓸 002 (11차 예약구매 진행중)쇼핑백=선물용 쇼핑백210101"/>
  </r>
  <r>
    <x v="229"/>
    <s v="금"/>
    <m/>
    <s v="카페24"/>
    <s v="유즈 이그나이트 솔리드퍼퓸 001제품선택=이그나이트 솔리드퍼퓸 - 30ml"/>
    <n v="6"/>
    <s v="고체향수"/>
    <s v="이그나이트"/>
    <n v="210101"/>
    <m/>
    <n v="228000"/>
    <n v="214662"/>
    <n v="16518"/>
    <n v="207272.7272727273"/>
    <s v="카페24고체향수유즈 이그나이트 솔리드퍼퓸 001제품선택=이그나이트 솔리드퍼퓸 - 30ml210101"/>
  </r>
  <r>
    <x v="229"/>
    <s v="금"/>
    <m/>
    <s v="카페24"/>
    <s v="유즈 이그나이트 솔리드퍼퓸 001제품선택=이그나이트 2개 세트"/>
    <n v="1"/>
    <s v="고체향수"/>
    <s v="이그나이트 2set"/>
    <n v="210101"/>
    <m/>
    <n v="58800"/>
    <n v="55360.2"/>
    <n v="5506"/>
    <n v="53454.54545454545"/>
    <s v="카페24고체향수유즈 이그나이트 솔리드퍼퓸 001제품선택=이그나이트 2개 세트210101"/>
  </r>
  <r>
    <x v="229"/>
    <s v="금"/>
    <m/>
    <s v="카페24"/>
    <s v="유즈 이그나이트 솔리드퍼퓸 001쇼핑백=선물용 쇼핑백"/>
    <n v="1"/>
    <s v="쇼핑백"/>
    <s v="쇼핑백"/>
    <n v="210101"/>
    <m/>
    <n v="2000"/>
    <n v="1883"/>
    <n v="830"/>
    <n v="1818.181818181818"/>
    <s v="카페24쇼핑백유즈 이그나이트 솔리드퍼퓸 001쇼핑백=선물용 쇼핑백210101"/>
  </r>
  <r>
    <x v="230"/>
    <s v="토"/>
    <m/>
    <s v="카페24"/>
    <s v="유즈 솔리드퍼퓸 - 30ml (11차 예약구매 진행중)향=이그나이트 001 SOLID PERFUME, 세트 선택=1개"/>
    <n v="1"/>
    <s v="고체향수"/>
    <s v="이그나이트"/>
    <n v="210101"/>
    <m/>
    <n v="34000"/>
    <n v="32011"/>
    <n v="2753"/>
    <n v="30909.09090909091"/>
    <s v="카페24고체향수유즈 솔리드퍼퓸 - 30ml (11차 예약구매 진행중)향=이그나이트 001 SOLID PERFUME, 세트 선택=1개210101"/>
  </r>
  <r>
    <x v="230"/>
    <s v="토"/>
    <m/>
    <s v="카페24"/>
    <s v="유즈 솔리드퍼퓸 - 30ml (11차 예약구매 진행중)향=스테이포에버 002 SOLID PERFUME, 세트 선택=1개"/>
    <n v="20"/>
    <s v="고체향수"/>
    <s v="스테이포에버"/>
    <n v="210101"/>
    <m/>
    <n v="680000"/>
    <n v="640220"/>
    <n v="51840"/>
    <n v="618181.8181818181"/>
    <s v="카페24고체향수유즈 솔리드퍼퓸 - 30ml (11차 예약구매 진행중)향=스테이포에버 002 SOLID PERFUME, 세트 선택=1개210101"/>
  </r>
  <r>
    <x v="230"/>
    <s v="토"/>
    <m/>
    <s v="카페24"/>
    <s v="유즈 솔리드퍼퓸 - 30ml (11차 예약구매 진행중)향=스테이포에버 002 SOLID PERFUME, 세트 선택=best"/>
    <n v="4"/>
    <s v="고체향수"/>
    <s v="스테이포에버"/>
    <n v="210101"/>
    <m/>
    <n v="136000"/>
    <n v="128044"/>
    <n v="10368"/>
    <n v="123636.3636363636"/>
    <s v="카페24고체향수유즈 솔리드퍼퓸 - 30ml (11차 예약구매 진행중)향=스테이포에버 002 SOLID PERFUME, 세트 선택=best210101"/>
  </r>
  <r>
    <x v="230"/>
    <s v="토"/>
    <m/>
    <s v="카페24"/>
    <s v="유즈 솔리드퍼퓸 - 30ml (11차 예약구매 진행중)향=스테이포에버 002 SOLID PERFUME, 세트 선택=best 2개 (28% 할인)"/>
    <n v="3"/>
    <s v="고체향수"/>
    <s v="스테이포에버 2set"/>
    <n v="210101"/>
    <m/>
    <n v="176400"/>
    <n v="166080.6"/>
    <n v="15552"/>
    <n v="160363.6363636364"/>
    <s v="카페24고체향수유즈 솔리드퍼퓸 - 30ml (11차 예약구매 진행중)향=스테이포에버 002 SOLID PERFUME, 세트 선택=best 2개 (28% 할인)210101"/>
  </r>
  <r>
    <x v="230"/>
    <s v="토"/>
    <m/>
    <s v="카페24"/>
    <s v="유즈 솔리드퍼퓸 - 30ml (11차 예약구매 진행중)향=커플세트"/>
    <n v="5"/>
    <s v="고체향수"/>
    <s v="이그나이트 + 스테이포에버"/>
    <n v="210101"/>
    <m/>
    <n v="294000"/>
    <n v="276801"/>
    <n v="26725"/>
    <n v="267272.7272727272"/>
    <s v="카페24고체향수유즈 솔리드퍼퓸 - 30ml (11차 예약구매 진행중)향=커플세트210101"/>
  </r>
  <r>
    <x v="230"/>
    <s v="토"/>
    <m/>
    <s v="카페24"/>
    <s v="유즈 솔리드퍼퓸 - 30ml (11차 예약구매 진행중)향=커플세트(이그나이트 + 스테이포에버), 세트 선택=1 SET"/>
    <n v="2"/>
    <s v="고체향수"/>
    <s v="이그나이트 + 스테이포에버"/>
    <n v="210101"/>
    <m/>
    <n v="117600"/>
    <n v="110720.4"/>
    <n v="10690"/>
    <n v="106909.0909090909"/>
    <s v="카페24고체향수유즈 솔리드퍼퓸 - 30ml (11차 예약구매 진행중)향=커플세트(이그나이트 + 스테이포에버), 세트 선택=1 SET210101"/>
  </r>
  <r>
    <x v="230"/>
    <s v="토"/>
    <m/>
    <s v="카페24"/>
    <s v="유즈 스테이포에버 솔리드퍼퓸 002 (11차 예약구매 진행중)제품선택=스테이포에버 1개"/>
    <n v="406"/>
    <s v="고체향수"/>
    <s v="스테이포에버"/>
    <n v="210101"/>
    <m/>
    <n v="13804000"/>
    <n v="12996466"/>
    <n v="1052352"/>
    <n v="12549090.90909091"/>
    <s v="카페24고체향수유즈 스테이포에버 솔리드퍼퓸 002 (11차 예약구매 진행중)제품선택=스테이포에버 1개210101"/>
  </r>
  <r>
    <x v="230"/>
    <s v="토"/>
    <m/>
    <s v="카페24"/>
    <s v="유즈 스테이포에버 솔리드퍼퓸 002 (11차 예약구매 진행중)제품선택=best"/>
    <n v="97"/>
    <s v="고체향수"/>
    <s v="스테이포에버"/>
    <n v="210101"/>
    <m/>
    <n v="3298000"/>
    <n v="3105067"/>
    <n v="251424"/>
    <n v="2998181.818181818"/>
    <s v="카페24고체향수유즈 스테이포에버 솔리드퍼퓸 002 (11차 예약구매 진행중)제품선택=best210101"/>
  </r>
  <r>
    <x v="230"/>
    <s v="토"/>
    <m/>
    <s v="카페24"/>
    <s v="유즈 스테이포에버 솔리드퍼퓸 002 (11차 예약구매 진행중)제품선택=best스테이포에버 2개[28% 할인]"/>
    <n v="129"/>
    <s v="고체향수"/>
    <s v="스테이포에버 2set"/>
    <n v="210101"/>
    <m/>
    <n v="7585200"/>
    <n v="7141465.8"/>
    <n v="668736"/>
    <n v="6895636.363636363"/>
    <s v="카페24고체향수유즈 스테이포에버 솔리드퍼퓸 002 (11차 예약구매 진행중)제품선택=best스테이포에버 2개[28% 할인]210101"/>
  </r>
  <r>
    <x v="230"/>
    <s v="토"/>
    <m/>
    <s v="카페24"/>
    <s v="유즈 스테이포에버 솔리드퍼퓸 002 (11차 예약구매 진행중)제품선택=커플추천"/>
    <n v="10"/>
    <s v="고체향수"/>
    <s v="스테이포에버"/>
    <n v="210101"/>
    <m/>
    <n v="340000"/>
    <n v="320110"/>
    <n v="25920"/>
    <n v="309090.9090909091"/>
    <s v="카페24고체향수유즈 스테이포에버 솔리드퍼퓸 002 (11차 예약구매 진행중)제품선택=커플추천210101"/>
  </r>
  <r>
    <x v="230"/>
    <s v="토"/>
    <m/>
    <s v="카페24"/>
    <s v="유즈 스테이포에버 솔리드퍼퓸 002 (11차 예약구매 진행중)제품선택=커플추천스테이포에버 + 이그나이트 세트"/>
    <n v="16"/>
    <s v="고체향수"/>
    <s v="이그나이트 + 스테이포에버"/>
    <n v="210101"/>
    <m/>
    <n v="940800"/>
    <n v="885763.2"/>
    <n v="85520"/>
    <n v="855272.7272727272"/>
    <s v="카페24고체향수유즈 스테이포에버 솔리드퍼퓸 002 (11차 예약구매 진행중)제품선택=커플추천스테이포에버 + 이그나이트 세트210101"/>
  </r>
  <r>
    <x v="230"/>
    <s v="토"/>
    <m/>
    <s v="카페24"/>
    <s v="유즈 스테이포에버 솔리드퍼퓸 002 (11차 예약구매 진행중)쇼핑백=선물용 쇼핑백"/>
    <n v="23"/>
    <s v="고체향수"/>
    <s v="쇼핑백"/>
    <n v="210101"/>
    <m/>
    <n v="46000"/>
    <n v="43309"/>
    <n v="19090"/>
    <n v="41818.18181818182"/>
    <s v="카페24고체향수유즈 스테이포에버 솔리드퍼퓸 002 (11차 예약구매 진행중)쇼핑백=선물용 쇼핑백210101"/>
  </r>
  <r>
    <x v="230"/>
    <s v="토"/>
    <m/>
    <s v="카페24"/>
    <s v="유즈 이그나이트 솔리드퍼퓸 001제품선택=이그나이트 솔리드퍼퓸 - 30ml"/>
    <n v="4"/>
    <s v="고체향수"/>
    <s v="이그나이트"/>
    <n v="210101"/>
    <m/>
    <n v="152000"/>
    <n v="143108"/>
    <n v="11012"/>
    <n v="138181.8181818182"/>
    <s v="카페24고체향수유즈 이그나이트 솔리드퍼퓸 001제품선택=이그나이트 솔리드퍼퓸 - 30ml210101"/>
  </r>
  <r>
    <x v="230"/>
    <s v="토"/>
    <m/>
    <s v="카페24"/>
    <s v="유즈 이그나이트 솔리드퍼퓸 001제품선택=이그나이트 2개 세트"/>
    <n v="2"/>
    <s v="고체향수"/>
    <s v="이그나이트 2set"/>
    <n v="210101"/>
    <m/>
    <n v="117600"/>
    <n v="110720.4"/>
    <n v="11012"/>
    <n v="106909.0909090909"/>
    <s v="카페24고체향수유즈 이그나이트 솔리드퍼퓸 001제품선택=이그나이트 2개 세트210101"/>
  </r>
  <r>
    <x v="231"/>
    <s v="일"/>
    <m/>
    <s v="카페24"/>
    <s v="SHOPPING BAG"/>
    <n v="2"/>
    <s v="쇼핑백"/>
    <s v="쇼핑백"/>
    <n v="210101"/>
    <m/>
    <n v="4000"/>
    <n v="3766"/>
    <n v="1660"/>
    <n v="3636.363636363636"/>
    <s v="카페24쇼핑백SHOPPING BAG210101"/>
  </r>
  <r>
    <x v="231"/>
    <s v="일"/>
    <m/>
    <s v="카페24"/>
    <s v="유즈 솔리드퍼퓸 - 30ml (11차 예약구매 진행중)향=이그나이트 001 SOLID PERFUME, 세트 선택=1개"/>
    <n v="2"/>
    <s v="고체향수"/>
    <s v="이그나이트"/>
    <n v="210101"/>
    <m/>
    <n v="68000"/>
    <n v="64022"/>
    <n v="5506"/>
    <n v="61818.18181818182"/>
    <s v="카페24고체향수유즈 솔리드퍼퓸 - 30ml (11차 예약구매 진행중)향=이그나이트 001 SOLID PERFUME, 세트 선택=1개210101"/>
  </r>
  <r>
    <x v="231"/>
    <s v="일"/>
    <m/>
    <s v="카페24"/>
    <s v="유즈 솔리드퍼퓸 - 30ml (11차 예약구매 진행중)향=스테이포에버 002 SOLID PERFUME, 세트 선택=1개"/>
    <n v="10"/>
    <s v="고체향수"/>
    <s v="스테이포에버"/>
    <n v="210101"/>
    <m/>
    <n v="340000"/>
    <n v="320110"/>
    <n v="25920"/>
    <n v="309090.9090909091"/>
    <s v="카페24고체향수유즈 솔리드퍼퓸 - 30ml (11차 예약구매 진행중)향=스테이포에버 002 SOLID PERFUME, 세트 선택=1개210101"/>
  </r>
  <r>
    <x v="231"/>
    <s v="일"/>
    <m/>
    <s v="카페24"/>
    <s v="유즈 솔리드퍼퓸 - 30ml (11차 예약구매 진행중)향=스테이포에버 002 SOLID PERFUME, 세트 선택=best"/>
    <n v="7"/>
    <s v="고체향수"/>
    <s v="스테이포에버"/>
    <n v="210101"/>
    <m/>
    <n v="238000"/>
    <n v="224077"/>
    <n v="18144"/>
    <n v="216363.6363636364"/>
    <s v="카페24고체향수유즈 솔리드퍼퓸 - 30ml (11차 예약구매 진행중)향=스테이포에버 002 SOLID PERFUME, 세트 선택=best210101"/>
  </r>
  <r>
    <x v="231"/>
    <s v="일"/>
    <m/>
    <s v="카페24"/>
    <s v="유즈 솔리드퍼퓸 - 30ml (11차 예약구매 진행중)향=스테이포에버 002 SOLID PERFUME, 세트 선택=best 2개 (28% 할인)"/>
    <n v="5"/>
    <s v="고체향수"/>
    <s v="스테이포에버 2set"/>
    <n v="210101"/>
    <m/>
    <n v="294000"/>
    <n v="276801"/>
    <n v="25920"/>
    <n v="267272.7272727272"/>
    <s v="카페24고체향수유즈 솔리드퍼퓸 - 30ml (11차 예약구매 진행중)향=스테이포에버 002 SOLID PERFUME, 세트 선택=best 2개 (28% 할인)210101"/>
  </r>
  <r>
    <x v="231"/>
    <s v="일"/>
    <m/>
    <s v="카페24"/>
    <s v="유즈 솔리드퍼퓸 - 30ml (11차 예약구매 진행중)향=커플세트"/>
    <n v="6"/>
    <s v="고체향수"/>
    <s v="이그나이트 + 스테이포에버"/>
    <n v="210101"/>
    <m/>
    <n v="352800"/>
    <n v="332161.2"/>
    <n v="32070"/>
    <n v="320727.2727272727"/>
    <s v="카페24고체향수유즈 솔리드퍼퓸 - 30ml (11차 예약구매 진행중)향=커플세트210101"/>
  </r>
  <r>
    <x v="231"/>
    <s v="일"/>
    <m/>
    <s v="카페24"/>
    <s v="유즈 솔리드퍼퓸 - 30ml (11차 예약구매 진행중)향=커플세트(이그나이트 + 스테이포에버), 세트 선택=1 SET"/>
    <n v="3"/>
    <s v="고체향수"/>
    <s v="이그나이트 + 스테이포에버"/>
    <n v="210101"/>
    <m/>
    <n v="176400"/>
    <n v="166080.6"/>
    <n v="16035"/>
    <n v="160363.6363636364"/>
    <s v="카페24고체향수유즈 솔리드퍼퓸 - 30ml (11차 예약구매 진행중)향=커플세트(이그나이트 + 스테이포에버), 세트 선택=1 SET210101"/>
  </r>
  <r>
    <x v="231"/>
    <s v="일"/>
    <m/>
    <s v="카페24"/>
    <s v="유즈 솔리드퍼퓸 - 30ml (11차 예약구매 진행중)향=커플세트"/>
    <n v="3"/>
    <s v="고체향수"/>
    <s v="이그나이트 + 스테이포에버"/>
    <n v="210101"/>
    <m/>
    <n v="176400"/>
    <n v="166080.6"/>
    <n v="16035"/>
    <n v="160363.6363636364"/>
    <s v="카페24고체향수유즈 솔리드퍼퓸 - 30ml (11차 예약구매 진행중)향=커플세트210101"/>
  </r>
  <r>
    <x v="231"/>
    <s v="일"/>
    <m/>
    <s v="카페24"/>
    <s v="유즈 솔리드퍼퓸 - 30ml (11차 예약구매 진행중)향=커플세트(이그나이트 + 스테이포에버), 세트 선택=2 SET (42% 할인)"/>
    <n v="1"/>
    <s v="고체향수"/>
    <s v="이그나이트 + 스테이포에버"/>
    <n v="210101"/>
    <m/>
    <n v="58800"/>
    <n v="55360.2"/>
    <n v="5345"/>
    <n v="53454.54545454545"/>
    <s v="카페24고체향수유즈 솔리드퍼퓸 - 30ml (11차 예약구매 진행중)향=커플세트(이그나이트 + 스테이포에버), 세트 선택=2 SET (42% 할인)210101"/>
  </r>
  <r>
    <x v="231"/>
    <s v="일"/>
    <m/>
    <s v="카페24"/>
    <s v="유즈 스테이포에버 솔리드퍼퓸 002 (11차 예약구매 진행중)제품선택=스테이포에버 1개"/>
    <n v="474"/>
    <s v="고체향수"/>
    <s v="스테이포에버"/>
    <n v="210101"/>
    <m/>
    <n v="16116000"/>
    <n v="15173214"/>
    <n v="1228608"/>
    <n v="14650909.09090909"/>
    <s v="카페24고체향수유즈 스테이포에버 솔리드퍼퓸 002 (11차 예약구매 진행중)제품선택=스테이포에버 1개210101"/>
  </r>
  <r>
    <x v="231"/>
    <s v="일"/>
    <m/>
    <s v="카페24"/>
    <s v="유즈 스테이포에버 솔리드퍼퓸 002 (11차 예약구매 진행중)제품선택=best"/>
    <n v="102"/>
    <s v="고체향수"/>
    <s v="스테이포에버"/>
    <n v="210101"/>
    <m/>
    <n v="3468000"/>
    <n v="3265122"/>
    <n v="264384"/>
    <n v="3152727.272727272"/>
    <s v="카페24고체향수유즈 스테이포에버 솔리드퍼퓸 002 (11차 예약구매 진행중)제품선택=best210101"/>
  </r>
  <r>
    <x v="231"/>
    <s v="일"/>
    <m/>
    <s v="카페24"/>
    <s v="유즈 스테이포에버 솔리드퍼퓸 002 (11차 예약구매 진행중)제품선택=best스테이포에버 2개[28% 할인]"/>
    <n v="133"/>
    <s v="고체향수"/>
    <s v="스테이포에버 2set"/>
    <n v="210101"/>
    <m/>
    <n v="7820400"/>
    <n v="7362906.6"/>
    <n v="689472"/>
    <n v="7109454.545454545"/>
    <s v="카페24고체향수유즈 스테이포에버 솔리드퍼퓸 002 (11차 예약구매 진행중)제품선택=best스테이포에버 2개[28% 할인]210101"/>
  </r>
  <r>
    <x v="231"/>
    <s v="일"/>
    <m/>
    <s v="카페24"/>
    <s v="유즈 스테이포에버 솔리드퍼퓸 002 (11차 예약구매 진행중)제품선택=커플추천"/>
    <n v="15"/>
    <s v="고체향수"/>
    <s v="스테이포에버"/>
    <n v="210101"/>
    <m/>
    <n v="510000"/>
    <n v="480165"/>
    <n v="38880"/>
    <n v="463636.3636363636"/>
    <s v="카페24고체향수유즈 스테이포에버 솔리드퍼퓸 002 (11차 예약구매 진행중)제품선택=커플추천210101"/>
  </r>
  <r>
    <x v="231"/>
    <s v="일"/>
    <m/>
    <s v="카페24"/>
    <s v="유즈 스테이포에버 솔리드퍼퓸 002 (11차 예약구매 진행중)제품선택=커플추천스테이포에버 + 이그나이트 세트"/>
    <n v="25"/>
    <s v="고체향수"/>
    <s v="이그나이트 + 스테이포에버"/>
    <n v="210101"/>
    <m/>
    <n v="1470000"/>
    <n v="1384005"/>
    <n v="133625"/>
    <n v="1336363.636363636"/>
    <s v="카페24고체향수유즈 스테이포에버 솔리드퍼퓸 002 (11차 예약구매 진행중)제품선택=커플추천스테이포에버 + 이그나이트 세트210101"/>
  </r>
  <r>
    <x v="231"/>
    <s v="일"/>
    <m/>
    <s v="카페24"/>
    <s v="유즈 스테이포에버 솔리드퍼퓸 002 (11차 예약구매 진행중)쇼핑백=선물용 쇼핑백"/>
    <n v="21"/>
    <s v="고체향수"/>
    <s v="쇼핑백"/>
    <n v="210101"/>
    <m/>
    <n v="42000"/>
    <n v="39543"/>
    <n v="17430"/>
    <n v="38181.81818181818"/>
    <s v="카페24고체향수유즈 스테이포에버 솔리드퍼퓸 002 (11차 예약구매 진행중)쇼핑백=선물용 쇼핑백210101"/>
  </r>
  <r>
    <x v="231"/>
    <s v="일"/>
    <m/>
    <s v="카페24"/>
    <s v="유즈 이그나이트 솔리드퍼퓸 001제품선택=이그나이트 솔리드퍼퓸 - 30ml"/>
    <n v="3"/>
    <s v="고체향수"/>
    <s v="이그나이트"/>
    <n v="210101"/>
    <m/>
    <n v="114000"/>
    <n v="107331"/>
    <n v="8259"/>
    <n v="103636.3636363636"/>
    <s v="카페24고체향수유즈 이그나이트 솔리드퍼퓸 001제품선택=이그나이트 솔리드퍼퓸 - 30ml210101"/>
  </r>
  <r>
    <x v="231"/>
    <s v="일"/>
    <m/>
    <s v="카페24"/>
    <s v="유즈 이그나이트 솔리드퍼퓸 001제품선택=이그나이트 2개 세트"/>
    <n v="1"/>
    <s v="고체향수"/>
    <s v="이그나이트 2set"/>
    <n v="210101"/>
    <m/>
    <n v="58800"/>
    <n v="55360.2"/>
    <n v="5506"/>
    <n v="53454.54545454545"/>
    <s v="카페24고체향수유즈 이그나이트 솔리드퍼퓸 001제품선택=이그나이트 2개 세트210101"/>
  </r>
  <r>
    <x v="232"/>
    <s v="월"/>
    <m/>
    <s v="카페24"/>
    <s v="유즈 솔리드퍼퓸 - 30ml (11차 예약구매 진행중)향=이그나이트 001 SOLID PERFUME, 세트 선택=1개"/>
    <n v="2"/>
    <s v="고체향수"/>
    <s v="이그나이트"/>
    <n v="210101"/>
    <m/>
    <n v="68000"/>
    <n v="64022"/>
    <n v="5506"/>
    <n v="61818.18181818182"/>
    <s v="카페24고체향수유즈 솔리드퍼퓸 - 30ml (11차 예약구매 진행중)향=이그나이트 001 SOLID PERFUME, 세트 선택=1개210101"/>
  </r>
  <r>
    <x v="232"/>
    <s v="월"/>
    <m/>
    <s v="카페24"/>
    <s v="유즈 솔리드퍼퓸 - 30ml (11차 예약구매 진행중)향=이그나이트 001 SOLID PERFUME, 세트 선택=best 2개 (28% 할인)"/>
    <n v="1"/>
    <s v="고체향수"/>
    <s v="이그나이트 2set"/>
    <n v="210101"/>
    <m/>
    <n v="58800"/>
    <n v="55360.2"/>
    <n v="5506"/>
    <n v="53454.54545454545"/>
    <s v="카페24고체향수유즈 솔리드퍼퓸 - 30ml (11차 예약구매 진행중)향=이그나이트 001 SOLID PERFUME, 세트 선택=best 2개 (28% 할인)210101"/>
  </r>
  <r>
    <x v="232"/>
    <s v="월"/>
    <m/>
    <s v="카페24"/>
    <s v="유즈 솔리드퍼퓸 - 30ml (11차 예약구매 진행중)향=스테이포에버 002 SOLID PERFUME, 세트 선택=1개"/>
    <n v="12"/>
    <s v="고체향수"/>
    <s v="스테이포에버"/>
    <n v="210101"/>
    <m/>
    <n v="408000"/>
    <n v="384132"/>
    <n v="31104"/>
    <n v="370909.0909090909"/>
    <s v="카페24고체향수유즈 솔리드퍼퓸 - 30ml (11차 예약구매 진행중)향=스테이포에버 002 SOLID PERFUME, 세트 선택=1개210101"/>
  </r>
  <r>
    <x v="232"/>
    <s v="월"/>
    <m/>
    <s v="카페24"/>
    <s v="유즈 솔리드퍼퓸 - 30ml (11차 예약구매 진행중)향=스테이포에버 002 SOLID PERFUME, 세트 선택=best"/>
    <n v="4"/>
    <s v="고체향수"/>
    <s v="스테이포에버"/>
    <n v="210101"/>
    <m/>
    <n v="136000"/>
    <n v="128044"/>
    <n v="10368"/>
    <n v="123636.3636363636"/>
    <s v="카페24고체향수유즈 솔리드퍼퓸 - 30ml (11차 예약구매 진행중)향=스테이포에버 002 SOLID PERFUME, 세트 선택=best210101"/>
  </r>
  <r>
    <x v="232"/>
    <s v="월"/>
    <m/>
    <s v="카페24"/>
    <s v="유즈 솔리드퍼퓸 - 30ml (11차 예약구매 진행중)향=스테이포에버 002 SOLID PERFUME, 세트 선택=best 2개 (28% 할인)"/>
    <n v="5"/>
    <s v="고체향수"/>
    <s v="스테이포에버 2set"/>
    <n v="210101"/>
    <m/>
    <n v="294000"/>
    <n v="276801"/>
    <n v="25920"/>
    <n v="267272.7272727272"/>
    <s v="카페24고체향수유즈 솔리드퍼퓸 - 30ml (11차 예약구매 진행중)향=스테이포에버 002 SOLID PERFUME, 세트 선택=best 2개 (28% 할인)210101"/>
  </r>
  <r>
    <x v="232"/>
    <s v="월"/>
    <m/>
    <s v="카페24"/>
    <s v="유즈 솔리드퍼퓸 - 30ml (11차 예약구매 진행중)향=커플세트"/>
    <n v="6"/>
    <s v="고체향수"/>
    <s v="이그나이트 + 스테이포에버"/>
    <n v="210101"/>
    <m/>
    <n v="352800"/>
    <n v="332161.2"/>
    <n v="32070"/>
    <n v="320727.2727272727"/>
    <s v="카페24고체향수유즈 솔리드퍼퓸 - 30ml (11차 예약구매 진행중)향=커플세트210101"/>
  </r>
  <r>
    <x v="232"/>
    <s v="월"/>
    <m/>
    <s v="카페24"/>
    <s v="유즈 솔리드퍼퓸 - 30ml (11차 예약구매 진행중)향=커플세트(이그나이트 + 스테이포에버), 세트 선택=1 SET"/>
    <n v="3"/>
    <s v="고체향수"/>
    <s v="이그나이트 + 스테이포에버"/>
    <n v="210101"/>
    <m/>
    <n v="176400"/>
    <n v="166080.6"/>
    <n v="16035"/>
    <n v="160363.6363636364"/>
    <s v="카페24고체향수유즈 솔리드퍼퓸 - 30ml (11차 예약구매 진행중)향=커플세트(이그나이트 + 스테이포에버), 세트 선택=1 SET210101"/>
  </r>
  <r>
    <x v="232"/>
    <s v="월"/>
    <m/>
    <s v="카페24"/>
    <s v="유즈 스테이포에버 솔리드퍼퓸 002 (11차 예약구매 진행중)제품선택=스테이포에버 1개"/>
    <n v="333"/>
    <s v="고체향수"/>
    <s v="스테이포에버"/>
    <n v="210101"/>
    <m/>
    <n v="11322000"/>
    <n v="10659663"/>
    <n v="863136"/>
    <n v="10292727.27272727"/>
    <s v="카페24고체향수유즈 스테이포에버 솔리드퍼퓸 002 (11차 예약구매 진행중)제품선택=스테이포에버 1개210101"/>
  </r>
  <r>
    <x v="232"/>
    <s v="월"/>
    <m/>
    <s v="카페24"/>
    <s v="유즈 스테이포에버 솔리드퍼퓸 002 (11차 예약구매 진행중)제품선택=best"/>
    <n v="51"/>
    <s v="고체향수"/>
    <s v="스테이포에버"/>
    <n v="210101"/>
    <m/>
    <n v="1734000"/>
    <n v="1632561"/>
    <n v="132192"/>
    <n v="1576363.636363636"/>
    <s v="카페24고체향수유즈 스테이포에버 솔리드퍼퓸 002 (11차 예약구매 진행중)제품선택=best210101"/>
  </r>
  <r>
    <x v="232"/>
    <s v="월"/>
    <m/>
    <s v="카페24"/>
    <s v="유즈 스테이포에버 솔리드퍼퓸 002 (11차 예약구매 진행중)제품선택=best스테이포에버 2개[28% 할인]"/>
    <n v="102"/>
    <s v="고체향수"/>
    <s v="스테이포에버 2set"/>
    <n v="210101"/>
    <m/>
    <n v="5997600"/>
    <n v="5646740.4"/>
    <n v="528768"/>
    <n v="5452363.636363636"/>
    <s v="카페24고체향수유즈 스테이포에버 솔리드퍼퓸 002 (11차 예약구매 진행중)제품선택=best스테이포에버 2개[28% 할인]210101"/>
  </r>
  <r>
    <x v="232"/>
    <s v="월"/>
    <m/>
    <s v="카페24"/>
    <s v="유즈 스테이포에버 솔리드퍼퓸 002 (11차 예약구매 진행중)제품선택=커플추천"/>
    <n v="8"/>
    <s v="고체향수"/>
    <s v="스테이포에버"/>
    <n v="210101"/>
    <m/>
    <n v="272000"/>
    <n v="256088"/>
    <n v="20736"/>
    <n v="247272.7272727273"/>
    <s v="카페24고체향수유즈 스테이포에버 솔리드퍼퓸 002 (11차 예약구매 진행중)제품선택=커플추천210101"/>
  </r>
  <r>
    <x v="232"/>
    <s v="월"/>
    <m/>
    <s v="카페24"/>
    <s v="유즈 스테이포에버 솔리드퍼퓸 002 (11차 예약구매 진행중)제품선택=커플추천스테이포에버 + 이그나이트 세트"/>
    <n v="15"/>
    <s v="고체향수"/>
    <s v="이그나이트 + 스테이포에버"/>
    <n v="210101"/>
    <m/>
    <n v="882000"/>
    <n v="830403"/>
    <n v="80175"/>
    <n v="801818.1818181818"/>
    <s v="카페24고체향수유즈 스테이포에버 솔리드퍼퓸 002 (11차 예약구매 진행중)제품선택=커플추천스테이포에버 + 이그나이트 세트210101"/>
  </r>
  <r>
    <x v="232"/>
    <s v="월"/>
    <m/>
    <s v="카페24"/>
    <s v="유즈 스테이포에버 솔리드퍼퓸 002 (11차 예약구매 진행중)쇼핑백=선물용 쇼핑백"/>
    <n v="9"/>
    <s v="고체향수"/>
    <s v="쇼핑백"/>
    <n v="210101"/>
    <m/>
    <n v="18000"/>
    <n v="16947"/>
    <n v="7470"/>
    <n v="16363.63636363636"/>
    <s v="카페24고체향수유즈 스테이포에버 솔리드퍼퓸 002 (11차 예약구매 진행중)쇼핑백=선물용 쇼핑백210101"/>
  </r>
  <r>
    <x v="232"/>
    <s v="월"/>
    <m/>
    <s v="카페24"/>
    <s v="유즈 이그나이트 솔리드퍼퓸 001제품선택=이그나이트 솔리드퍼퓸 - 30ml"/>
    <n v="2"/>
    <s v="고체향수"/>
    <s v="이그나이트"/>
    <n v="210101"/>
    <m/>
    <n v="76000"/>
    <n v="71554"/>
    <n v="5506"/>
    <n v="69090.90909090909"/>
    <s v="카페24고체향수유즈 이그나이트 솔리드퍼퓸 001제품선택=이그나이트 솔리드퍼퓸 - 30ml210101"/>
  </r>
  <r>
    <x v="233"/>
    <s v="화"/>
    <m/>
    <s v="카페24"/>
    <s v="솔리드퍼퓸 스테이포에버 002 30ml"/>
    <n v="3"/>
    <s v="고체향수"/>
    <s v="스테이포에버"/>
    <n v="210101"/>
    <m/>
    <n v="114000"/>
    <n v="107331"/>
    <n v="7776"/>
    <n v="103636.3636363636"/>
    <s v="카페24고체향수솔리드퍼퓸 스테이포에버 002 30ml210101"/>
  </r>
  <r>
    <x v="233"/>
    <s v="화"/>
    <m/>
    <s v="카페24"/>
    <s v="유즈 솔리드퍼퓸 - 30ml향=스테이포에버 002 SOLID PERFUME, 세트 선택=1개"/>
    <n v="5"/>
    <s v="고체향수"/>
    <s v="스테이포에버"/>
    <n v="210101"/>
    <m/>
    <n v="170000"/>
    <n v="160055"/>
    <n v="12960"/>
    <n v="154545.4545454545"/>
    <s v="카페24고체향수유즈 솔리드퍼퓸 - 30ml향=스테이포에버 002 SOLID PERFUME, 세트 선택=1개210101"/>
  </r>
  <r>
    <x v="233"/>
    <s v="화"/>
    <m/>
    <s v="카페24"/>
    <s v="유즈 솔리드퍼퓸 - 30ml향=스테이포에버 002 SOLID PERFUME, 세트 선택=best"/>
    <n v="1"/>
    <s v="고체향수"/>
    <s v="스테이포에버"/>
    <n v="210101"/>
    <m/>
    <n v="34000"/>
    <n v="32011"/>
    <n v="2592"/>
    <n v="30909.09090909091"/>
    <s v="카페24고체향수유즈 솔리드퍼퓸 - 30ml향=스테이포에버 002 SOLID PERFUME, 세트 선택=best210101"/>
  </r>
  <r>
    <x v="233"/>
    <s v="화"/>
    <m/>
    <s v="카페24"/>
    <s v="유즈 솔리드퍼퓸 - 30ml향=커플세트"/>
    <n v="4"/>
    <s v="고체향수"/>
    <s v="이그나이트 + 스테이포에버"/>
    <n v="210101"/>
    <m/>
    <n v="235200"/>
    <n v="221440.8"/>
    <n v="21380"/>
    <n v="213818.1818181818"/>
    <s v="카페24고체향수유즈 솔리드퍼퓸 - 30ml향=커플세트210101"/>
  </r>
  <r>
    <x v="233"/>
    <s v="화"/>
    <m/>
    <s v="카페24"/>
    <s v="유즈 솔리드퍼퓸 - 30ml향=커플세트(이그나이트 + 스테이포에버), 세트 선택=1 SET"/>
    <n v="2"/>
    <s v="고체향수"/>
    <s v="이그나이트 + 스테이포에버"/>
    <n v="210101"/>
    <m/>
    <n v="117600"/>
    <n v="110720.4"/>
    <n v="10690"/>
    <n v="106909.0909090909"/>
    <s v="카페24고체향수유즈 솔리드퍼퓸 - 30ml향=커플세트(이그나이트 + 스테이포에버), 세트 선택=1 SET210101"/>
  </r>
  <r>
    <x v="233"/>
    <s v="화"/>
    <m/>
    <s v="카페24"/>
    <s v="유즈 솔리드퍼퓸 - 30ml (11차 예약구매 진행중)향=스테이포에버 002 SOLID PERFUME, 세트 선택=1개"/>
    <n v="8"/>
    <s v="고체향수"/>
    <s v="스테이포에버"/>
    <n v="210101"/>
    <m/>
    <n v="272000"/>
    <n v="256088"/>
    <n v="20736"/>
    <n v="247272.7272727273"/>
    <s v="카페24고체향수유즈 솔리드퍼퓸 - 30ml (11차 예약구매 진행중)향=스테이포에버 002 SOLID PERFUME, 세트 선택=1개210101"/>
  </r>
  <r>
    <x v="233"/>
    <s v="화"/>
    <m/>
    <s v="카페24"/>
    <s v="유즈 솔리드퍼퓸 - 30ml (11차 예약구매 진행중)향=스테이포에버 002 SOLID PERFUME, 세트 선택=best"/>
    <n v="5"/>
    <s v="고체향수"/>
    <s v="스테이포에버"/>
    <n v="210101"/>
    <m/>
    <n v="170000"/>
    <n v="160055"/>
    <n v="12960"/>
    <n v="154545.4545454545"/>
    <s v="카페24고체향수유즈 솔리드퍼퓸 - 30ml (11차 예약구매 진행중)향=스테이포에버 002 SOLID PERFUME, 세트 선택=best210101"/>
  </r>
  <r>
    <x v="233"/>
    <s v="화"/>
    <m/>
    <s v="카페24"/>
    <s v="유즈 솔리드퍼퓸 - 30ml (11차 예약구매 진행중)향=스테이포에버 002 SOLID PERFUME, 세트 선택=best 2개 (28% 할인)"/>
    <n v="2"/>
    <s v="고체향수"/>
    <s v="스테이포에버 2set"/>
    <n v="210101"/>
    <m/>
    <n v="117600"/>
    <n v="110720.4"/>
    <n v="10368"/>
    <n v="106909.0909090909"/>
    <s v="카페24고체향수유즈 솔리드퍼퓸 - 30ml (11차 예약구매 진행중)향=스테이포에버 002 SOLID PERFUME, 세트 선택=best 2개 (28% 할인)210101"/>
  </r>
  <r>
    <x v="233"/>
    <s v="화"/>
    <m/>
    <s v="카페24"/>
    <s v="유즈 솔리드퍼퓸 - 30ml (11차 예약구매 진행중)향=커플세트"/>
    <n v="6"/>
    <s v="고체향수"/>
    <s v="이그나이트 + 스테이포에버"/>
    <n v="210101"/>
    <m/>
    <n v="352800"/>
    <n v="332161.2"/>
    <n v="32070"/>
    <n v="320727.2727272727"/>
    <s v="카페24고체향수유즈 솔리드퍼퓸 - 30ml (11차 예약구매 진행중)향=커플세트210101"/>
  </r>
  <r>
    <x v="233"/>
    <s v="화"/>
    <m/>
    <s v="카페24"/>
    <s v="유즈 솔리드퍼퓸 - 30ml (11차 예약구매 진행중)향=커플세트(이그나이트 + 스테이포에버), 세트 선택=1 SET"/>
    <n v="2"/>
    <s v="고체향수"/>
    <s v="이그나이트 + 스테이포에버"/>
    <n v="210101"/>
    <m/>
    <n v="117600"/>
    <n v="110720.4"/>
    <n v="10690"/>
    <n v="106909.0909090909"/>
    <s v="카페24고체향수유즈 솔리드퍼퓸 - 30ml (11차 예약구매 진행중)향=커플세트(이그나이트 + 스테이포에버), 세트 선택=1 SET210101"/>
  </r>
  <r>
    <x v="233"/>
    <s v="화"/>
    <m/>
    <s v="카페24"/>
    <s v="유즈 스테이포에버 솔리드퍼퓸 002제품선택=스테이포에버 1개"/>
    <n v="197"/>
    <s v="고체향수"/>
    <s v="스테이포에버"/>
    <n v="210101"/>
    <m/>
    <n v="6698000"/>
    <n v="6306167"/>
    <n v="510624"/>
    <n v="6089090.909090908"/>
    <s v="카페24고체향수유즈 스테이포에버 솔리드퍼퓸 002제품선택=스테이포에버 1개210101"/>
  </r>
  <r>
    <x v="233"/>
    <s v="화"/>
    <m/>
    <s v="카페24"/>
    <s v="유즈 스테이포에버 솔리드퍼퓸 002제품선택=best"/>
    <n v="55"/>
    <s v="고체향수"/>
    <s v="스테이포에버"/>
    <n v="210101"/>
    <m/>
    <n v="1870000"/>
    <n v="1760605"/>
    <n v="142560"/>
    <n v="1700000"/>
    <s v="카페24고체향수유즈 스테이포에버 솔리드퍼퓸 002제품선택=best210101"/>
  </r>
  <r>
    <x v="233"/>
    <s v="화"/>
    <m/>
    <s v="카페24"/>
    <s v="유즈 스테이포에버 솔리드퍼퓸 002제품선택=best스테이포에버 2개[28% 할인]"/>
    <n v="59"/>
    <s v="고체향수"/>
    <s v="스테이포에버"/>
    <n v="210101"/>
    <m/>
    <n v="2006000"/>
    <n v="1888649"/>
    <n v="152928"/>
    <n v="1823636.363636364"/>
    <s v="카페24고체향수유즈 스테이포에버 솔리드퍼퓸 002제품선택=best스테이포에버 2개[28% 할인]210101"/>
  </r>
  <r>
    <x v="233"/>
    <s v="화"/>
    <m/>
    <s v="카페24"/>
    <s v="유즈 스테이포에버 솔리드퍼퓸 002제품선택=커플추천"/>
    <n v="7"/>
    <s v="고체향수"/>
    <s v="이그나이트 + 스테이포에버"/>
    <n v="210101"/>
    <m/>
    <n v="411600"/>
    <n v="387521.4"/>
    <n v="37415"/>
    <n v="374181.8181818182"/>
    <s v="카페24고체향수유즈 스테이포에버 솔리드퍼퓸 002제품선택=커플추천210101"/>
  </r>
  <r>
    <x v="233"/>
    <s v="화"/>
    <m/>
    <s v="카페24"/>
    <s v="유즈 스테이포에버 솔리드퍼퓸 002제품선택=커플추천스테이포에버 + 이그나이트 세트"/>
    <n v="6"/>
    <s v="고체향수"/>
    <s v="이그나이트 + 스테이포에버"/>
    <n v="210101"/>
    <m/>
    <n v="352800"/>
    <n v="332161.2"/>
    <n v="32070"/>
    <n v="320727.2727272727"/>
    <s v="카페24고체향수유즈 스테이포에버 솔리드퍼퓸 002제품선택=커플추천스테이포에버 + 이그나이트 세트210101"/>
  </r>
  <r>
    <x v="233"/>
    <s v="화"/>
    <m/>
    <s v="카페24"/>
    <s v="유즈 스테이포에버 솔리드퍼퓸 002쇼핑백=선물용 쇼핑백"/>
    <n v="10"/>
    <s v="고체향수"/>
    <s v="쇼핑백"/>
    <n v="210101"/>
    <m/>
    <n v="20000"/>
    <n v="18830"/>
    <n v="8300"/>
    <n v="18181.81818181818"/>
    <s v="카페24고체향수유즈 스테이포에버 솔리드퍼퓸 002쇼핑백=선물용 쇼핑백210101"/>
  </r>
  <r>
    <x v="233"/>
    <s v="화"/>
    <m/>
    <s v="카페24"/>
    <s v="유즈 스테이포에버 솔리드퍼퓸 002제품선택=스테이포에버 솔리드퍼퓸"/>
    <n v="1"/>
    <s v="고체향수"/>
    <s v="스테이포에버"/>
    <n v="210101"/>
    <m/>
    <n v="38000"/>
    <n v="35777"/>
    <n v="2592"/>
    <n v="34545.45454545454"/>
    <s v="카페24고체향수유즈 스테이포에버 솔리드퍼퓸 002제품선택=스테이포에버 솔리드퍼퓸210101"/>
  </r>
  <r>
    <x v="233"/>
    <s v="화"/>
    <m/>
    <s v="카페24"/>
    <s v="유즈 스테이포에버 솔리드퍼퓸 002 (11차 예약구매 진행중)제품선택=스테이포에버 1개"/>
    <n v="178"/>
    <s v="고체향수"/>
    <s v="스테이포에버"/>
    <n v="210101"/>
    <m/>
    <n v="6052000"/>
    <n v="5697958"/>
    <n v="461376"/>
    <n v="5501818.181818182"/>
    <s v="카페24고체향수유즈 스테이포에버 솔리드퍼퓸 002 (11차 예약구매 진행중)제품선택=스테이포에버 1개210101"/>
  </r>
  <r>
    <x v="233"/>
    <s v="화"/>
    <m/>
    <s v="카페24"/>
    <s v="유즈 스테이포에버 솔리드퍼퓸 002 (11차 예약구매 진행중)제품선택=best"/>
    <n v="43"/>
    <s v="고체향수"/>
    <s v="스테이포에버"/>
    <n v="210101"/>
    <m/>
    <n v="1462000"/>
    <n v="1376473"/>
    <n v="111456"/>
    <n v="1329090.909090909"/>
    <s v="카페24고체향수유즈 스테이포에버 솔리드퍼퓸 002 (11차 예약구매 진행중)제품선택=best210101"/>
  </r>
  <r>
    <x v="233"/>
    <s v="화"/>
    <m/>
    <s v="카페24"/>
    <s v="유즈 스테이포에버 솔리드퍼퓸 002 (11차 예약구매 진행중)제품선택=best스테이포에버 2개[28% 할인]"/>
    <n v="56"/>
    <s v="고체향수"/>
    <s v="스테이포에버 2set"/>
    <n v="210101"/>
    <m/>
    <n v="3292800"/>
    <n v="3100171.2"/>
    <n v="290304"/>
    <n v="2993454.545454545"/>
    <s v="카페24고체향수유즈 스테이포에버 솔리드퍼퓸 002 (11차 예약구매 진행중)제품선택=best스테이포에버 2개[28% 할인]210101"/>
  </r>
  <r>
    <x v="233"/>
    <s v="화"/>
    <m/>
    <s v="카페24"/>
    <s v="유즈 스테이포에버 솔리드퍼퓸 002 (11차 예약구매 진행중)제품선택=커플추천"/>
    <n v="9"/>
    <s v="고체향수"/>
    <s v="스테이포에버"/>
    <n v="210101"/>
    <m/>
    <n v="306000"/>
    <n v="288099"/>
    <n v="23328"/>
    <n v="278181.8181818182"/>
    <s v="카페24고체향수유즈 스테이포에버 솔리드퍼퓸 002 (11차 예약구매 진행중)제품선택=커플추천210101"/>
  </r>
  <r>
    <x v="233"/>
    <s v="화"/>
    <m/>
    <s v="카페24"/>
    <s v="유즈 스테이포에버 솔리드퍼퓸 002 (11차 예약구매 진행중)제품선택=커플추천스테이포에버 + 이그나이트 세트"/>
    <n v="12"/>
    <s v="고체향수"/>
    <s v="이그나이트 + 스테이포에버"/>
    <n v="210101"/>
    <m/>
    <n v="705600"/>
    <n v="664322.4"/>
    <n v="64140"/>
    <n v="641454.5454545454"/>
    <s v="카페24고체향수유즈 스테이포에버 솔리드퍼퓸 002 (11차 예약구매 진행중)제품선택=커플추천스테이포에버 + 이그나이트 세트210101"/>
  </r>
  <r>
    <x v="233"/>
    <s v="화"/>
    <m/>
    <s v="카페24"/>
    <s v="유즈 스테이포에버 솔리드퍼퓸 002 (11차 예약구매 진행중)쇼핑백=선물용 쇼핑백"/>
    <n v="7"/>
    <s v="고체향수"/>
    <s v="쇼핑백"/>
    <n v="210101"/>
    <m/>
    <n v="14000"/>
    <n v="13181"/>
    <n v="5810"/>
    <n v="12727.27272727273"/>
    <s v="카페24고체향수유즈 스테이포에버 솔리드퍼퓸 002 (11차 예약구매 진행중)쇼핑백=선물용 쇼핑백210101"/>
  </r>
  <r>
    <x v="233"/>
    <s v="화"/>
    <m/>
    <s v="카페24"/>
    <s v="유즈 이그나이트 솔리드퍼퓸 001제품선택=이그나이트 솔리드퍼퓸 - 30ml"/>
    <n v="6"/>
    <s v="고체향수"/>
    <s v="이그나이트"/>
    <n v="210101"/>
    <m/>
    <n v="228000"/>
    <n v="214662"/>
    <n v="16518"/>
    <n v="207272.7272727273"/>
    <s v="카페24고체향수유즈 이그나이트 솔리드퍼퓸 001제품선택=이그나이트 솔리드퍼퓸 - 30ml210101"/>
  </r>
  <r>
    <x v="233"/>
    <s v="화"/>
    <m/>
    <s v="카페24"/>
    <s v="유즈 이그나이트 솔리드퍼퓸 001제품선택=이그나이트 2개 세트"/>
    <n v="2"/>
    <s v="고체향수"/>
    <s v="이그나이트 2set"/>
    <n v="210101"/>
    <m/>
    <n v="117600"/>
    <n v="110720.4"/>
    <n v="11012"/>
    <n v="106909.0909090909"/>
    <s v="카페24고체향수유즈 이그나이트 솔리드퍼퓸 001제품선택=이그나이트 2개 세트210101"/>
  </r>
  <r>
    <x v="234"/>
    <s v="수"/>
    <m/>
    <s v="카페24"/>
    <s v="SHOPPING BAG"/>
    <n v="1"/>
    <s v="쇼핑백"/>
    <s v="쇼핑백"/>
    <n v="210101"/>
    <m/>
    <n v="2000"/>
    <n v="1883"/>
    <n v="830"/>
    <n v="1818.181818181818"/>
    <s v="카페24쇼핑백SHOPPING BAG210101"/>
  </r>
  <r>
    <x v="234"/>
    <s v="수"/>
    <m/>
    <s v="카페24"/>
    <s v="솔리드퍼퓸 스테이포에버 002 30ml"/>
    <n v="1"/>
    <s v="고체향수"/>
    <s v="스테이포에버"/>
    <n v="210101"/>
    <m/>
    <n v="38000"/>
    <n v="35777"/>
    <n v="2592"/>
    <n v="34545.45454545454"/>
    <s v="카페24고체향수솔리드퍼퓸 스테이포에버 002 30ml210101"/>
  </r>
  <r>
    <x v="234"/>
    <s v="수"/>
    <m/>
    <s v="카페24"/>
    <s v="유즈 솔리드퍼퓸 - 30ml향=이그나이트 001 SOLID PERFUME, 세트 선택=1개"/>
    <n v="1"/>
    <s v="고체향수"/>
    <s v="이그나이트"/>
    <n v="210101"/>
    <m/>
    <n v="34000"/>
    <n v="32011"/>
    <n v="2753"/>
    <n v="30909.09090909091"/>
    <s v="카페24고체향수유즈 솔리드퍼퓸 - 30ml향=이그나이트 001 SOLID PERFUME, 세트 선택=1개210101"/>
  </r>
  <r>
    <x v="234"/>
    <s v="수"/>
    <m/>
    <s v="카페24"/>
    <s v="유즈 솔리드퍼퓸 - 30ml향=스테이포에버 002 SOLID PERFUME, 세트 선택=1개"/>
    <n v="12"/>
    <s v="고체향수"/>
    <s v="스테이포에버"/>
    <n v="210101"/>
    <m/>
    <n v="408000"/>
    <n v="384132"/>
    <n v="31104"/>
    <n v="370909.0909090909"/>
    <s v="카페24고체향수유즈 솔리드퍼퓸 - 30ml향=스테이포에버 002 SOLID PERFUME, 세트 선택=1개210101"/>
  </r>
  <r>
    <x v="234"/>
    <s v="수"/>
    <m/>
    <s v="카페24"/>
    <s v="유즈 솔리드퍼퓸 - 30ml향=스테이포에버 002 SOLID PERFUME, 세트 선택=best"/>
    <n v="6"/>
    <s v="고체향수"/>
    <s v="스테이포에버"/>
    <n v="210101"/>
    <m/>
    <n v="204000"/>
    <n v="192066"/>
    <n v="15552"/>
    <n v="185454.5454545454"/>
    <s v="카페24고체향수유즈 솔리드퍼퓸 - 30ml향=스테이포에버 002 SOLID PERFUME, 세트 선택=best210101"/>
  </r>
  <r>
    <x v="234"/>
    <s v="수"/>
    <m/>
    <s v="카페24"/>
    <s v="유즈 솔리드퍼퓸 - 30ml향=스테이포에버 002 SOLID PERFUME, 세트 선택=best 2개 (28% 할인)"/>
    <n v="2"/>
    <s v="고체향수"/>
    <s v="스테이포에버 2set"/>
    <n v="210101"/>
    <m/>
    <n v="117600"/>
    <n v="110720.4"/>
    <n v="10368"/>
    <n v="106909.0909090909"/>
    <s v="카페24고체향수유즈 솔리드퍼퓸 - 30ml향=스테이포에버 002 SOLID PERFUME, 세트 선택=best 2개 (28% 할인)210101"/>
  </r>
  <r>
    <x v="234"/>
    <s v="수"/>
    <m/>
    <s v="카페24"/>
    <s v="유즈 솔리드퍼퓸 - 30ml향=커플세트"/>
    <n v="8"/>
    <s v="고체향수"/>
    <s v="이그나이트 + 스테이포에버"/>
    <n v="210101"/>
    <m/>
    <n v="470400"/>
    <n v="442881.6"/>
    <n v="42760"/>
    <n v="427636.3636363636"/>
    <s v="카페24고체향수유즈 솔리드퍼퓸 - 30ml향=커플세트210101"/>
  </r>
  <r>
    <x v="234"/>
    <s v="수"/>
    <m/>
    <s v="카페24"/>
    <s v="유즈 솔리드퍼퓸 - 30ml향=커플세트(이그나이트 + 스테이포에버), 세트 선택=1 SET"/>
    <n v="6"/>
    <s v="고체향수"/>
    <s v="이그나이트 + 스테이포에버"/>
    <n v="210101"/>
    <m/>
    <n v="352800"/>
    <n v="332161.2"/>
    <n v="32070"/>
    <n v="320727.2727272727"/>
    <s v="카페24고체향수유즈 솔리드퍼퓸 - 30ml향=커플세트(이그나이트 + 스테이포에버), 세트 선택=1 SET210101"/>
  </r>
  <r>
    <x v="234"/>
    <s v="수"/>
    <m/>
    <s v="카페24"/>
    <s v="유즈 솔리드퍼퓸 - 30ml향=커플세트"/>
    <n v="1"/>
    <s v="고체향수"/>
    <s v="이그나이트 + 스테이포에버"/>
    <n v="210101"/>
    <m/>
    <n v="58800"/>
    <n v="55360.2"/>
    <n v="5345"/>
    <n v="53454.54545454545"/>
    <s v="카페24고체향수유즈 솔리드퍼퓸 - 30ml향=커플세트210101"/>
  </r>
  <r>
    <x v="234"/>
    <s v="수"/>
    <m/>
    <s v="카페24"/>
    <s v="유즈 솔리드퍼퓸 - 30ml향=커플세트(이그나이트 + 스테이포에버), 세트 선택=2 SET (42% 할인)"/>
    <n v="1"/>
    <s v="고체향수"/>
    <s v="이그나이트 + 스테이포에버"/>
    <n v="210101"/>
    <m/>
    <n v="58800"/>
    <n v="55360.2"/>
    <n v="5345"/>
    <n v="53454.54545454545"/>
    <s v="카페24고체향수유즈 솔리드퍼퓸 - 30ml향=커플세트(이그나이트 + 스테이포에버), 세트 선택=2 SET (42% 할인)210101"/>
  </r>
  <r>
    <x v="234"/>
    <s v="수"/>
    <m/>
    <s v="카페24"/>
    <s v="유즈 스테이포에버 솔리드퍼퓸 002제품선택=스테이포에버 1개"/>
    <n v="417"/>
    <s v="고체향수"/>
    <s v="스테이포에버"/>
    <n v="210101"/>
    <m/>
    <n v="14178000"/>
    <n v="13348587"/>
    <n v="1080864"/>
    <n v="12889090.90909091"/>
    <s v="카페24고체향수유즈 스테이포에버 솔리드퍼퓸 002제품선택=스테이포에버 1개210101"/>
  </r>
  <r>
    <x v="234"/>
    <s v="수"/>
    <m/>
    <s v="카페24"/>
    <s v="유즈 스테이포에버 솔리드퍼퓸 002제품선택=best"/>
    <n v="87"/>
    <s v="고체향수"/>
    <s v="스테이포에버"/>
    <n v="210101"/>
    <m/>
    <n v="2958000"/>
    <n v="2784957"/>
    <n v="225504"/>
    <n v="2689090.909090909"/>
    <s v="카페24고체향수유즈 스테이포에버 솔리드퍼퓸 002제품선택=best210101"/>
  </r>
  <r>
    <x v="234"/>
    <s v="수"/>
    <m/>
    <s v="카페24"/>
    <s v="유즈 스테이포에버 솔리드퍼퓸 002제품선택=best스테이포에버 2개[28% 할인]"/>
    <n v="120"/>
    <s v="고체향수"/>
    <s v="스테이포에버"/>
    <n v="210101"/>
    <m/>
    <n v="4080000"/>
    <n v="3841320"/>
    <n v="311040"/>
    <n v="3709090.909090909"/>
    <s v="카페24고체향수유즈 스테이포에버 솔리드퍼퓸 002제품선택=best스테이포에버 2개[28% 할인]210101"/>
  </r>
  <r>
    <x v="234"/>
    <s v="수"/>
    <m/>
    <s v="카페24"/>
    <s v="유즈 스테이포에버 솔리드퍼퓸 002제품선택=커플추천"/>
    <n v="12"/>
    <s v="고체향수"/>
    <s v="이그나이트 + 스테이포에버"/>
    <n v="210101"/>
    <m/>
    <n v="705600"/>
    <n v="664322.4"/>
    <n v="64140"/>
    <n v="641454.5454545454"/>
    <s v="카페24고체향수유즈 스테이포에버 솔리드퍼퓸 002제품선택=커플추천210101"/>
  </r>
  <r>
    <x v="234"/>
    <s v="수"/>
    <m/>
    <s v="카페24"/>
    <s v="유즈 스테이포에버 솔리드퍼퓸 002제품선택=커플추천스테이포에버 + 이그나이트 세트"/>
    <n v="24"/>
    <s v="고체향수"/>
    <s v="이그나이트 + 스테이포에버"/>
    <n v="210101"/>
    <m/>
    <n v="1411200"/>
    <n v="1328644.8"/>
    <n v="128280"/>
    <n v="1282909.090909091"/>
    <s v="카페24고체향수유즈 스테이포에버 솔리드퍼퓸 002제품선택=커플추천스테이포에버 + 이그나이트 세트210101"/>
  </r>
  <r>
    <x v="234"/>
    <s v="수"/>
    <m/>
    <s v="카페24"/>
    <s v="유즈 스테이포에버 솔리드퍼퓸 002쇼핑백=선물용 쇼핑백"/>
    <n v="20"/>
    <s v="고체향수"/>
    <s v="쇼핑백"/>
    <n v="210101"/>
    <m/>
    <n v="40000"/>
    <n v="37660"/>
    <n v="16600"/>
    <n v="36363.63636363636"/>
    <s v="카페24고체향수유즈 스테이포에버 솔리드퍼퓸 002쇼핑백=선물용 쇼핑백210101"/>
  </r>
  <r>
    <x v="234"/>
    <s v="수"/>
    <m/>
    <s v="카페24"/>
    <s v="유즈 스테이포에버 솔리드퍼퓸 002 (11차 예약구매 진행중)제품선택=스테이포에버 1개"/>
    <n v="6"/>
    <s v="고체향수"/>
    <s v="스테이포에버"/>
    <n v="210101"/>
    <m/>
    <n v="204000"/>
    <n v="192066"/>
    <n v="15552"/>
    <n v="185454.5454545454"/>
    <s v="카페24고체향수유즈 스테이포에버 솔리드퍼퓸 002 (11차 예약구매 진행중)제품선택=스테이포에버 1개210101"/>
  </r>
  <r>
    <x v="234"/>
    <s v="수"/>
    <m/>
    <s v="카페24"/>
    <s v="유즈 스테이포에버 솔리드퍼퓸 002 (11차 예약구매 진행중)제품선택=best"/>
    <n v="1"/>
    <s v="고체향수"/>
    <s v="스테이포에버"/>
    <n v="210101"/>
    <m/>
    <n v="34000"/>
    <n v="32011"/>
    <n v="2592"/>
    <n v="30909.09090909091"/>
    <s v="카페24고체향수유즈 스테이포에버 솔리드퍼퓸 002 (11차 예약구매 진행중)제품선택=best210101"/>
  </r>
  <r>
    <x v="234"/>
    <s v="수"/>
    <m/>
    <s v="카페24"/>
    <s v="유즈 스테이포에버 솔리드퍼퓸 002 (11차 예약구매 진행중)제품선택=커플추천"/>
    <n v="1"/>
    <s v="고체향수"/>
    <s v="스테이포에버"/>
    <n v="210101"/>
    <m/>
    <n v="34000"/>
    <n v="32011"/>
    <n v="2592"/>
    <n v="30909.09090909091"/>
    <s v="카페24고체향수유즈 스테이포에버 솔리드퍼퓸 002 (11차 예약구매 진행중)제품선택=커플추천210101"/>
  </r>
  <r>
    <x v="234"/>
    <s v="수"/>
    <m/>
    <s v="카페24"/>
    <s v="유즈 스테이포에버 솔리드퍼퓸 002 (11차 예약구매 진행중)쇼핑백=선물용 쇼핑백"/>
    <n v="2"/>
    <s v="고체향수"/>
    <s v="쇼핑백"/>
    <n v="210101"/>
    <m/>
    <n v="4000"/>
    <n v="3766"/>
    <n v="1660"/>
    <n v="3636.363636363636"/>
    <s v="카페24고체향수유즈 스테이포에버 솔리드퍼퓸 002 (11차 예약구매 진행중)쇼핑백=선물용 쇼핑백210101"/>
  </r>
  <r>
    <x v="234"/>
    <s v="수"/>
    <m/>
    <s v="카페24"/>
    <s v="유즈 이그나이트 솔리드퍼퓸 001제품선택=이그나이트 솔리드퍼퓸 - 30ml"/>
    <n v="5"/>
    <s v="고체향수"/>
    <s v="이그나이트"/>
    <n v="210101"/>
    <m/>
    <n v="190000"/>
    <n v="178885"/>
    <n v="13765"/>
    <n v="172727.2727272727"/>
    <s v="카페24고체향수유즈 이그나이트 솔리드퍼퓸 001제품선택=이그나이트 솔리드퍼퓸 - 30ml210101"/>
  </r>
  <r>
    <x v="234"/>
    <s v="수"/>
    <m/>
    <s v="카페24"/>
    <s v="유즈 이그나이트 솔리드퍼퓸 001제품선택=이그나이트 2개 세트"/>
    <n v="2"/>
    <s v="고체향수"/>
    <s v="이그나이트 2set"/>
    <n v="210101"/>
    <m/>
    <n v="117600"/>
    <n v="110720.4"/>
    <n v="11012"/>
    <n v="106909.0909090909"/>
    <s v="카페24고체향수유즈 이그나이트 솔리드퍼퓸 001제품선택=이그나이트 2개 세트210101"/>
  </r>
  <r>
    <x v="235"/>
    <s v="목"/>
    <m/>
    <s v="카페24"/>
    <s v="유즈 솔리드퍼퓸 - 30ml향=이그나이트 001 SOLID PERFUME, 세트 선택=1개"/>
    <n v="1"/>
    <s v="고체향수"/>
    <s v="이그나이트"/>
    <n v="210101"/>
    <m/>
    <n v="34000"/>
    <n v="32011"/>
    <n v="2753"/>
    <n v="30909.09090909091"/>
    <s v="카페24고체향수유즈 솔리드퍼퓸 - 30ml향=이그나이트 001 SOLID PERFUME, 세트 선택=1개210101"/>
  </r>
  <r>
    <x v="235"/>
    <s v="목"/>
    <m/>
    <s v="카페24"/>
    <s v="유즈 솔리드퍼퓸 - 30ml향=스테이포에버 002 SOLID PERFUME, 세트 선택=1개"/>
    <n v="10"/>
    <s v="고체향수"/>
    <s v="스테이포에버"/>
    <n v="210101"/>
    <m/>
    <n v="340000"/>
    <n v="320110"/>
    <n v="25920"/>
    <n v="309090.9090909091"/>
    <s v="카페24고체향수유즈 솔리드퍼퓸 - 30ml향=스테이포에버 002 SOLID PERFUME, 세트 선택=1개210101"/>
  </r>
  <r>
    <x v="235"/>
    <s v="목"/>
    <m/>
    <s v="카페24"/>
    <s v="유즈 솔리드퍼퓸 - 30ml향=스테이포에버 002 SOLID PERFUME, 세트 선택=best"/>
    <n v="1"/>
    <s v="고체향수"/>
    <s v="스테이포에버"/>
    <n v="210101"/>
    <m/>
    <n v="34000"/>
    <n v="32011"/>
    <n v="2592"/>
    <n v="30909.09090909091"/>
    <s v="카페24고체향수유즈 솔리드퍼퓸 - 30ml향=스테이포에버 002 SOLID PERFUME, 세트 선택=best210101"/>
  </r>
  <r>
    <x v="235"/>
    <s v="목"/>
    <m/>
    <s v="카페24"/>
    <s v="유즈 솔리드퍼퓸 - 30ml향=스테이포에버 002 SOLID PERFUME, 세트 선택=best 2개 (28% 할인)"/>
    <n v="4"/>
    <s v="고체향수"/>
    <s v="스테이포에버 2set"/>
    <n v="210101"/>
    <m/>
    <n v="235200"/>
    <n v="221440.8"/>
    <n v="20736"/>
    <n v="213818.1818181818"/>
    <s v="카페24고체향수유즈 솔리드퍼퓸 - 30ml향=스테이포에버 002 SOLID PERFUME, 세트 선택=best 2개 (28% 할인)210101"/>
  </r>
  <r>
    <x v="235"/>
    <s v="목"/>
    <m/>
    <s v="카페24"/>
    <s v="유즈 솔리드퍼퓸 - 30ml향=커플세트"/>
    <n v="7"/>
    <s v="고체향수"/>
    <s v="이그나이트 + 스테이포에버"/>
    <n v="210101"/>
    <m/>
    <n v="411600"/>
    <n v="387521.4"/>
    <n v="37415"/>
    <n v="374181.8181818182"/>
    <s v="카페24고체향수유즈 솔리드퍼퓸 - 30ml향=커플세트210101"/>
  </r>
  <r>
    <x v="235"/>
    <s v="목"/>
    <m/>
    <s v="카페24"/>
    <s v="유즈 솔리드퍼퓸 - 30ml향=커플세트(이그나이트 + 스테이포에버), 세트 선택=1 SET"/>
    <n v="6"/>
    <s v="고체향수"/>
    <s v="이그나이트 + 스테이포에버"/>
    <n v="210101"/>
    <m/>
    <n v="352800"/>
    <n v="332161.2"/>
    <n v="32070"/>
    <n v="320727.2727272727"/>
    <s v="카페24고체향수유즈 솔리드퍼퓸 - 30ml향=커플세트(이그나이트 + 스테이포에버), 세트 선택=1 SET210101"/>
  </r>
  <r>
    <x v="235"/>
    <s v="목"/>
    <m/>
    <s v="카페24"/>
    <s v="유즈 솔리드퍼퓸 - 30ml향=커플세트"/>
    <n v="2"/>
    <s v="고체향수"/>
    <s v="이그나이트 + 스테이포에버"/>
    <n v="210101"/>
    <m/>
    <n v="117600"/>
    <n v="110720.4"/>
    <n v="10690"/>
    <n v="106909.0909090909"/>
    <s v="카페24고체향수유즈 솔리드퍼퓸 - 30ml향=커플세트210101"/>
  </r>
  <r>
    <x v="235"/>
    <s v="목"/>
    <m/>
    <s v="카페24"/>
    <s v="유즈 솔리드퍼퓸 - 30ml향=커플세트(이그나이트 + 스테이포에버), 세트 선택=2 SET (42% 할인)"/>
    <n v="1"/>
    <s v="고체향수"/>
    <s v="이그나이트 + 스테이포에버"/>
    <n v="210101"/>
    <m/>
    <n v="58800"/>
    <n v="55360.2"/>
    <n v="5345"/>
    <n v="53454.54545454545"/>
    <s v="카페24고체향수유즈 솔리드퍼퓸 - 30ml향=커플세트(이그나이트 + 스테이포에버), 세트 선택=2 SET (42% 할인)210101"/>
  </r>
  <r>
    <x v="235"/>
    <s v="목"/>
    <m/>
    <s v="카페24"/>
    <s v="유즈 스테이포에버 솔리드퍼퓸 002제품선택=스테이포에버 1개"/>
    <n v="302"/>
    <s v="고체향수"/>
    <s v="스테이포에버"/>
    <n v="210101"/>
    <m/>
    <n v="10268000"/>
    <n v="9667322"/>
    <n v="782784"/>
    <n v="9334545.454545453"/>
    <s v="카페24고체향수유즈 스테이포에버 솔리드퍼퓸 002제품선택=스테이포에버 1개210101"/>
  </r>
  <r>
    <x v="235"/>
    <s v="목"/>
    <m/>
    <s v="카페24"/>
    <s v="유즈 스테이포에버 솔리드퍼퓸 002제품선택=best"/>
    <n v="66"/>
    <s v="고체향수"/>
    <s v="스테이포에버"/>
    <n v="210101"/>
    <m/>
    <n v="2244000"/>
    <n v="2112726"/>
    <n v="171072"/>
    <n v="2040000"/>
    <s v="카페24고체향수유즈 스테이포에버 솔리드퍼퓸 002제품선택=best210101"/>
  </r>
  <r>
    <x v="235"/>
    <s v="목"/>
    <m/>
    <s v="카페24"/>
    <s v="유즈 스테이포에버 솔리드퍼퓸 002제품선택=best스테이포에버 2개[28% 할인]"/>
    <n v="101"/>
    <s v="고체향수"/>
    <s v="스테이포에버"/>
    <n v="210101"/>
    <m/>
    <n v="3434000"/>
    <n v="3233111"/>
    <n v="261792"/>
    <n v="3121818.181818182"/>
    <s v="카페24고체향수유즈 스테이포에버 솔리드퍼퓸 002제품선택=best스테이포에버 2개[28% 할인]210101"/>
  </r>
  <r>
    <x v="235"/>
    <s v="목"/>
    <m/>
    <s v="카페24"/>
    <s v="유즈 스테이포에버 솔리드퍼퓸 002제품선택=커플추천"/>
    <n v="13"/>
    <s v="고체향수"/>
    <s v="이그나이트 + 스테이포에버"/>
    <n v="210101"/>
    <m/>
    <n v="764400"/>
    <n v="719682.6"/>
    <n v="69485"/>
    <n v="694909.0909090908"/>
    <s v="카페24고체향수유즈 스테이포에버 솔리드퍼퓸 002제품선택=커플추천210101"/>
  </r>
  <r>
    <x v="235"/>
    <s v="목"/>
    <m/>
    <s v="카페24"/>
    <s v="유즈 스테이포에버 솔리드퍼퓸 002제품선택=커플추천스테이포에버 + 이그나이트 세트"/>
    <n v="15"/>
    <s v="고체향수"/>
    <s v="이그나이트 + 스테이포에버"/>
    <n v="210101"/>
    <m/>
    <n v="882000"/>
    <n v="830403"/>
    <n v="80175"/>
    <n v="801818.1818181818"/>
    <s v="카페24고체향수유즈 스테이포에버 솔리드퍼퓸 002제품선택=커플추천스테이포에버 + 이그나이트 세트210101"/>
  </r>
  <r>
    <x v="235"/>
    <s v="목"/>
    <m/>
    <s v="카페24"/>
    <s v="유즈 스테이포에버 솔리드퍼퓸 002쇼핑백=선물용 쇼핑백"/>
    <n v="16"/>
    <s v="고체향수"/>
    <s v="쇼핑백"/>
    <n v="210101"/>
    <m/>
    <n v="32000"/>
    <n v="30128"/>
    <n v="13280"/>
    <n v="29090.90909090909"/>
    <s v="카페24고체향수유즈 스테이포에버 솔리드퍼퓸 002쇼핑백=선물용 쇼핑백210101"/>
  </r>
  <r>
    <x v="235"/>
    <s v="목"/>
    <m/>
    <s v="카페24"/>
    <s v="유즈 스테이포에버 솔리드퍼퓸 002 (11차 예약구매 진행중)제품선택=best"/>
    <n v="1"/>
    <s v="고체향수"/>
    <s v="스테이포에버"/>
    <n v="210101"/>
    <m/>
    <n v="34000"/>
    <n v="32011"/>
    <n v="2592"/>
    <n v="30909.09090909091"/>
    <s v="카페24고체향수유즈 스테이포에버 솔리드퍼퓸 002 (11차 예약구매 진행중)제품선택=best210101"/>
  </r>
  <r>
    <x v="235"/>
    <s v="목"/>
    <m/>
    <s v="카페24"/>
    <s v="유즈 이그나이트 솔리드퍼퓸 001제품선택=이그나이트 솔리드퍼퓸 - 30ml"/>
    <n v="3"/>
    <s v="고체향수"/>
    <s v="이그나이트"/>
    <n v="210101"/>
    <m/>
    <n v="114000"/>
    <n v="107331"/>
    <n v="8259"/>
    <n v="103636.3636363636"/>
    <s v="카페24고체향수유즈 이그나이트 솔리드퍼퓸 001제품선택=이그나이트 솔리드퍼퓸 - 30ml210101"/>
  </r>
  <r>
    <x v="235"/>
    <s v="목"/>
    <m/>
    <s v="카페24"/>
    <s v="유즈 이그나이트 솔리드퍼퓸 001제품선택=이그나이트 2개 세트"/>
    <n v="3"/>
    <s v="고체향수"/>
    <s v="이그나이트 2set"/>
    <n v="210101"/>
    <m/>
    <n v="176400"/>
    <n v="166080.6"/>
    <n v="16518"/>
    <n v="160363.6363636364"/>
    <s v="카페24고체향수유즈 이그나이트 솔리드퍼퓸 001제품선택=이그나이트 2개 세트210101"/>
  </r>
  <r>
    <x v="235"/>
    <s v="목"/>
    <m/>
    <s v="카페24"/>
    <s v="유즈 이그나이트 솔리드퍼퓸 001쇼핑백=선물용 쇼핑백"/>
    <n v="1"/>
    <s v="쇼핑백"/>
    <s v="쇼핑백"/>
    <n v="210101"/>
    <m/>
    <n v="2000"/>
    <n v="1883"/>
    <n v="830"/>
    <n v="1818.181818181818"/>
    <s v="카페24쇼핑백유즈 이그나이트 솔리드퍼퓸 001쇼핑백=선물용 쇼핑백210101"/>
  </r>
  <r>
    <x v="236"/>
    <s v="금"/>
    <m/>
    <s v="유즈 CS"/>
    <s v="솔리드퍼퓸 스테이포에버 002 30ml"/>
    <n v="3"/>
    <s v="고체향수"/>
    <s v="스테이포에버"/>
    <n v="210101"/>
    <m/>
    <n v="0"/>
    <n v="0"/>
    <n v="7776"/>
    <n v="0"/>
    <s v="유즈 CS고체향수솔리드퍼퓸 스테이포에버 002 30ml210101"/>
  </r>
  <r>
    <x v="236"/>
    <s v="금"/>
    <m/>
    <s v="유즈 CS"/>
    <s v="유즈 스테이포에버 솔리드퍼퓸 002제품선택=커플추천"/>
    <n v="2"/>
    <s v="고체향수"/>
    <s v="이그나이트 + 스테이포에버"/>
    <n v="210101"/>
    <m/>
    <n v="0"/>
    <n v="0"/>
    <n v="10690"/>
    <n v="0"/>
    <s v="유즈 CS고체향수유즈 스테이포에버 솔리드퍼퓸 002제품선택=커플추천210101"/>
  </r>
  <r>
    <x v="236"/>
    <s v="금"/>
    <m/>
    <s v="카페24"/>
    <s v="솔리드퍼퓸 스테이포에버 002 30ml"/>
    <n v="3"/>
    <s v="고체향수"/>
    <s v="스테이포에버"/>
    <n v="210101"/>
    <m/>
    <n v="114000"/>
    <n v="107331"/>
    <n v="7776"/>
    <n v="103636.3636363636"/>
    <s v="카페24고체향수솔리드퍼퓸 스테이포에버 002 30ml210101"/>
  </r>
  <r>
    <x v="236"/>
    <s v="금"/>
    <m/>
    <s v="카페24"/>
    <s v="유즈 솔리드퍼퓸 - 30ml향=이그나이트 001 SOLID PERFUME, 세트 선택=1개"/>
    <n v="4"/>
    <s v="고체향수"/>
    <s v="이그나이트"/>
    <n v="210101"/>
    <m/>
    <n v="136000"/>
    <n v="128044"/>
    <n v="11012"/>
    <n v="123636.3636363636"/>
    <s v="카페24고체향수유즈 솔리드퍼퓸 - 30ml향=이그나이트 001 SOLID PERFUME, 세트 선택=1개210101"/>
  </r>
  <r>
    <x v="236"/>
    <s v="금"/>
    <m/>
    <s v="카페24"/>
    <s v="유즈 솔리드퍼퓸 - 30ml향=스테이포에버 002 SOLID PERFUME, 세트 선택=1개"/>
    <n v="15"/>
    <s v="고체향수"/>
    <s v="스테이포에버"/>
    <n v="210101"/>
    <m/>
    <n v="510000"/>
    <n v="480165"/>
    <n v="38880"/>
    <n v="463636.3636363636"/>
    <s v="카페24고체향수유즈 솔리드퍼퓸 - 30ml향=스테이포에버 002 SOLID PERFUME, 세트 선택=1개210101"/>
  </r>
  <r>
    <x v="236"/>
    <s v="금"/>
    <m/>
    <s v="카페24"/>
    <s v="유즈 솔리드퍼퓸 - 30ml향=스테이포에버 002 SOLID PERFUME, 세트 선택=best"/>
    <n v="3"/>
    <s v="고체향수"/>
    <s v="스테이포에버"/>
    <n v="210101"/>
    <m/>
    <n v="102000"/>
    <n v="96033"/>
    <n v="7776"/>
    <n v="92727.27272727272"/>
    <s v="카페24고체향수유즈 솔리드퍼퓸 - 30ml향=스테이포에버 002 SOLID PERFUME, 세트 선택=best210101"/>
  </r>
  <r>
    <x v="236"/>
    <s v="금"/>
    <m/>
    <s v="카페24"/>
    <s v="유즈 솔리드퍼퓸 - 30ml향=커플세트"/>
    <n v="2"/>
    <s v="고체향수"/>
    <s v="이그나이트 + 스테이포에버"/>
    <n v="210101"/>
    <m/>
    <n v="117600"/>
    <n v="110720.4"/>
    <n v="10690"/>
    <n v="106909.0909090909"/>
    <s v="카페24고체향수유즈 솔리드퍼퓸 - 30ml향=커플세트210101"/>
  </r>
  <r>
    <x v="236"/>
    <s v="금"/>
    <m/>
    <s v="카페24"/>
    <s v="유즈 솔리드퍼퓸 - 30ml향=커플세트(이그나이트 + 스테이포에버), 세트 선택=1 SET"/>
    <n v="7"/>
    <s v="고체향수"/>
    <s v="이그나이트 + 스테이포에버"/>
    <n v="210101"/>
    <m/>
    <n v="411600"/>
    <n v="387521.4"/>
    <n v="37415"/>
    <n v="374181.8181818182"/>
    <s v="카페24고체향수유즈 솔리드퍼퓸 - 30ml향=커플세트(이그나이트 + 스테이포에버), 세트 선택=1 SET210101"/>
  </r>
  <r>
    <x v="236"/>
    <s v="금"/>
    <m/>
    <s v="카페24"/>
    <s v="유즈 솔리드퍼퓸 - 30ml향=커플세트(이그나이트 + 스테이포에버), 세트 선택=2 SET (42% 할인)"/>
    <n v="1"/>
    <s v="고체향수"/>
    <s v="이그나이트 + 스테이포에버"/>
    <n v="210101"/>
    <m/>
    <n v="58800"/>
    <n v="55360.2"/>
    <n v="5345"/>
    <n v="53454.54545454545"/>
    <s v="카페24고체향수유즈 솔리드퍼퓸 - 30ml향=커플세트(이그나이트 + 스테이포에버), 세트 선택=2 SET (42% 할인)210101"/>
  </r>
  <r>
    <x v="236"/>
    <s v="금"/>
    <m/>
    <s v="카페24"/>
    <s v="유즈 솔리드퍼퓸 - 스테이포에버 002제품선택=스테이포에버 1개"/>
    <n v="111"/>
    <s v="고체향수"/>
    <s v="스테이포에버"/>
    <n v="210101"/>
    <m/>
    <n v="3774000"/>
    <n v="3553221"/>
    <n v="287712"/>
    <n v="3430909.090909091"/>
    <s v="카페24고체향수유즈 솔리드퍼퓸 - 스테이포에버 002제품선택=스테이포에버 1개210101"/>
  </r>
  <r>
    <x v="236"/>
    <s v="금"/>
    <m/>
    <s v="카페24"/>
    <s v="유즈 솔리드퍼퓸 - 스테이포에버 002제품선택=best"/>
    <n v="21"/>
    <s v="고체향수"/>
    <s v="스테이포에버"/>
    <n v="210101"/>
    <m/>
    <n v="714000"/>
    <n v="672231"/>
    <n v="54432"/>
    <n v="649090.9090909091"/>
    <s v="카페24고체향수유즈 솔리드퍼퓸 - 스테이포에버 002제품선택=best210101"/>
  </r>
  <r>
    <x v="236"/>
    <s v="금"/>
    <m/>
    <s v="카페24"/>
    <s v="유즈 솔리드퍼퓸 - 스테이포에버 002제품선택=best스테이포에버 2개[28% 할인]"/>
    <n v="28"/>
    <s v="고체향수"/>
    <s v="스테이포에버 2set"/>
    <n v="210101"/>
    <m/>
    <n v="1646400"/>
    <n v="1550085.6"/>
    <n v="145152"/>
    <n v="1496727.272727273"/>
    <s v="카페24고체향수유즈 솔리드퍼퓸 - 스테이포에버 002제품선택=best스테이포에버 2개[28% 할인]210101"/>
  </r>
  <r>
    <x v="236"/>
    <s v="금"/>
    <m/>
    <s v="카페24"/>
    <s v="유즈 솔리드퍼퓸 - 스테이포에버 002제품선택=커플추천"/>
    <n v="6"/>
    <s v="고체향수"/>
    <s v="이그나이트 + 스테이포에버"/>
    <n v="210101"/>
    <m/>
    <n v="352800"/>
    <n v="332161.2"/>
    <n v="32070"/>
    <n v="320727.2727272727"/>
    <s v="카페24고체향수유즈 솔리드퍼퓸 - 스테이포에버 002제품선택=커플추천210101"/>
  </r>
  <r>
    <x v="236"/>
    <s v="금"/>
    <m/>
    <s v="카페24"/>
    <s v="유즈 솔리드퍼퓸 - 스테이포에버 002제품선택=커플추천스테이포에버 + 이그나이트 세트"/>
    <n v="5"/>
    <s v="고체향수"/>
    <s v="이그나이트 + 스테이포에버"/>
    <n v="210101"/>
    <m/>
    <n v="294000"/>
    <n v="276801"/>
    <n v="26725"/>
    <n v="267272.7272727272"/>
    <s v="카페24고체향수유즈 솔리드퍼퓸 - 스테이포에버 002제품선택=커플추천스테이포에버 + 이그나이트 세트210101"/>
  </r>
  <r>
    <x v="236"/>
    <s v="금"/>
    <m/>
    <s v="카페24"/>
    <s v="유즈 솔리드퍼퓸 - 스테이포에버 002쇼핑백=선물용 쇼핑백"/>
    <n v="2"/>
    <s v="쇼핑백"/>
    <s v="쇼핑백"/>
    <n v="210101"/>
    <m/>
    <n v="4000"/>
    <n v="3766"/>
    <n v="1660"/>
    <n v="3636.363636363636"/>
    <s v="카페24쇼핑백유즈 솔리드퍼퓸 - 스테이포에버 002쇼핑백=선물용 쇼핑백210101"/>
  </r>
  <r>
    <x v="236"/>
    <s v="금"/>
    <m/>
    <s v="카페24"/>
    <s v="유즈 솔리드퍼퓸 - 이그나이트 001제품선택=이그나이트 솔리드퍼퓸 - 30ml"/>
    <n v="2"/>
    <s v="고체향수"/>
    <s v="이그나이트"/>
    <n v="210101"/>
    <m/>
    <n v="68000"/>
    <n v="68000"/>
    <n v="5506"/>
    <n v="61818.18181818182"/>
    <s v="카페24고체향수유즈 솔리드퍼퓸 - 이그나이트 001제품선택=이그나이트 솔리드퍼퓸 - 30ml210101"/>
  </r>
  <r>
    <x v="236"/>
    <s v="금"/>
    <m/>
    <s v="카페24"/>
    <s v="유즈 스테이포에버 솔리드퍼퓸 002제품선택=스테이포에버 1개"/>
    <n v="194"/>
    <s v="고체향수"/>
    <s v="스테이포에버"/>
    <n v="210101"/>
    <m/>
    <n v="6596000"/>
    <n v="6210134"/>
    <n v="502848"/>
    <n v="5996363.636363636"/>
    <s v="카페24고체향수유즈 스테이포에버 솔리드퍼퓸 002제품선택=스테이포에버 1개210101"/>
  </r>
  <r>
    <x v="236"/>
    <s v="금"/>
    <m/>
    <s v="카페24"/>
    <s v="유즈 스테이포에버 솔리드퍼퓸 002제품선택=best"/>
    <n v="36"/>
    <s v="고체향수"/>
    <s v="스테이포에버"/>
    <n v="210101"/>
    <m/>
    <n v="1224000"/>
    <n v="1152396"/>
    <n v="93312"/>
    <n v="1112727.272727273"/>
    <s v="카페24고체향수유즈 스테이포에버 솔리드퍼퓸 002제품선택=best210101"/>
  </r>
  <r>
    <x v="236"/>
    <s v="금"/>
    <m/>
    <s v="카페24"/>
    <s v="유즈 스테이포에버 솔리드퍼퓸 002제품선택=best스테이포에버 2개[28% 할인]"/>
    <n v="74"/>
    <s v="고체향수"/>
    <s v="스테이포에버"/>
    <n v="210101"/>
    <m/>
    <n v="2516000"/>
    <n v="2368814"/>
    <n v="191808"/>
    <n v="2287272.727272727"/>
    <s v="카페24고체향수유즈 스테이포에버 솔리드퍼퓸 002제품선택=best스테이포에버 2개[28% 할인]210101"/>
  </r>
  <r>
    <x v="236"/>
    <s v="금"/>
    <m/>
    <s v="카페24"/>
    <s v="유즈 스테이포에버 솔리드퍼퓸 002제품선택=커플추천"/>
    <n v="2"/>
    <s v="고체향수"/>
    <s v="이그나이트 + 스테이포에버"/>
    <n v="210101"/>
    <m/>
    <n v="117600"/>
    <n v="110720.4"/>
    <n v="10690"/>
    <n v="106909.0909090909"/>
    <s v="카페24고체향수유즈 스테이포에버 솔리드퍼퓸 002제품선택=커플추천210101"/>
  </r>
  <r>
    <x v="236"/>
    <s v="금"/>
    <m/>
    <s v="카페24"/>
    <s v="유즈 스테이포에버 솔리드퍼퓸 002제품선택=커플추천스테이포에버 + 이그나이트 세트"/>
    <n v="14"/>
    <s v="고체향수"/>
    <s v="이그나이트 + 스테이포에버"/>
    <n v="210101"/>
    <m/>
    <n v="823200"/>
    <n v="775042.8"/>
    <n v="74830"/>
    <n v="748363.6363636364"/>
    <s v="카페24고체향수유즈 스테이포에버 솔리드퍼퓸 002제품선택=커플추천스테이포에버 + 이그나이트 세트210101"/>
  </r>
  <r>
    <x v="236"/>
    <s v="금"/>
    <m/>
    <s v="카페24"/>
    <s v="유즈 스테이포에버 솔리드퍼퓸 002쇼핑백=선물용 쇼핑백"/>
    <n v="11"/>
    <s v="고체향수"/>
    <s v="쇼핑백"/>
    <n v="210101"/>
    <m/>
    <n v="22000"/>
    <n v="20713"/>
    <n v="9130"/>
    <n v="20000"/>
    <s v="카페24고체향수유즈 스테이포에버 솔리드퍼퓸 002쇼핑백=선물용 쇼핑백210101"/>
  </r>
  <r>
    <x v="236"/>
    <s v="금"/>
    <m/>
    <s v="카페24"/>
    <s v="유즈 스테이포에버 솔리드퍼퓸 002 (11차 예약구매 진행중)제품선택=스테이포에버 1개"/>
    <n v="3"/>
    <s v="고체향수"/>
    <s v="스테이포에버"/>
    <n v="210101"/>
    <m/>
    <n v="102000"/>
    <n v="96033"/>
    <n v="7776"/>
    <n v="92727.27272727272"/>
    <s v="카페24고체향수유즈 스테이포에버 솔리드퍼퓸 002 (11차 예약구매 진행중)제품선택=스테이포에버 1개210101"/>
  </r>
  <r>
    <x v="236"/>
    <s v="금"/>
    <m/>
    <s v="카페24"/>
    <s v="유즈 스테이포에버 솔리드퍼퓸 002 (11차 예약구매 진행중)제품선택=best"/>
    <n v="1"/>
    <s v="고체향수"/>
    <s v="스테이포에버"/>
    <n v="210101"/>
    <m/>
    <n v="34000"/>
    <n v="32011"/>
    <n v="2592"/>
    <n v="30909.09090909091"/>
    <s v="카페24고체향수유즈 스테이포에버 솔리드퍼퓸 002 (11차 예약구매 진행중)제품선택=best210101"/>
  </r>
  <r>
    <x v="236"/>
    <s v="금"/>
    <m/>
    <s v="카페24"/>
    <s v="유즈 이그나이트 솔리드퍼퓸 001제품선택=이그나이트 솔리드퍼퓸 - 30ml"/>
    <n v="4"/>
    <s v="고체향수"/>
    <s v="이그나이트"/>
    <n v="210101"/>
    <m/>
    <n v="152000"/>
    <n v="143108"/>
    <n v="11012"/>
    <n v="138181.8181818182"/>
    <s v="카페24고체향수유즈 이그나이트 솔리드퍼퓸 001제품선택=이그나이트 솔리드퍼퓸 - 30ml210101"/>
  </r>
  <r>
    <x v="236"/>
    <s v="금"/>
    <m/>
    <s v="카페24"/>
    <s v="유즈 이그나이트 솔리드퍼퓸 001제품선택=이그나이트 2개 세트"/>
    <n v="3"/>
    <s v="고체향수"/>
    <s v="이그나이트 2set"/>
    <n v="210101"/>
    <m/>
    <n v="176400"/>
    <n v="166080.6"/>
    <n v="16518"/>
    <n v="160363.6363636364"/>
    <s v="카페24고체향수유즈 이그나이트 솔리드퍼퓸 001제품선택=이그나이트 2개 세트210101"/>
  </r>
  <r>
    <x v="236"/>
    <s v="금"/>
    <m/>
    <s v="카페24"/>
    <s v="유즈 이그나이트 솔리드퍼퓸 001쇼핑백=선물용 쇼핑백"/>
    <n v="1"/>
    <s v="쇼핑백"/>
    <s v="쇼핑백"/>
    <n v="210101"/>
    <m/>
    <n v="2000"/>
    <n v="1883"/>
    <n v="830"/>
    <n v="1818.181818181818"/>
    <s v="카페24쇼핑백유즈 이그나이트 솔리드퍼퓸 001쇼핑백=선물용 쇼핑백210101"/>
  </r>
  <r>
    <x v="237"/>
    <s v="토"/>
    <m/>
    <s v="카페24"/>
    <s v="유즈 솔리드퍼퓸 - 30ml향=이그나이트 001 SOLID PERFUME, 세트 선택=1개"/>
    <n v="1"/>
    <s v="고체향수"/>
    <s v="이그나이트"/>
    <n v="210101"/>
    <m/>
    <n v="34000"/>
    <n v="32011"/>
    <n v="2753"/>
    <n v="30909.09090909091"/>
    <s v="카페24고체향수유즈 솔리드퍼퓸 - 30ml향=이그나이트 001 SOLID PERFUME, 세트 선택=1개210101"/>
  </r>
  <r>
    <x v="237"/>
    <s v="토"/>
    <m/>
    <s v="카페24"/>
    <s v="유즈 솔리드퍼퓸 - 30ml향=스테이포에버 002 SOLID PERFUME, 세트 선택=1개"/>
    <n v="9"/>
    <s v="고체향수"/>
    <s v="스테이포에버"/>
    <n v="210101"/>
    <m/>
    <n v="306000"/>
    <n v="288099"/>
    <n v="23328"/>
    <n v="278181.8181818182"/>
    <s v="카페24고체향수유즈 솔리드퍼퓸 - 30ml향=스테이포에버 002 SOLID PERFUME, 세트 선택=1개210101"/>
  </r>
  <r>
    <x v="237"/>
    <s v="토"/>
    <m/>
    <s v="카페24"/>
    <s v="유즈 솔리드퍼퓸 - 30ml향=스테이포에버 002 SOLID PERFUME, 세트 선택=best"/>
    <n v="2"/>
    <s v="고체향수"/>
    <s v="스테이포에버"/>
    <n v="210101"/>
    <m/>
    <n v="68000"/>
    <n v="64022"/>
    <n v="5184"/>
    <n v="61818.18181818182"/>
    <s v="카페24고체향수유즈 솔리드퍼퓸 - 30ml향=스테이포에버 002 SOLID PERFUME, 세트 선택=best210101"/>
  </r>
  <r>
    <x v="237"/>
    <s v="토"/>
    <m/>
    <s v="카페24"/>
    <s v="유즈 솔리드퍼퓸 - 30ml향=스테이포에버 002 SOLID PERFUME, 세트 선택=best 2개 (28% 할인)"/>
    <n v="2"/>
    <s v="고체향수"/>
    <s v="스테이포에버 2set"/>
    <n v="210101"/>
    <m/>
    <n v="117600"/>
    <n v="110720.4"/>
    <n v="10368"/>
    <n v="106909.0909090909"/>
    <s v="카페24고체향수유즈 솔리드퍼퓸 - 30ml향=스테이포에버 002 SOLID PERFUME, 세트 선택=best 2개 (28% 할인)210101"/>
  </r>
  <r>
    <x v="237"/>
    <s v="토"/>
    <m/>
    <s v="카페24"/>
    <s v="유즈 솔리드퍼퓸 - 30ml향=커플세트"/>
    <n v="6"/>
    <s v="고체향수"/>
    <s v="이그나이트 + 스테이포에버"/>
    <n v="210101"/>
    <m/>
    <n v="352800"/>
    <n v="332161.2"/>
    <n v="32070"/>
    <n v="320727.2727272727"/>
    <s v="카페24고체향수유즈 솔리드퍼퓸 - 30ml향=커플세트210101"/>
  </r>
  <r>
    <x v="237"/>
    <s v="토"/>
    <m/>
    <s v="카페24"/>
    <s v="유즈 솔리드퍼퓸 - 30ml향=커플세트(이그나이트 + 스테이포에버), 세트 선택=1 SET"/>
    <n v="2"/>
    <s v="고체향수"/>
    <s v="이그나이트 + 스테이포에버"/>
    <n v="210101"/>
    <m/>
    <n v="117600"/>
    <n v="110720.4"/>
    <n v="10690"/>
    <n v="106909.0909090909"/>
    <s v="카페24고체향수유즈 솔리드퍼퓸 - 30ml향=커플세트(이그나이트 + 스테이포에버), 세트 선택=1 SET210101"/>
  </r>
  <r>
    <x v="237"/>
    <s v="토"/>
    <m/>
    <s v="카페24"/>
    <s v="유즈 솔리드퍼퓸 - 30ml향=커플세트"/>
    <n v="1"/>
    <s v="고체향수"/>
    <s v="이그나이트 + 스테이포에버"/>
    <n v="210101"/>
    <m/>
    <n v="58800"/>
    <n v="55360.2"/>
    <n v="5345"/>
    <n v="53454.54545454545"/>
    <s v="카페24고체향수유즈 솔리드퍼퓸 - 30ml향=커플세트210101"/>
  </r>
  <r>
    <x v="237"/>
    <s v="토"/>
    <m/>
    <s v="카페24"/>
    <s v="유즈 솔리드퍼퓸 - 스테이포에버 002제품선택=스테이포에버 1개"/>
    <n v="370"/>
    <s v="고체향수"/>
    <s v="스테이포에버"/>
    <n v="210101"/>
    <m/>
    <n v="12580000"/>
    <n v="11844070"/>
    <n v="959040"/>
    <n v="11436363.63636363"/>
    <s v="카페24고체향수유즈 솔리드퍼퓸 - 스테이포에버 002제품선택=스테이포에버 1개210101"/>
  </r>
  <r>
    <x v="237"/>
    <s v="토"/>
    <m/>
    <s v="카페24"/>
    <s v="유즈 솔리드퍼퓸 - 스테이포에버 002제품선택=best"/>
    <n v="61"/>
    <s v="고체향수"/>
    <s v="스테이포에버"/>
    <n v="210101"/>
    <m/>
    <n v="2074000"/>
    <n v="1952671"/>
    <n v="158112"/>
    <n v="1885454.545454545"/>
    <s v="카페24고체향수유즈 솔리드퍼퓸 - 스테이포에버 002제품선택=best210101"/>
  </r>
  <r>
    <x v="237"/>
    <s v="토"/>
    <m/>
    <s v="카페24"/>
    <s v="유즈 솔리드퍼퓸 - 스테이포에버 002제품선택=best스테이포에버 2개[28% 할인]"/>
    <n v="112"/>
    <s v="고체향수"/>
    <s v="스테이포에버 2set"/>
    <n v="210101"/>
    <m/>
    <n v="6585600"/>
    <n v="6200342.4"/>
    <n v="580608"/>
    <n v="5986909.090909091"/>
    <s v="카페24고체향수유즈 솔리드퍼퓸 - 스테이포에버 002제품선택=best스테이포에버 2개[28% 할인]210101"/>
  </r>
  <r>
    <x v="237"/>
    <s v="토"/>
    <m/>
    <s v="카페24"/>
    <s v="유즈 솔리드퍼퓸 - 스테이포에버 002제품선택=커플추천"/>
    <n v="10"/>
    <s v="고체향수"/>
    <s v="이그나이트 + 스테이포에버"/>
    <n v="210101"/>
    <m/>
    <n v="588000"/>
    <n v="553602"/>
    <n v="53450"/>
    <n v="534545.4545454545"/>
    <s v="카페24고체향수유즈 솔리드퍼퓸 - 스테이포에버 002제품선택=커플추천210101"/>
  </r>
  <r>
    <x v="237"/>
    <s v="토"/>
    <m/>
    <s v="카페24"/>
    <s v="유즈 솔리드퍼퓸 - 스테이포에버 002제품선택=커플추천스테이포에버 + 이그나이트 세트"/>
    <n v="18"/>
    <s v="고체향수"/>
    <s v="이그나이트 + 스테이포에버"/>
    <n v="210101"/>
    <m/>
    <n v="1058400"/>
    <n v="996483.6"/>
    <n v="96210"/>
    <n v="962181.8181818181"/>
    <s v="카페24고체향수유즈 솔리드퍼퓸 - 스테이포에버 002제품선택=커플추천스테이포에버 + 이그나이트 세트210101"/>
  </r>
  <r>
    <x v="237"/>
    <s v="토"/>
    <m/>
    <s v="카페24"/>
    <s v="유즈 솔리드퍼퓸 - 스테이포에버 002쇼핑백=선물용 쇼핑백"/>
    <n v="13"/>
    <s v="쇼핑백"/>
    <s v="쇼핑백"/>
    <n v="210101"/>
    <m/>
    <n v="26000"/>
    <n v="24479"/>
    <n v="10790"/>
    <n v="23636.36363636364"/>
    <s v="카페24쇼핑백유즈 솔리드퍼퓸 - 스테이포에버 002쇼핑백=선물용 쇼핑백210101"/>
  </r>
  <r>
    <x v="237"/>
    <s v="토"/>
    <m/>
    <s v="카페24"/>
    <s v="유즈 솔리드퍼퓸 - 이그나이트 001제품선택=이그나이트 솔리드퍼퓸 - 30ml"/>
    <n v="3"/>
    <s v="고체향수"/>
    <s v="이그나이트"/>
    <n v="210101"/>
    <m/>
    <n v="102000"/>
    <n v="102000"/>
    <n v="8259"/>
    <n v="92727.27272727272"/>
    <s v="카페24고체향수유즈 솔리드퍼퓸 - 이그나이트 001제품선택=이그나이트 솔리드퍼퓸 - 30ml210101"/>
  </r>
  <r>
    <x v="237"/>
    <s v="토"/>
    <m/>
    <s v="카페24"/>
    <s v="유즈 솔리드퍼퓸 - 이그나이트 001제품선택=이그나이트 2개 세트"/>
    <n v="3"/>
    <s v="고체향수"/>
    <s v="이그나이트 2set"/>
    <n v="210101"/>
    <m/>
    <n v="176400"/>
    <n v="166080.6"/>
    <n v="16518"/>
    <n v="160363.6363636364"/>
    <s v="카페24고체향수유즈 솔리드퍼퓸 - 이그나이트 001제품선택=이그나이트 2개 세트210101"/>
  </r>
  <r>
    <x v="237"/>
    <s v="토"/>
    <m/>
    <s v="카페24"/>
    <s v="유즈 스테이포에버 솔리드퍼퓸 002제품선택=스테이포에버 1개"/>
    <n v="4"/>
    <s v="고체향수"/>
    <s v="스테이포에버"/>
    <n v="210101"/>
    <m/>
    <n v="136000"/>
    <n v="128044"/>
    <n v="10368"/>
    <n v="123636.3636363636"/>
    <s v="카페24고체향수유즈 스테이포에버 솔리드퍼퓸 002제품선택=스테이포에버 1개210101"/>
  </r>
  <r>
    <x v="238"/>
    <s v="일"/>
    <m/>
    <s v="카페24"/>
    <s v="SHOPPING BAG"/>
    <n v="1"/>
    <s v="쇼핑백"/>
    <s v="쇼핑백"/>
    <n v="210101"/>
    <m/>
    <n v="2000"/>
    <n v="1883"/>
    <n v="830"/>
    <n v="1818.181818181818"/>
    <s v="카페24쇼핑백SHOPPING BAG210101"/>
  </r>
  <r>
    <x v="238"/>
    <s v="일"/>
    <m/>
    <s v="카페24"/>
    <s v="유즈 솔리드퍼퓸 - 30ml향=이그나이트 001 SOLID PERFUME, 세트 선택=1개"/>
    <n v="2"/>
    <s v="고체향수"/>
    <s v="이그나이트"/>
    <n v="210101"/>
    <m/>
    <n v="68000"/>
    <n v="64022"/>
    <n v="5506"/>
    <n v="61818.18181818182"/>
    <s v="카페24고체향수유즈 솔리드퍼퓸 - 30ml향=이그나이트 001 SOLID PERFUME, 세트 선택=1개210101"/>
  </r>
  <r>
    <x v="238"/>
    <s v="일"/>
    <m/>
    <s v="카페24"/>
    <s v="유즈 솔리드퍼퓸 - 30ml향=스테이포에버 002 SOLID PERFUME, 세트 선택=1개"/>
    <n v="11"/>
    <s v="고체향수"/>
    <s v="스테이포에버"/>
    <n v="210101"/>
    <m/>
    <n v="374000"/>
    <n v="352121"/>
    <n v="28512"/>
    <n v="340000"/>
    <s v="카페24고체향수유즈 솔리드퍼퓸 - 30ml향=스테이포에버 002 SOLID PERFUME, 세트 선택=1개210101"/>
  </r>
  <r>
    <x v="238"/>
    <s v="일"/>
    <m/>
    <s v="카페24"/>
    <s v="유즈 솔리드퍼퓸 - 30ml향=스테이포에버 002 SOLID PERFUME, 세트 선택=best"/>
    <n v="2"/>
    <s v="고체향수"/>
    <s v="스테이포에버"/>
    <n v="210101"/>
    <m/>
    <n v="68000"/>
    <n v="64022"/>
    <n v="5184"/>
    <n v="61818.18181818182"/>
    <s v="카페24고체향수유즈 솔리드퍼퓸 - 30ml향=스테이포에버 002 SOLID PERFUME, 세트 선택=best210101"/>
  </r>
  <r>
    <x v="238"/>
    <s v="일"/>
    <m/>
    <s v="카페24"/>
    <s v="유즈 솔리드퍼퓸 - 30ml향=스테이포에버 002 SOLID PERFUME, 세트 선택=best 2개 (28% 할인)"/>
    <n v="4"/>
    <s v="고체향수"/>
    <s v="스테이포에버 2set"/>
    <n v="210101"/>
    <m/>
    <n v="235200"/>
    <n v="221440.8"/>
    <n v="20736"/>
    <n v="213818.1818181818"/>
    <s v="카페24고체향수유즈 솔리드퍼퓸 - 30ml향=스테이포에버 002 SOLID PERFUME, 세트 선택=best 2개 (28% 할인)210101"/>
  </r>
  <r>
    <x v="238"/>
    <s v="일"/>
    <m/>
    <s v="카페24"/>
    <s v="유즈 솔리드퍼퓸 - 30ml향=커플세트"/>
    <n v="7"/>
    <s v="고체향수"/>
    <s v="이그나이트 + 스테이포에버"/>
    <n v="210101"/>
    <m/>
    <n v="411600"/>
    <n v="387521.4"/>
    <n v="37415"/>
    <n v="374181.8181818182"/>
    <s v="카페24고체향수유즈 솔리드퍼퓸 - 30ml향=커플세트210101"/>
  </r>
  <r>
    <x v="238"/>
    <s v="일"/>
    <m/>
    <s v="카페24"/>
    <s v="유즈 솔리드퍼퓸 - 30ml향=커플세트(이그나이트 + 스테이포에버), 세트 선택=1 SET"/>
    <n v="5"/>
    <s v="고체향수"/>
    <s v="이그나이트 + 스테이포에버"/>
    <n v="210101"/>
    <m/>
    <n v="294000"/>
    <n v="276801"/>
    <n v="26725"/>
    <n v="267272.7272727272"/>
    <s v="카페24고체향수유즈 솔리드퍼퓸 - 30ml향=커플세트(이그나이트 + 스테이포에버), 세트 선택=1 SET210101"/>
  </r>
  <r>
    <x v="238"/>
    <s v="일"/>
    <m/>
    <s v="카페24"/>
    <s v="유즈 솔리드퍼퓸 - 30ml향=커플세트(이그나이트 + 스테이포에버), 세트 선택=2 SET (42% 할인)"/>
    <n v="1"/>
    <s v="고체향수"/>
    <s v="이그나이트 + 스테이포에버"/>
    <n v="210101"/>
    <m/>
    <n v="58800"/>
    <n v="55360.2"/>
    <n v="5345"/>
    <n v="53454.54545454545"/>
    <s v="카페24고체향수유즈 솔리드퍼퓸 - 30ml향=커플세트(이그나이트 + 스테이포에버), 세트 선택=2 SET (42% 할인)210101"/>
  </r>
  <r>
    <x v="238"/>
    <s v="일"/>
    <m/>
    <s v="카페24"/>
    <s v="유즈 솔리드퍼퓸 - 스테이포에버 002제품선택=스테이포에버 1개"/>
    <n v="421"/>
    <s v="고체향수"/>
    <s v="스테이포에버"/>
    <n v="210101"/>
    <m/>
    <n v="14314000"/>
    <n v="13476631"/>
    <n v="1091232"/>
    <n v="13012727.27272727"/>
    <s v="카페24고체향수유즈 솔리드퍼퓸 - 스테이포에버 002제품선택=스테이포에버 1개210101"/>
  </r>
  <r>
    <x v="238"/>
    <s v="일"/>
    <m/>
    <s v="카페24"/>
    <s v="유즈 솔리드퍼퓸 - 스테이포에버 002제품선택=best"/>
    <n v="99"/>
    <s v="고체향수"/>
    <s v="스테이포에버"/>
    <n v="210101"/>
    <m/>
    <n v="3366000"/>
    <n v="3169089"/>
    <n v="256608"/>
    <n v="3060000"/>
    <s v="카페24고체향수유즈 솔리드퍼퓸 - 스테이포에버 002제품선택=best210101"/>
  </r>
  <r>
    <x v="238"/>
    <s v="일"/>
    <m/>
    <s v="카페24"/>
    <s v="유즈 솔리드퍼퓸 - 스테이포에버 002제품선택=best스테이포에버 2개[28% 할인]"/>
    <n v="116"/>
    <s v="고체향수"/>
    <s v="스테이포에버 2set"/>
    <n v="210101"/>
    <m/>
    <n v="6820800"/>
    <n v="6421783.2"/>
    <n v="601344"/>
    <n v="6200727.272727272"/>
    <s v="카페24고체향수유즈 솔리드퍼퓸 - 스테이포에버 002제품선택=best스테이포에버 2개[28% 할인]210101"/>
  </r>
  <r>
    <x v="238"/>
    <s v="일"/>
    <m/>
    <s v="카페24"/>
    <s v="유즈 솔리드퍼퓸 - 스테이포에버 002제품선택=커플추천"/>
    <n v="13"/>
    <s v="고체향수"/>
    <s v="이그나이트 + 스테이포에버"/>
    <n v="210101"/>
    <m/>
    <n v="764400"/>
    <n v="719682.6"/>
    <n v="69485"/>
    <n v="694909.0909090908"/>
    <s v="카페24고체향수유즈 솔리드퍼퓸 - 스테이포에버 002제품선택=커플추천210101"/>
  </r>
  <r>
    <x v="238"/>
    <s v="일"/>
    <m/>
    <s v="카페24"/>
    <s v="유즈 솔리드퍼퓸 - 스테이포에버 002제품선택=커플추천스테이포에버 + 이그나이트 세트"/>
    <n v="17"/>
    <s v="고체향수"/>
    <s v="이그나이트 + 스테이포에버"/>
    <n v="210101"/>
    <m/>
    <n v="999600"/>
    <n v="941123.4"/>
    <n v="90865"/>
    <n v="908727.2727272727"/>
    <s v="카페24고체향수유즈 솔리드퍼퓸 - 스테이포에버 002제품선택=커플추천스테이포에버 + 이그나이트 세트210101"/>
  </r>
  <r>
    <x v="238"/>
    <s v="일"/>
    <m/>
    <s v="카페24"/>
    <s v="유즈 솔리드퍼퓸 - 스테이포에버 002쇼핑백=선물용 쇼핑백"/>
    <n v="11"/>
    <s v="쇼핑백"/>
    <s v="쇼핑백"/>
    <n v="210101"/>
    <m/>
    <n v="22000"/>
    <n v="20713"/>
    <n v="9130"/>
    <n v="20000"/>
    <s v="카페24쇼핑백유즈 솔리드퍼퓸 - 스테이포에버 002쇼핑백=선물용 쇼핑백210101"/>
  </r>
  <r>
    <x v="238"/>
    <s v="일"/>
    <m/>
    <s v="카페24"/>
    <s v="유즈 솔리드퍼퓸 - 이그나이트 001제품선택=이그나이트 솔리드퍼퓸 - 30ml"/>
    <n v="4"/>
    <s v="고체향수"/>
    <s v="이그나이트"/>
    <n v="210101"/>
    <m/>
    <n v="136000"/>
    <n v="136000"/>
    <n v="11012"/>
    <n v="123636.3636363636"/>
    <s v="카페24고체향수유즈 솔리드퍼퓸 - 이그나이트 001제품선택=이그나이트 솔리드퍼퓸 - 30ml210101"/>
  </r>
  <r>
    <x v="238"/>
    <s v="일"/>
    <m/>
    <s v="카페24"/>
    <s v="유즈 솔리드퍼퓸 - 이그나이트 001제품선택=이그나이트 2개 세트"/>
    <n v="2"/>
    <s v="고체향수"/>
    <s v="이그나이트 2set"/>
    <n v="210101"/>
    <m/>
    <n v="117600"/>
    <n v="110720.4"/>
    <n v="11012"/>
    <n v="106909.0909090909"/>
    <s v="카페24고체향수유즈 솔리드퍼퓸 - 이그나이트 001제품선택=이그나이트 2개 세트210101"/>
  </r>
  <r>
    <x v="238"/>
    <s v="일"/>
    <m/>
    <s v="카페24"/>
    <s v="유즈 스테이포에버 솔리드퍼퓸 002 (11차 예약구매 진행중)제품선택=스테이포에버 1개"/>
    <n v="2"/>
    <s v="고체향수"/>
    <s v="스테이포에버"/>
    <n v="210101"/>
    <m/>
    <n v="68000"/>
    <n v="64022"/>
    <n v="5184"/>
    <n v="61818.18181818182"/>
    <s v="카페24고체향수유즈 스테이포에버 솔리드퍼퓸 002 (11차 예약구매 진행중)제품선택=스테이포에버 1개210101"/>
  </r>
  <r>
    <x v="239"/>
    <s v="월"/>
    <m/>
    <s v="카페24"/>
    <s v="솔리드퍼퓸 스테이포에버 002 30ml"/>
    <n v="2"/>
    <s v="고체향수"/>
    <s v="스테이포에버"/>
    <n v="210101"/>
    <m/>
    <n v="76000"/>
    <n v="71554"/>
    <n v="5184"/>
    <n v="69090.90909090909"/>
    <s v="카페24고체향수솔리드퍼퓸 스테이포에버 002 30ml210101"/>
  </r>
  <r>
    <x v="239"/>
    <s v="월"/>
    <m/>
    <s v="카페24"/>
    <s v="유즈 솔리드퍼퓸 - 30ml향=이그나이트 001 SOLID PERFUME, 세트 선택=1개"/>
    <n v="3"/>
    <s v="고체향수"/>
    <s v="이그나이트"/>
    <n v="210101"/>
    <m/>
    <n v="102000"/>
    <n v="96033"/>
    <n v="8259"/>
    <n v="92727.27272727272"/>
    <s v="카페24고체향수유즈 솔리드퍼퓸 - 30ml향=이그나이트 001 SOLID PERFUME, 세트 선택=1개210101"/>
  </r>
  <r>
    <x v="239"/>
    <s v="월"/>
    <m/>
    <s v="카페24"/>
    <s v="유즈 솔리드퍼퓸 - 30ml향=스테이포에버 002 SOLID PERFUME, 세트 선택=1개"/>
    <n v="14"/>
    <s v="고체향수"/>
    <s v="스테이포에버"/>
    <n v="210101"/>
    <m/>
    <n v="476000"/>
    <n v="448154"/>
    <n v="36288"/>
    <n v="432727.2727272727"/>
    <s v="카페24고체향수유즈 솔리드퍼퓸 - 30ml향=스테이포에버 002 SOLID PERFUME, 세트 선택=1개210101"/>
  </r>
  <r>
    <x v="239"/>
    <s v="월"/>
    <m/>
    <s v="카페24"/>
    <s v="유즈 솔리드퍼퓸 - 30ml향=스테이포에버 002 SOLID PERFUME, 세트 선택=best 2개 (28% 할인)"/>
    <n v="3"/>
    <s v="고체향수"/>
    <s v="스테이포에버 2set"/>
    <n v="210101"/>
    <m/>
    <n v="176400"/>
    <n v="166080.6"/>
    <n v="15552"/>
    <n v="160363.6363636364"/>
    <s v="카페24고체향수유즈 솔리드퍼퓸 - 30ml향=스테이포에버 002 SOLID PERFUME, 세트 선택=best 2개 (28% 할인)210101"/>
  </r>
  <r>
    <x v="239"/>
    <s v="월"/>
    <m/>
    <s v="카페24"/>
    <s v="유즈 솔리드퍼퓸 - 30ml향=커플세트"/>
    <n v="1"/>
    <s v="고체향수"/>
    <s v="이그나이트 + 스테이포에버"/>
    <n v="210101"/>
    <m/>
    <n v="58800"/>
    <n v="55360.2"/>
    <n v="5345"/>
    <n v="53454.54545454545"/>
    <s v="카페24고체향수유즈 솔리드퍼퓸 - 30ml향=커플세트210101"/>
  </r>
  <r>
    <x v="239"/>
    <s v="월"/>
    <m/>
    <s v="카페24"/>
    <s v="유즈 솔리드퍼퓸 - 30ml향=커플세트(이그나이트 + 스테이포에버), 세트 선택=1 SET"/>
    <n v="5"/>
    <s v="고체향수"/>
    <s v="이그나이트 + 스테이포에버"/>
    <n v="210101"/>
    <m/>
    <n v="294000"/>
    <n v="276801"/>
    <n v="26725"/>
    <n v="267272.7272727272"/>
    <s v="카페24고체향수유즈 솔리드퍼퓸 - 30ml향=커플세트(이그나이트 + 스테이포에버), 세트 선택=1 SET210101"/>
  </r>
  <r>
    <x v="239"/>
    <s v="월"/>
    <m/>
    <s v="카페24"/>
    <s v="유즈 솔리드퍼퓸 - 30ml향=커플세트"/>
    <n v="2"/>
    <s v="고체향수"/>
    <s v="이그나이트 + 스테이포에버"/>
    <n v="210101"/>
    <m/>
    <n v="117600"/>
    <n v="110720.4"/>
    <n v="10690"/>
    <n v="106909.0909090909"/>
    <s v="카페24고체향수유즈 솔리드퍼퓸 - 30ml향=커플세트210101"/>
  </r>
  <r>
    <x v="239"/>
    <s v="월"/>
    <m/>
    <s v="카페24"/>
    <s v="유즈 솔리드퍼퓸 - 30ml향=커플세트(이그나이트 + 스테이포에버), 세트 선택=2 SET (42% 할인)"/>
    <n v="1"/>
    <s v="고체향수"/>
    <s v="이그나이트 + 스테이포에버"/>
    <n v="210101"/>
    <m/>
    <n v="58800"/>
    <n v="55360.2"/>
    <n v="5345"/>
    <n v="53454.54545454545"/>
    <s v="카페24고체향수유즈 솔리드퍼퓸 - 30ml향=커플세트(이그나이트 + 스테이포에버), 세트 선택=2 SET (42% 할인)210101"/>
  </r>
  <r>
    <x v="239"/>
    <s v="월"/>
    <m/>
    <s v="카페24"/>
    <s v="유즈 솔리드퍼퓸 - 스테이포에버 002제품선택=스테이포에버 1개"/>
    <n v="323"/>
    <s v="고체향수"/>
    <s v="스테이포에버"/>
    <n v="210101"/>
    <m/>
    <n v="10982000"/>
    <n v="10339553"/>
    <n v="837216"/>
    <n v="9983636.363636363"/>
    <s v="카페24고체향수유즈 솔리드퍼퓸 - 스테이포에버 002제품선택=스테이포에버 1개210101"/>
  </r>
  <r>
    <x v="239"/>
    <s v="월"/>
    <m/>
    <s v="카페24"/>
    <s v="유즈 솔리드퍼퓸 - 스테이포에버 002제품선택=best"/>
    <n v="62"/>
    <s v="고체향수"/>
    <s v="스테이포에버"/>
    <n v="210101"/>
    <m/>
    <n v="2108000"/>
    <n v="1984682"/>
    <n v="160704"/>
    <n v="1916363.636363636"/>
    <s v="카페24고체향수유즈 솔리드퍼퓸 - 스테이포에버 002제품선택=best210101"/>
  </r>
  <r>
    <x v="239"/>
    <s v="월"/>
    <m/>
    <s v="카페24"/>
    <s v="유즈 솔리드퍼퓸 - 스테이포에버 002제품선택=best스테이포에버 2개[28% 할인]"/>
    <n v="90"/>
    <s v="고체향수"/>
    <s v="스테이포에버 2set"/>
    <n v="210101"/>
    <m/>
    <n v="5292000"/>
    <n v="4982418"/>
    <n v="466560"/>
    <n v="4810909.090909091"/>
    <s v="카페24고체향수유즈 솔리드퍼퓸 - 스테이포에버 002제품선택=best스테이포에버 2개[28% 할인]210101"/>
  </r>
  <r>
    <x v="239"/>
    <s v="월"/>
    <m/>
    <s v="카페24"/>
    <s v="유즈 솔리드퍼퓸 - 스테이포에버 002제품선택=커플추천"/>
    <n v="5"/>
    <s v="고체향수"/>
    <s v="이그나이트 + 스테이포에버"/>
    <n v="210101"/>
    <m/>
    <n v="294000"/>
    <n v="276801"/>
    <n v="26725"/>
    <n v="267272.7272727272"/>
    <s v="카페24고체향수유즈 솔리드퍼퓸 - 스테이포에버 002제품선택=커플추천210101"/>
  </r>
  <r>
    <x v="239"/>
    <s v="월"/>
    <m/>
    <s v="카페24"/>
    <s v="유즈 솔리드퍼퓸 - 스테이포에버 002제품선택=커플추천스테이포에버 + 이그나이트 세트"/>
    <n v="24"/>
    <s v="고체향수"/>
    <s v="이그나이트 + 스테이포에버"/>
    <n v="210101"/>
    <m/>
    <n v="1411200"/>
    <n v="1328644.8"/>
    <n v="128280"/>
    <n v="1282909.090909091"/>
    <s v="카페24고체향수유즈 솔리드퍼퓸 - 스테이포에버 002제품선택=커플추천스테이포에버 + 이그나이트 세트210101"/>
  </r>
  <r>
    <x v="239"/>
    <s v="월"/>
    <m/>
    <s v="카페24"/>
    <s v="유즈 솔리드퍼퓸 - 스테이포에버 002쇼핑백=선물용 쇼핑백"/>
    <n v="19"/>
    <s v="쇼핑백"/>
    <s v="쇼핑백"/>
    <n v="210101"/>
    <m/>
    <n v="38000"/>
    <n v="35777"/>
    <n v="15770"/>
    <n v="34545.45454545454"/>
    <s v="카페24쇼핑백유즈 솔리드퍼퓸 - 스테이포에버 002쇼핑백=선물용 쇼핑백210101"/>
  </r>
  <r>
    <x v="239"/>
    <s v="월"/>
    <m/>
    <s v="카페24"/>
    <s v="유즈 솔리드퍼퓸 - 이그나이트 001제품선택=이그나이트 솔리드퍼퓸 - 30ml"/>
    <n v="5"/>
    <s v="고체향수"/>
    <s v="이그나이트"/>
    <n v="210101"/>
    <m/>
    <n v="170000"/>
    <n v="170000"/>
    <n v="13765"/>
    <n v="154545.4545454545"/>
    <s v="카페24고체향수유즈 솔리드퍼퓸 - 이그나이트 001제품선택=이그나이트 솔리드퍼퓸 - 30ml210101"/>
  </r>
  <r>
    <x v="239"/>
    <s v="월"/>
    <m/>
    <s v="카페24"/>
    <s v="유즈 스테이포에버 솔리드퍼퓸 002제품선택=스테이포에버 1개"/>
    <n v="2"/>
    <s v="고체향수"/>
    <s v="스테이포에버"/>
    <n v="210101"/>
    <m/>
    <n v="68000"/>
    <n v="64022"/>
    <n v="5184"/>
    <n v="61818.18181818182"/>
    <s v="카페24고체향수유즈 스테이포에버 솔리드퍼퓸 002제품선택=스테이포에버 1개210101"/>
  </r>
  <r>
    <x v="239"/>
    <s v="월"/>
    <m/>
    <s v="카페24"/>
    <s v="유즈 스테이포에버 솔리드퍼퓸 002제품선택=best"/>
    <n v="1"/>
    <s v="고체향수"/>
    <s v="스테이포에버"/>
    <n v="210101"/>
    <m/>
    <n v="34000"/>
    <n v="32011"/>
    <n v="2592"/>
    <n v="30909.09090909091"/>
    <s v="카페24고체향수유즈 스테이포에버 솔리드퍼퓸 002제품선택=best210101"/>
  </r>
  <r>
    <x v="240"/>
    <s v="화"/>
    <m/>
    <s v="카페24"/>
    <s v="유즈 솔리드퍼퓸 - 30ml향=이그나이트 001 SOLID PERFUME, 세트 선택=1개"/>
    <n v="2"/>
    <s v="고체향수"/>
    <s v="이그나이트"/>
    <n v="210101"/>
    <m/>
    <n v="68000"/>
    <n v="64022"/>
    <n v="5506"/>
    <n v="61818.18181818182"/>
    <s v="카페24고체향수유즈 솔리드퍼퓸 - 30ml향=이그나이트 001 SOLID PERFUME, 세트 선택=1개210101"/>
  </r>
  <r>
    <x v="240"/>
    <s v="화"/>
    <m/>
    <s v="카페24"/>
    <s v="유즈 솔리드퍼퓸 - 30ml향=스테이포에버 002 SOLID PERFUME, 세트 선택=1개"/>
    <n v="15"/>
    <s v="고체향수"/>
    <s v="스테이포에버"/>
    <n v="210101"/>
    <m/>
    <n v="510000"/>
    <n v="480165"/>
    <n v="38880"/>
    <n v="463636.3636363636"/>
    <s v="카페24고체향수유즈 솔리드퍼퓸 - 30ml향=스테이포에버 002 SOLID PERFUME, 세트 선택=1개210101"/>
  </r>
  <r>
    <x v="240"/>
    <s v="화"/>
    <m/>
    <s v="카페24"/>
    <s v="유즈 솔리드퍼퓸 - 30ml향=스테이포에버 002 SOLID PERFUME, 세트 선택=best"/>
    <n v="2"/>
    <s v="고체향수"/>
    <s v="스테이포에버"/>
    <n v="210101"/>
    <m/>
    <n v="68000"/>
    <n v="64022"/>
    <n v="5184"/>
    <n v="61818.18181818182"/>
    <s v="카페24고체향수유즈 솔리드퍼퓸 - 30ml향=스테이포에버 002 SOLID PERFUME, 세트 선택=best210101"/>
  </r>
  <r>
    <x v="240"/>
    <s v="화"/>
    <m/>
    <s v="카페24"/>
    <s v="유즈 솔리드퍼퓸 - 30ml향=스테이포에버 002 SOLID PERFUME, 세트 선택=best 2개 (28% 할인)"/>
    <n v="4"/>
    <s v="고체향수"/>
    <s v="스테이포에버 2set"/>
    <n v="210101"/>
    <m/>
    <n v="235200"/>
    <n v="221440.8"/>
    <n v="20736"/>
    <n v="213818.1818181818"/>
    <s v="카페24고체향수유즈 솔리드퍼퓸 - 30ml향=스테이포에버 002 SOLID PERFUME, 세트 선택=best 2개 (28% 할인)210101"/>
  </r>
  <r>
    <x v="240"/>
    <s v="화"/>
    <m/>
    <s v="카페24"/>
    <s v="유즈 솔리드퍼퓸 - 30ml향=커플세트(이그나이트 + 스테이포에버), 세트 선택=1 SET"/>
    <n v="9"/>
    <s v="고체향수"/>
    <s v="이그나이트 + 스테이포에버"/>
    <n v="210101"/>
    <m/>
    <n v="529200"/>
    <n v="498241.8"/>
    <n v="48105"/>
    <n v="481090.9090909091"/>
    <s v="카페24고체향수유즈 솔리드퍼퓸 - 30ml향=커플세트(이그나이트 + 스테이포에버), 세트 선택=1 SET210101"/>
  </r>
  <r>
    <x v="240"/>
    <s v="화"/>
    <m/>
    <s v="카페24"/>
    <s v="유즈 솔리드퍼퓸 - 스테이포에버 002제품선택=스테이포에버 1개"/>
    <n v="282"/>
    <s v="고체향수"/>
    <s v="스테이포에버"/>
    <n v="210101"/>
    <m/>
    <n v="9588000"/>
    <n v="9027102"/>
    <n v="730944"/>
    <n v="8716363.636363635"/>
    <s v="카페24고체향수유즈 솔리드퍼퓸 - 스테이포에버 002제품선택=스테이포에버 1개210101"/>
  </r>
  <r>
    <x v="240"/>
    <s v="화"/>
    <m/>
    <s v="카페24"/>
    <s v="유즈 솔리드퍼퓸 - 스테이포에버 002제품선택=best"/>
    <n v="23"/>
    <s v="고체향수"/>
    <s v="스테이포에버"/>
    <n v="210101"/>
    <m/>
    <n v="782000"/>
    <n v="736253"/>
    <n v="59616"/>
    <n v="710909.0909090908"/>
    <s v="카페24고체향수유즈 솔리드퍼퓸 - 스테이포에버 002제품선택=best210101"/>
  </r>
  <r>
    <x v="240"/>
    <s v="화"/>
    <m/>
    <s v="카페24"/>
    <s v="유즈 솔리드퍼퓸 - 스테이포에버 002제품선택=best스테이포에버 2개[28% 할인]"/>
    <n v="102"/>
    <s v="고체향수"/>
    <s v="스테이포에버 2set"/>
    <n v="210101"/>
    <m/>
    <n v="5997600"/>
    <n v="5646740.4"/>
    <n v="528768"/>
    <n v="5452363.636363636"/>
    <s v="카페24고체향수유즈 솔리드퍼퓸 - 스테이포에버 002제품선택=best스테이포에버 2개[28% 할인]210101"/>
  </r>
  <r>
    <x v="240"/>
    <s v="화"/>
    <m/>
    <s v="카페24"/>
    <s v="유즈 솔리드퍼퓸 - 스테이포에버 002제품선택=커플추천"/>
    <n v="1"/>
    <s v="고체향수"/>
    <s v="이그나이트 + 스테이포에버"/>
    <n v="210101"/>
    <m/>
    <n v="58800"/>
    <n v="55360.2"/>
    <n v="5345"/>
    <n v="53454.54545454545"/>
    <s v="카페24고체향수유즈 솔리드퍼퓸 - 스테이포에버 002제품선택=커플추천210101"/>
  </r>
  <r>
    <x v="240"/>
    <s v="화"/>
    <m/>
    <s v="카페24"/>
    <s v="유즈 솔리드퍼퓸 - 스테이포에버 002제품선택=커플추천스테이포에버 + 이그나이트 세트"/>
    <n v="11"/>
    <s v="고체향수"/>
    <s v="이그나이트 + 스테이포에버"/>
    <n v="210101"/>
    <m/>
    <n v="646800"/>
    <n v="608962.2"/>
    <n v="58795"/>
    <n v="588000"/>
    <s v="카페24고체향수유즈 솔리드퍼퓸 - 스테이포에버 002제품선택=커플추천스테이포에버 + 이그나이트 세트210101"/>
  </r>
  <r>
    <x v="240"/>
    <s v="화"/>
    <m/>
    <s v="카페24"/>
    <s v="유즈 솔리드퍼퓸 - 스테이포에버 002쇼핑백=선물용 쇼핑백"/>
    <n v="13"/>
    <s v="쇼핑백"/>
    <s v="쇼핑백"/>
    <n v="210101"/>
    <m/>
    <n v="26000"/>
    <n v="24479"/>
    <n v="10790"/>
    <n v="23636.36363636364"/>
    <s v="카페24쇼핑백유즈 솔리드퍼퓸 - 스테이포에버 002쇼핑백=선물용 쇼핑백210101"/>
  </r>
  <r>
    <x v="240"/>
    <s v="화"/>
    <m/>
    <s v="카페24"/>
    <s v="유즈 솔리드퍼퓸 - 이그나이트 001제품선택=이그나이트 솔리드퍼퓸 - 30ml"/>
    <n v="2"/>
    <s v="고체향수"/>
    <s v="이그나이트"/>
    <n v="210101"/>
    <m/>
    <n v="68000"/>
    <n v="68000"/>
    <n v="5506"/>
    <n v="61818.18181818182"/>
    <s v="카페24고체향수유즈 솔리드퍼퓸 - 이그나이트 001제품선택=이그나이트 솔리드퍼퓸 - 30ml210101"/>
  </r>
  <r>
    <x v="240"/>
    <s v="화"/>
    <m/>
    <s v="카페24"/>
    <s v="유즈 솔리드퍼퓸 - 이그나이트 001제품선택=이그나이트 2개 세트"/>
    <n v="1"/>
    <s v="고체향수"/>
    <s v="이그나이트 2set"/>
    <n v="210101"/>
    <m/>
    <n v="58800"/>
    <n v="55360.2"/>
    <n v="5506"/>
    <n v="53454.54545454545"/>
    <s v="카페24고체향수유즈 솔리드퍼퓸 - 이그나이트 001제품선택=이그나이트 2개 세트210101"/>
  </r>
  <r>
    <x v="240"/>
    <s v="화"/>
    <m/>
    <s v="카페24"/>
    <s v="유즈 스테이포에버 솔리드퍼퓸 002제품선택=스테이포에버 1개"/>
    <n v="2"/>
    <s v="고체향수"/>
    <s v="스테이포에버"/>
    <n v="210101"/>
    <m/>
    <n v="68000"/>
    <n v="64022"/>
    <n v="5184"/>
    <n v="61818.18181818182"/>
    <s v="카페24고체향수유즈 스테이포에버 솔리드퍼퓸 002제품선택=스테이포에버 1개210101"/>
  </r>
  <r>
    <x v="240"/>
    <s v="화"/>
    <m/>
    <s v="카페24"/>
    <s v="유즈 스테이포에버 솔리드퍼퓸 002제품선택=best스테이포에버 2개[28% 할인]"/>
    <n v="1"/>
    <s v="고체향수"/>
    <s v="스테이포에버"/>
    <n v="210101"/>
    <m/>
    <n v="34000"/>
    <n v="32011"/>
    <n v="2592"/>
    <n v="30909.09090909091"/>
    <s v="카페24고체향수유즈 스테이포에버 솔리드퍼퓸 002제품선택=best스테이포에버 2개[28% 할인]210101"/>
  </r>
  <r>
    <x v="241"/>
    <s v="수"/>
    <m/>
    <s v="카페24"/>
    <s v="유즈 솔리드퍼퓸 - 30ml향=스테이포에버 002 SOLID PERFUME, 세트 선택=1개"/>
    <n v="15"/>
    <s v="고체향수"/>
    <s v="스테이포에버"/>
    <n v="210101"/>
    <m/>
    <n v="510000"/>
    <n v="480165"/>
    <n v="38880"/>
    <n v="463636.3636363636"/>
    <s v="카페24고체향수유즈 솔리드퍼퓸 - 30ml향=스테이포에버 002 SOLID PERFUME, 세트 선택=1개210101"/>
  </r>
  <r>
    <x v="241"/>
    <s v="수"/>
    <m/>
    <s v="카페24"/>
    <s v="유즈 솔리드퍼퓸 - 30ml향=스테이포에버 002 SOLID PERFUME, 세트 선택=best 2개 (28% 할인)"/>
    <n v="5"/>
    <s v="고체향수"/>
    <s v="스테이포에버 2set"/>
    <n v="210101"/>
    <m/>
    <n v="294000"/>
    <n v="276801"/>
    <n v="25920"/>
    <n v="267272.7272727272"/>
    <s v="카페24고체향수유즈 솔리드퍼퓸 - 30ml향=스테이포에버 002 SOLID PERFUME, 세트 선택=best 2개 (28% 할인)210101"/>
  </r>
  <r>
    <x v="241"/>
    <s v="수"/>
    <m/>
    <s v="카페24"/>
    <s v="유즈 솔리드퍼퓸 - 30ml향=커플세트(이그나이트 + 스테이포에버), 세트 선택=1 SET"/>
    <n v="12"/>
    <s v="고체향수"/>
    <s v="이그나이트 + 스테이포에버"/>
    <n v="210101"/>
    <m/>
    <n v="705600"/>
    <n v="664322.4"/>
    <n v="64140"/>
    <n v="641454.5454545454"/>
    <s v="카페24고체향수유즈 솔리드퍼퓸 - 30ml향=커플세트(이그나이트 + 스테이포에버), 세트 선택=1 SET210101"/>
  </r>
  <r>
    <x v="241"/>
    <s v="수"/>
    <m/>
    <s v="카페24"/>
    <s v="유즈 솔리드퍼퓸 - 30ml향=커플세트(이그나이트 + 스테이포에버), 세트 선택=2 SET (42% 할인)"/>
    <n v="1"/>
    <s v="고체향수"/>
    <s v="이그나이트 + 스테이포에버"/>
    <n v="210101"/>
    <m/>
    <n v="58800"/>
    <n v="55360.2"/>
    <n v="5345"/>
    <n v="53454.54545454545"/>
    <s v="카페24고체향수유즈 솔리드퍼퓸 - 30ml향=커플세트(이그나이트 + 스테이포에버), 세트 선택=2 SET (42% 할인)210101"/>
  </r>
  <r>
    <x v="241"/>
    <s v="수"/>
    <m/>
    <s v="카페24"/>
    <s v="유즈 솔리드퍼퓸 - 스테이포에버 002제품선택=스테이포에버 1개"/>
    <n v="283"/>
    <s v="고체향수"/>
    <s v="스테이포에버"/>
    <n v="210101"/>
    <m/>
    <n v="9622000"/>
    <n v="9059113"/>
    <n v="733536"/>
    <n v="8747272.727272727"/>
    <s v="카페24고체향수유즈 솔리드퍼퓸 - 스테이포에버 002제품선택=스테이포에버 1개210101"/>
  </r>
  <r>
    <x v="241"/>
    <s v="수"/>
    <m/>
    <s v="카페24"/>
    <s v="유즈 솔리드퍼퓸 - 스테이포에버 002제품선택=best스테이포에버 2개[28% 할인]"/>
    <n v="126"/>
    <s v="고체향수"/>
    <s v="스테이포에버 2set"/>
    <n v="210101"/>
    <m/>
    <n v="7408800"/>
    <n v="6975385.2"/>
    <n v="653184"/>
    <n v="6735272.727272727"/>
    <s v="카페24고체향수유즈 솔리드퍼퓸 - 스테이포에버 002제품선택=best스테이포에버 2개[28% 할인]210101"/>
  </r>
  <r>
    <x v="241"/>
    <s v="수"/>
    <m/>
    <s v="카페24"/>
    <s v="유즈 솔리드퍼퓸 - 스테이포에버 002제품선택=커플추천스테이포에버 + 이그나이트 세트"/>
    <n v="15"/>
    <s v="고체향수"/>
    <s v="이그나이트 + 스테이포에버"/>
    <n v="210101"/>
    <m/>
    <n v="882000"/>
    <n v="830403"/>
    <n v="80175"/>
    <n v="801818.1818181818"/>
    <s v="카페24고체향수유즈 솔리드퍼퓸 - 스테이포에버 002제품선택=커플추천스테이포에버 + 이그나이트 세트210101"/>
  </r>
  <r>
    <x v="241"/>
    <s v="수"/>
    <m/>
    <s v="카페24"/>
    <s v="유즈 솔리드퍼퓸 - 스테이포에버 002쇼핑백=선물용 쇼핑백"/>
    <n v="12"/>
    <s v="쇼핑백"/>
    <s v="쇼핑백"/>
    <n v="210101"/>
    <m/>
    <n v="24000"/>
    <n v="22596"/>
    <n v="9960"/>
    <n v="21818.18181818182"/>
    <s v="카페24쇼핑백유즈 솔리드퍼퓸 - 스테이포에버 002쇼핑백=선물용 쇼핑백210101"/>
  </r>
  <r>
    <x v="241"/>
    <s v="수"/>
    <m/>
    <s v="카페24"/>
    <s v="유즈 솔리드퍼퓸 - 이그나이트 001제품선택=이그나이트 솔리드퍼퓸 - 30ml"/>
    <n v="4"/>
    <s v="고체향수"/>
    <s v="이그나이트"/>
    <n v="210101"/>
    <m/>
    <n v="136000"/>
    <n v="136000"/>
    <n v="11012"/>
    <n v="123636.3636363636"/>
    <s v="카페24고체향수유즈 솔리드퍼퓸 - 이그나이트 001제품선택=이그나이트 솔리드퍼퓸 - 30ml210101"/>
  </r>
  <r>
    <x v="241"/>
    <s v="수"/>
    <m/>
    <s v="카페24"/>
    <s v="유즈 솔리드퍼퓸 - 이그나이트 001제품선택=이그나이트 2개 세트"/>
    <n v="1"/>
    <s v="고체향수"/>
    <s v="이그나이트 2set"/>
    <n v="210101"/>
    <m/>
    <n v="58800"/>
    <n v="55360.2"/>
    <n v="5506"/>
    <n v="53454.54545454545"/>
    <s v="카페24고체향수유즈 솔리드퍼퓸 - 이그나이트 001제품선택=이그나이트 2개 세트210101"/>
  </r>
  <r>
    <x v="241"/>
    <s v="수"/>
    <m/>
    <s v="카페24"/>
    <s v="유즈 솔리드퍼퓸 - 이그나이트 001쇼핑백=선물용 쇼핑백"/>
    <n v="1"/>
    <s v="쇼핑백"/>
    <s v="쇼핑백"/>
    <n v="210101"/>
    <m/>
    <n v="2000"/>
    <n v="1883"/>
    <n v="830"/>
    <n v="1818.181818181818"/>
    <s v="카페24쇼핑백유즈 솔리드퍼퓸 - 이그나이트 001쇼핑백=선물용 쇼핑백210101"/>
  </r>
  <r>
    <x v="241"/>
    <s v="수"/>
    <m/>
    <s v="카페24"/>
    <s v="유즈 스테이포에버 솔리드퍼퓸 002제품선택=스테이포에버 1개"/>
    <n v="1"/>
    <s v="고체향수"/>
    <s v="스테이포에버"/>
    <n v="210101"/>
    <m/>
    <n v="34000"/>
    <n v="32011"/>
    <n v="2592"/>
    <n v="30909.09090909091"/>
    <s v="카페24고체향수유즈 스테이포에버 솔리드퍼퓸 002제품선택=스테이포에버 1개210101"/>
  </r>
  <r>
    <x v="241"/>
    <s v="수"/>
    <m/>
    <s v="카페24"/>
    <s v="유즈 스테이포에버 솔리드퍼퓸 002제품선택=best스테이포에버 2개[28% 할인]"/>
    <n v="2"/>
    <s v="고체향수"/>
    <s v="스테이포에버"/>
    <n v="210101"/>
    <m/>
    <n v="68000"/>
    <n v="64022"/>
    <n v="5184"/>
    <n v="61818.18181818182"/>
    <s v="카페24고체향수유즈 스테이포에버 솔리드퍼퓸 002제품선택=best스테이포에버 2개[28% 할인]210101"/>
  </r>
  <r>
    <x v="242"/>
    <s v="목"/>
    <m/>
    <s v="유즈 CS"/>
    <s v="솔리드퍼퓸 스테이포에버 002 30ml"/>
    <n v="1"/>
    <s v="고체향수"/>
    <s v="스테이포에버"/>
    <n v="210101"/>
    <m/>
    <n v="0"/>
    <n v="0"/>
    <n v="2592"/>
    <n v="0"/>
    <s v="유즈 CS고체향수솔리드퍼퓸 스테이포에버 002 30ml210101"/>
  </r>
  <r>
    <x v="242"/>
    <s v="목"/>
    <m/>
    <s v="카페24"/>
    <s v="솔리드퍼퓸 스테이포에버 002 30ml"/>
    <n v="1"/>
    <s v="고체향수"/>
    <s v="스테이포에버"/>
    <n v="210101"/>
    <m/>
    <n v="38000"/>
    <n v="35777"/>
    <n v="2592"/>
    <n v="34545.45454545454"/>
    <s v="카페24고체향수솔리드퍼퓸 스테이포에버 002 30ml210101"/>
  </r>
  <r>
    <x v="242"/>
    <s v="목"/>
    <m/>
    <s v="카페24"/>
    <s v="유즈 솔리드퍼퓸 - 30ml향=이그나이트 001 SOLID PERFUME, 세트 선택=1개"/>
    <n v="1"/>
    <s v="고체향수"/>
    <s v="이그나이트"/>
    <n v="210101"/>
    <m/>
    <n v="34000"/>
    <n v="32011"/>
    <n v="2753"/>
    <n v="30909.09090909091"/>
    <s v="카페24고체향수유즈 솔리드퍼퓸 - 30ml향=이그나이트 001 SOLID PERFUME, 세트 선택=1개210101"/>
  </r>
  <r>
    <x v="242"/>
    <s v="목"/>
    <m/>
    <s v="카페24"/>
    <s v="유즈 솔리드퍼퓸 - 30ml향=스테이포에버 002 SOLID PERFUME, 세트 선택=1개"/>
    <n v="14"/>
    <s v="고체향수"/>
    <s v="스테이포에버"/>
    <n v="210101"/>
    <m/>
    <n v="476000"/>
    <n v="448154"/>
    <n v="36288"/>
    <n v="432727.2727272727"/>
    <s v="카페24고체향수유즈 솔리드퍼퓸 - 30ml향=스테이포에버 002 SOLID PERFUME, 세트 선택=1개210101"/>
  </r>
  <r>
    <x v="242"/>
    <s v="목"/>
    <m/>
    <s v="카페24"/>
    <s v="유즈 솔리드퍼퓸 - 30ml향=스테이포에버 002 SOLID PERFUME, 세트 선택=best 2개 (28% 할인)"/>
    <n v="6"/>
    <s v="고체향수"/>
    <s v="스테이포에버 2set"/>
    <n v="210101"/>
    <m/>
    <n v="352800"/>
    <n v="332161.2"/>
    <n v="31104"/>
    <n v="320727.2727272727"/>
    <s v="카페24고체향수유즈 솔리드퍼퓸 - 30ml향=스테이포에버 002 SOLID PERFUME, 세트 선택=best 2개 (28% 할인)210101"/>
  </r>
  <r>
    <x v="242"/>
    <s v="목"/>
    <m/>
    <s v="카페24"/>
    <s v="유즈 솔리드퍼퓸 - 30ml향=커플세트(이그나이트 + 스테이포에버), 세트 선택=1 SET"/>
    <n v="7"/>
    <s v="고체향수"/>
    <s v="이그나이트 + 스테이포에버"/>
    <n v="210101"/>
    <m/>
    <n v="411600"/>
    <n v="387521.4"/>
    <n v="37415"/>
    <n v="374181.8181818182"/>
    <s v="카페24고체향수유즈 솔리드퍼퓸 - 30ml향=커플세트(이그나이트 + 스테이포에버), 세트 선택=1 SET210101"/>
  </r>
  <r>
    <x v="242"/>
    <s v="목"/>
    <m/>
    <s v="카페24"/>
    <s v="유즈 솔리드퍼퓸 - 스테이포에버 002제품선택=스테이포에버 1개"/>
    <n v="290"/>
    <s v="고체향수"/>
    <s v="스테이포에버"/>
    <n v="210101"/>
    <m/>
    <n v="9860000"/>
    <n v="9283190"/>
    <n v="751680"/>
    <n v="8963636.363636363"/>
    <s v="카페24고체향수유즈 솔리드퍼퓸 - 스테이포에버 002제품선택=스테이포에버 1개210101"/>
  </r>
  <r>
    <x v="242"/>
    <s v="목"/>
    <m/>
    <s v="카페24"/>
    <s v="유즈 솔리드퍼퓸 - 스테이포에버 002제품선택=best스테이포에버 2개[28% 할인]"/>
    <n v="139"/>
    <s v="고체향수"/>
    <s v="스테이포에버 2set"/>
    <n v="210101"/>
    <m/>
    <n v="8173200"/>
    <n v="7695067.8"/>
    <n v="720576"/>
    <n v="7430181.818181817"/>
    <s v="카페24고체향수유즈 솔리드퍼퓸 - 스테이포에버 002제품선택=best스테이포에버 2개[28% 할인]210101"/>
  </r>
  <r>
    <x v="242"/>
    <s v="목"/>
    <m/>
    <s v="카페24"/>
    <s v="유즈 솔리드퍼퓸 - 스테이포에버 002제품선택=커플추천스테이포에버 + 이그나이트 세트"/>
    <n v="20"/>
    <s v="고체향수"/>
    <s v="이그나이트 + 스테이포에버"/>
    <n v="210101"/>
    <m/>
    <n v="1176000"/>
    <n v="1107204"/>
    <n v="106900"/>
    <n v="1069090.909090909"/>
    <s v="카페24고체향수유즈 솔리드퍼퓸 - 스테이포에버 002제품선택=커플추천스테이포에버 + 이그나이트 세트210101"/>
  </r>
  <r>
    <x v="242"/>
    <s v="목"/>
    <m/>
    <s v="카페24"/>
    <s v="유즈 솔리드퍼퓸 - 스테이포에버 002쇼핑백=선물용 쇼핑백"/>
    <n v="16"/>
    <s v="쇼핑백"/>
    <s v="쇼핑백"/>
    <n v="210101"/>
    <m/>
    <n v="32000"/>
    <n v="30128"/>
    <n v="13280"/>
    <n v="29090.90909090909"/>
    <s v="카페24쇼핑백유즈 솔리드퍼퓸 - 스테이포에버 002쇼핑백=선물용 쇼핑백210101"/>
  </r>
  <r>
    <x v="242"/>
    <s v="목"/>
    <m/>
    <s v="카페24"/>
    <s v="유즈 솔리드퍼퓸 - 이그나이트 001제품선택=이그나이트 솔리드퍼퓸 - 30ml"/>
    <n v="1"/>
    <s v="고체향수"/>
    <s v="이그나이트"/>
    <n v="210101"/>
    <m/>
    <n v="34000"/>
    <n v="34000"/>
    <n v="2753"/>
    <n v="30909.09090909091"/>
    <s v="카페24고체향수유즈 솔리드퍼퓸 - 이그나이트 001제품선택=이그나이트 솔리드퍼퓸 - 30ml210101"/>
  </r>
  <r>
    <x v="242"/>
    <s v="목"/>
    <m/>
    <s v="카페24"/>
    <s v="유즈 솔리드퍼퓸 - 이그나이트 001제품선택=이그나이트 2개 세트"/>
    <n v="1"/>
    <s v="고체향수"/>
    <s v="이그나이트 2set"/>
    <n v="210101"/>
    <m/>
    <n v="58800"/>
    <n v="55360.2"/>
    <n v="5506"/>
    <n v="53454.54545454545"/>
    <s v="카페24고체향수유즈 솔리드퍼퓸 - 이그나이트 001제품선택=이그나이트 2개 세트210101"/>
  </r>
  <r>
    <x v="243"/>
    <s v="금"/>
    <m/>
    <s v="카페24"/>
    <s v="솔리드퍼퓸 스테이포에버 002 30ml"/>
    <n v="4"/>
    <s v="고체향수"/>
    <s v="스테이포에버"/>
    <n v="210101"/>
    <m/>
    <n v="152000"/>
    <n v="143108"/>
    <n v="10368"/>
    <n v="138181.8181818182"/>
    <s v="카페24고체향수솔리드퍼퓸 스테이포에버 002 30ml210101"/>
  </r>
  <r>
    <x v="243"/>
    <s v="금"/>
    <m/>
    <s v="카페24"/>
    <s v="유즈 솔리드퍼퓸 - 30ml향=스테이포에버 002 SOLID PERFUME, 세트 선택=1개"/>
    <n v="13"/>
    <s v="고체향수"/>
    <s v="스테이포에버"/>
    <n v="210101"/>
    <m/>
    <n v="442000"/>
    <n v="416143"/>
    <n v="33696"/>
    <n v="401818.1818181818"/>
    <s v="카페24고체향수유즈 솔리드퍼퓸 - 30ml향=스테이포에버 002 SOLID PERFUME, 세트 선택=1개210101"/>
  </r>
  <r>
    <x v="243"/>
    <s v="금"/>
    <m/>
    <s v="카페24"/>
    <s v="유즈 솔리드퍼퓸 - 30ml향=스테이포에버 002 SOLID PERFUME, 세트 선택=best 2개 (28% 할인)"/>
    <n v="6"/>
    <s v="고체향수"/>
    <s v="스테이포에버 2set"/>
    <n v="210101"/>
    <m/>
    <n v="352800"/>
    <n v="332161.2"/>
    <n v="31104"/>
    <n v="320727.2727272727"/>
    <s v="카페24고체향수유즈 솔리드퍼퓸 - 30ml향=스테이포에버 002 SOLID PERFUME, 세트 선택=best 2개 (28% 할인)210101"/>
  </r>
  <r>
    <x v="243"/>
    <s v="금"/>
    <m/>
    <s v="카페24"/>
    <s v="유즈 솔리드퍼퓸 - 30ml향=커플세트(이그나이트 + 스테이포에버), 세트 선택=1 SET"/>
    <n v="10"/>
    <s v="고체향수"/>
    <s v="이그나이트 + 스테이포에버"/>
    <n v="210101"/>
    <m/>
    <n v="588000"/>
    <n v="553602"/>
    <n v="53450"/>
    <n v="534545.4545454545"/>
    <s v="카페24고체향수유즈 솔리드퍼퓸 - 30ml향=커플세트(이그나이트 + 스테이포에버), 세트 선택=1 SET210101"/>
  </r>
  <r>
    <x v="243"/>
    <s v="금"/>
    <m/>
    <s v="카페24"/>
    <s v="유즈 솔리드퍼퓸 - 30ml향=커플세트(이그나이트 + 스테이포에버), 세트 선택=2 SET (42% 할인)"/>
    <n v="1"/>
    <s v="고체향수"/>
    <s v="이그나이트 + 스테이포에버"/>
    <n v="210101"/>
    <m/>
    <n v="58800"/>
    <n v="55360.2"/>
    <n v="5345"/>
    <n v="53454.54545454545"/>
    <s v="카페24고체향수유즈 솔리드퍼퓸 - 30ml향=커플세트(이그나이트 + 스테이포에버), 세트 선택=2 SET (42% 할인)210101"/>
  </r>
  <r>
    <x v="243"/>
    <s v="금"/>
    <m/>
    <s v="카페24"/>
    <s v="유즈 솔리드퍼퓸 - 스테이포에버 002제품선택=스테이포에버 1개"/>
    <n v="242"/>
    <s v="고체향수"/>
    <s v="스테이포에버"/>
    <n v="210101"/>
    <m/>
    <n v="8228000"/>
    <n v="7746662"/>
    <n v="627264"/>
    <n v="7479999.999999999"/>
    <s v="카페24고체향수유즈 솔리드퍼퓸 - 스테이포에버 002제품선택=스테이포에버 1개210101"/>
  </r>
  <r>
    <x v="243"/>
    <s v="금"/>
    <m/>
    <s v="카페24"/>
    <s v="유즈 솔리드퍼퓸 - 스테이포에버 002제품선택=best스테이포에버 2개[28% 할인]"/>
    <n v="105"/>
    <s v="고체향수"/>
    <s v="스테이포에버 2set"/>
    <n v="210101"/>
    <m/>
    <n v="6174000"/>
    <n v="5812821"/>
    <n v="544320"/>
    <n v="5612727.272727272"/>
    <s v="카페24고체향수유즈 솔리드퍼퓸 - 스테이포에버 002제품선택=best스테이포에버 2개[28% 할인]210101"/>
  </r>
  <r>
    <x v="243"/>
    <s v="금"/>
    <m/>
    <s v="카페24"/>
    <s v="유즈 솔리드퍼퓸 - 스테이포에버 002제품선택=커플추천스테이포에버 + 이그나이트 세트"/>
    <n v="13"/>
    <s v="고체향수"/>
    <s v="이그나이트 + 스테이포에버"/>
    <n v="210101"/>
    <m/>
    <n v="764400"/>
    <n v="719682.6"/>
    <n v="69485"/>
    <n v="694909.0909090908"/>
    <s v="카페24고체향수유즈 솔리드퍼퓸 - 스테이포에버 002제품선택=커플추천스테이포에버 + 이그나이트 세트210101"/>
  </r>
  <r>
    <x v="243"/>
    <s v="금"/>
    <m/>
    <s v="카페24"/>
    <s v="유즈 솔리드퍼퓸 - 스테이포에버 002쇼핑백=선물용 쇼핑백"/>
    <n v="6"/>
    <s v="쇼핑백"/>
    <s v="쇼핑백"/>
    <n v="210101"/>
    <m/>
    <n v="12000"/>
    <n v="11298"/>
    <n v="4980"/>
    <n v="10909.09090909091"/>
    <s v="카페24쇼핑백유즈 솔리드퍼퓸 - 스테이포에버 002쇼핑백=선물용 쇼핑백210101"/>
  </r>
  <r>
    <x v="243"/>
    <s v="금"/>
    <m/>
    <s v="카페24"/>
    <s v="유즈 솔리드퍼퓸 - 이그나이트 001제품선택=이그나이트 솔리드퍼퓸 - 30ml"/>
    <n v="2"/>
    <s v="고체향수"/>
    <s v="이그나이트"/>
    <n v="210101"/>
    <m/>
    <n v="68000"/>
    <n v="68000"/>
    <n v="5506"/>
    <n v="61818.18181818182"/>
    <s v="카페24고체향수유즈 솔리드퍼퓸 - 이그나이트 001제품선택=이그나이트 솔리드퍼퓸 - 30ml210101"/>
  </r>
  <r>
    <x v="243"/>
    <s v="금"/>
    <m/>
    <s v="카페24"/>
    <s v="유즈 솔리드퍼퓸 - 이그나이트 001제품선택=이그나이트 2개 세트"/>
    <n v="3"/>
    <s v="고체향수"/>
    <s v="이그나이트 2set"/>
    <n v="210101"/>
    <m/>
    <n v="176400"/>
    <n v="166080.6"/>
    <n v="16518"/>
    <n v="160363.6363636364"/>
    <s v="카페24고체향수유즈 솔리드퍼퓸 - 이그나이트 001제품선택=이그나이트 2개 세트210101"/>
  </r>
  <r>
    <x v="243"/>
    <s v="금"/>
    <m/>
    <s v="카페24"/>
    <s v="유즈 스테이포에버 솔리드퍼퓸 002 (11차 예약구매 진행중)제품선택=best스테이포에버 2개[28% 할인]"/>
    <n v="1"/>
    <s v="고체향수"/>
    <s v="스테이포에버 2set"/>
    <n v="210101"/>
    <m/>
    <n v="58800"/>
    <n v="55360.2"/>
    <n v="5184"/>
    <n v="53454.54545454545"/>
    <s v="카페24고체향수유즈 스테이포에버 솔리드퍼퓸 002 (11차 예약구매 진행중)제품선택=best스테이포에버 2개[28% 할인]210101"/>
  </r>
  <r>
    <x v="244"/>
    <s v="토"/>
    <m/>
    <s v="카페24"/>
    <s v="유즈 솔리드퍼퓸 - 30ml향=이그나이트 001 SOLID PERFUME, 세트 선택=1개"/>
    <n v="2"/>
    <s v="고체향수"/>
    <s v="이그나이트"/>
    <n v="210101"/>
    <m/>
    <n v="68000"/>
    <n v="64022"/>
    <n v="5506"/>
    <n v="61818.18181818182"/>
    <s v="카페24고체향수유즈 솔리드퍼퓸 - 30ml향=이그나이트 001 SOLID PERFUME, 세트 선택=1개210101"/>
  </r>
  <r>
    <x v="244"/>
    <s v="토"/>
    <m/>
    <s v="카페24"/>
    <s v="유즈 솔리드퍼퓸 - 30ml향=스테이포에버 002 SOLID PERFUME, 세트 선택=1개"/>
    <n v="16"/>
    <s v="고체향수"/>
    <s v="스테이포에버"/>
    <n v="210101"/>
    <m/>
    <n v="544000"/>
    <n v="512176"/>
    <n v="41472"/>
    <n v="494545.4545454545"/>
    <s v="카페24고체향수유즈 솔리드퍼퓸 - 30ml향=스테이포에버 002 SOLID PERFUME, 세트 선택=1개210101"/>
  </r>
  <r>
    <x v="244"/>
    <s v="토"/>
    <m/>
    <s v="카페24"/>
    <s v="유즈 솔리드퍼퓸 - 30ml향=스테이포에버 002 SOLID PERFUME, 세트 선택=best 2개 (28% 할인)"/>
    <n v="10"/>
    <s v="고체향수"/>
    <s v="스테이포에버 2set"/>
    <n v="210101"/>
    <m/>
    <n v="588000"/>
    <n v="553602"/>
    <n v="51840"/>
    <n v="534545.4545454545"/>
    <s v="카페24고체향수유즈 솔리드퍼퓸 - 30ml향=스테이포에버 002 SOLID PERFUME, 세트 선택=best 2개 (28% 할인)210101"/>
  </r>
  <r>
    <x v="244"/>
    <s v="토"/>
    <m/>
    <s v="카페24"/>
    <s v="유즈 솔리드퍼퓸 - 30ml향=커플세트(이그나이트 + 스테이포에버), 세트 선택=1 SET"/>
    <n v="7"/>
    <s v="고체향수"/>
    <s v="이그나이트 + 스테이포에버"/>
    <n v="210101"/>
    <m/>
    <n v="411600"/>
    <n v="387521.4"/>
    <n v="37415"/>
    <n v="374181.8181818182"/>
    <s v="카페24고체향수유즈 솔리드퍼퓸 - 30ml향=커플세트(이그나이트 + 스테이포에버), 세트 선택=1 SET210101"/>
  </r>
  <r>
    <x v="244"/>
    <s v="토"/>
    <m/>
    <s v="카페24"/>
    <s v="유즈 솔리드퍼퓸 - 스테이포에버 002제품선택=스테이포에버 1개"/>
    <n v="387"/>
    <s v="고체향수"/>
    <s v="스테이포에버"/>
    <n v="210101"/>
    <m/>
    <n v="13158000"/>
    <n v="12388257"/>
    <n v="1003104"/>
    <n v="11961818.18181818"/>
    <s v="카페24고체향수유즈 솔리드퍼퓸 - 스테이포에버 002제품선택=스테이포에버 1개210101"/>
  </r>
  <r>
    <x v="244"/>
    <s v="토"/>
    <m/>
    <s v="카페24"/>
    <s v="유즈 솔리드퍼퓸 - 스테이포에버 002제품선택=best스테이포에버 2개[28% 할인]"/>
    <n v="165"/>
    <s v="고체향수"/>
    <s v="스테이포에버 2set"/>
    <n v="210101"/>
    <m/>
    <n v="9702000"/>
    <n v="9134433"/>
    <n v="855360"/>
    <n v="8820000"/>
    <s v="카페24고체향수유즈 솔리드퍼퓸 - 스테이포에버 002제품선택=best스테이포에버 2개[28% 할인]210101"/>
  </r>
  <r>
    <x v="244"/>
    <s v="토"/>
    <m/>
    <s v="카페24"/>
    <s v="유즈 솔리드퍼퓸 - 스테이포에버 002제품선택=커플추천스테이포에버 + 이그나이트 세트"/>
    <n v="18"/>
    <s v="고체향수"/>
    <s v="이그나이트 + 스테이포에버"/>
    <n v="210101"/>
    <m/>
    <n v="1058400"/>
    <n v="996483.6"/>
    <n v="96210"/>
    <n v="962181.8181818181"/>
    <s v="카페24고체향수유즈 솔리드퍼퓸 - 스테이포에버 002제품선택=커플추천스테이포에버 + 이그나이트 세트210101"/>
  </r>
  <r>
    <x v="244"/>
    <s v="토"/>
    <m/>
    <s v="카페24"/>
    <s v="유즈 솔리드퍼퓸 - 스테이포에버 002쇼핑백=선물용 쇼핑백"/>
    <n v="18"/>
    <s v="쇼핑백"/>
    <s v="쇼핑백"/>
    <n v="210101"/>
    <m/>
    <n v="36000"/>
    <n v="33894"/>
    <n v="14940"/>
    <n v="32727.27272727272"/>
    <s v="카페24쇼핑백유즈 솔리드퍼퓸 - 스테이포에버 002쇼핑백=선물용 쇼핑백210101"/>
  </r>
  <r>
    <x v="244"/>
    <s v="토"/>
    <m/>
    <s v="카페24"/>
    <s v="유즈 솔리드퍼퓸 - 이그나이트 001제품선택=이그나이트 솔리드퍼퓸 - 30ml"/>
    <n v="5"/>
    <s v="고체향수"/>
    <s v="이그나이트"/>
    <n v="210101"/>
    <m/>
    <n v="170000"/>
    <n v="170000"/>
    <n v="13765"/>
    <n v="154545.4545454545"/>
    <s v="카페24고체향수유즈 솔리드퍼퓸 - 이그나이트 001제품선택=이그나이트 솔리드퍼퓸 - 30ml210101"/>
  </r>
  <r>
    <x v="244"/>
    <s v="토"/>
    <m/>
    <s v="카페24"/>
    <s v="유즈 솔리드퍼퓸 - 이그나이트 001제품선택=이그나이트 2개 세트"/>
    <n v="5"/>
    <s v="고체향수"/>
    <s v="이그나이트 2set"/>
    <n v="210101"/>
    <m/>
    <n v="294000"/>
    <n v="276801"/>
    <n v="27530"/>
    <n v="267272.7272727272"/>
    <s v="카페24고체향수유즈 솔리드퍼퓸 - 이그나이트 001제품선택=이그나이트 2개 세트210101"/>
  </r>
  <r>
    <x v="245"/>
    <s v="일"/>
    <m/>
    <s v="카페24"/>
    <s v="유즈 솔리드퍼퓸 - 30ml향=스테이포에버 002 SOLID PERFUME, 세트 선택=1개"/>
    <n v="12"/>
    <s v="고체향수"/>
    <s v="스테이포에버"/>
    <n v="210101"/>
    <m/>
    <n v="408000"/>
    <n v="384132"/>
    <n v="31104"/>
    <n v="370909.0909090909"/>
    <s v="카페24고체향수유즈 솔리드퍼퓸 - 30ml향=스테이포에버 002 SOLID PERFUME, 세트 선택=1개210101"/>
  </r>
  <r>
    <x v="245"/>
    <s v="일"/>
    <m/>
    <s v="카페24"/>
    <s v="유즈 솔리드퍼퓸 - 30ml향=스테이포에버 002 SOLID PERFUME, 세트 선택=best 2개 (28% 할인)"/>
    <n v="10"/>
    <s v="고체향수"/>
    <s v="스테이포에버 2set"/>
    <n v="210101"/>
    <m/>
    <n v="588000"/>
    <n v="553602"/>
    <n v="51840"/>
    <n v="534545.4545454545"/>
    <s v="카페24고체향수유즈 솔리드퍼퓸 - 30ml향=스테이포에버 002 SOLID PERFUME, 세트 선택=best 2개 (28% 할인)210101"/>
  </r>
  <r>
    <x v="245"/>
    <s v="일"/>
    <m/>
    <s v="카페24"/>
    <s v="유즈 솔리드퍼퓸 - 30ml향=커플세트(이그나이트 + 스테이포에버), 세트 선택=1 SET"/>
    <n v="5"/>
    <s v="고체향수"/>
    <s v="이그나이트 + 스테이포에버"/>
    <n v="210101"/>
    <m/>
    <n v="294000"/>
    <n v="276801"/>
    <n v="26725"/>
    <n v="267272.7272727272"/>
    <s v="카페24고체향수유즈 솔리드퍼퓸 - 30ml향=커플세트(이그나이트 + 스테이포에버), 세트 선택=1 SET210101"/>
  </r>
  <r>
    <x v="245"/>
    <s v="일"/>
    <m/>
    <s v="카페24"/>
    <s v="유즈 솔리드퍼퓸 - 30ml향=커플세트(이그나이트 + 스테이포에버), 세트 선택=2 SET (42% 할인)"/>
    <n v="4"/>
    <s v="고체향수"/>
    <s v="이그나이트 + 스테이포에버"/>
    <n v="210101"/>
    <m/>
    <n v="235200"/>
    <n v="221440.8"/>
    <n v="21380"/>
    <n v="213818.1818181818"/>
    <s v="카페24고체향수유즈 솔리드퍼퓸 - 30ml향=커플세트(이그나이트 + 스테이포에버), 세트 선택=2 SET (42% 할인)210101"/>
  </r>
  <r>
    <x v="245"/>
    <s v="일"/>
    <m/>
    <s v="카페24"/>
    <s v="유즈 솔리드퍼퓸 - 스테이포에버 002제품선택=스테이포에버 1개"/>
    <n v="415"/>
    <s v="고체향수"/>
    <s v="스테이포에버"/>
    <n v="210101"/>
    <m/>
    <n v="14110000"/>
    <n v="13284565"/>
    <n v="1075680"/>
    <n v="12827272.72727273"/>
    <s v="카페24고체향수유즈 솔리드퍼퓸 - 스테이포에버 002제품선택=스테이포에버 1개210101"/>
  </r>
  <r>
    <x v="245"/>
    <s v="일"/>
    <m/>
    <s v="카페24"/>
    <s v="유즈 솔리드퍼퓸 - 스테이포에버 002제품선택=best스테이포에버 2개[28% 할인]"/>
    <n v="172"/>
    <s v="고체향수"/>
    <s v="스테이포에버 2set"/>
    <n v="210101"/>
    <m/>
    <n v="10113600"/>
    <n v="9521954.4"/>
    <n v="891648"/>
    <n v="9194181.818181818"/>
    <s v="카페24고체향수유즈 솔리드퍼퓸 - 스테이포에버 002제품선택=best스테이포에버 2개[28% 할인]210101"/>
  </r>
  <r>
    <x v="245"/>
    <s v="일"/>
    <m/>
    <s v="카페24"/>
    <s v="유즈 솔리드퍼퓸 - 스테이포에버 002제품선택=커플추천스테이포에버 + 이그나이트 세트"/>
    <n v="32"/>
    <s v="고체향수"/>
    <s v="이그나이트 + 스테이포에버"/>
    <n v="210101"/>
    <m/>
    <n v="1881600"/>
    <n v="1771526.4"/>
    <n v="171040"/>
    <n v="1710545.454545454"/>
    <s v="카페24고체향수유즈 솔리드퍼퓸 - 스테이포에버 002제품선택=커플추천스테이포에버 + 이그나이트 세트210101"/>
  </r>
  <r>
    <x v="245"/>
    <s v="일"/>
    <m/>
    <s v="카페24"/>
    <s v="유즈 솔리드퍼퓸 - 스테이포에버 002쇼핑백=선물용 쇼핑백"/>
    <n v="18"/>
    <s v="쇼핑백"/>
    <s v="쇼핑백"/>
    <n v="210101"/>
    <m/>
    <n v="36000"/>
    <n v="33894"/>
    <n v="14940"/>
    <n v="32727.27272727272"/>
    <s v="카페24쇼핑백유즈 솔리드퍼퓸 - 스테이포에버 002쇼핑백=선물용 쇼핑백210101"/>
  </r>
  <r>
    <x v="245"/>
    <s v="일"/>
    <m/>
    <s v="카페24"/>
    <s v="유즈 솔리드퍼퓸 - 이그나이트 001제품선택=이그나이트 솔리드퍼퓸 - 30ml"/>
    <n v="8"/>
    <s v="고체향수"/>
    <s v="이그나이트"/>
    <n v="210101"/>
    <m/>
    <n v="272000"/>
    <n v="272000"/>
    <n v="22024"/>
    <n v="247272.7272727273"/>
    <s v="카페24고체향수유즈 솔리드퍼퓸 - 이그나이트 001제품선택=이그나이트 솔리드퍼퓸 - 30ml210101"/>
  </r>
  <r>
    <x v="245"/>
    <s v="일"/>
    <m/>
    <s v="카페24"/>
    <s v="유즈 솔리드퍼퓸 - 이그나이트 001제품선택=이그나이트 2개 세트"/>
    <n v="1"/>
    <s v="고체향수"/>
    <s v="이그나이트 2set"/>
    <n v="210101"/>
    <m/>
    <n v="58800"/>
    <n v="55360.2"/>
    <n v="5506"/>
    <n v="53454.54545454545"/>
    <s v="카페24고체향수유즈 솔리드퍼퓸 - 이그나이트 001제품선택=이그나이트 2개 세트210101"/>
  </r>
  <r>
    <x v="246"/>
    <s v="월"/>
    <m/>
    <s v="카페24"/>
    <s v="솔리드퍼퓸 스테이포에버 002 30ml"/>
    <n v="2"/>
    <s v="고체향수"/>
    <s v="스테이포에버"/>
    <n v="210101"/>
    <m/>
    <n v="76000"/>
    <n v="71554"/>
    <n v="5184"/>
    <n v="69090.90909090909"/>
    <s v="카페24고체향수솔리드퍼퓸 스테이포에버 002 30ml210101"/>
  </r>
  <r>
    <x v="246"/>
    <s v="월"/>
    <m/>
    <s v="카페24"/>
    <s v="유즈 솔리드퍼퓸 - 30ml향=이그나이트 001 SOLID PERFUME, 세트 선택=1개"/>
    <n v="2"/>
    <s v="고체향수"/>
    <s v="이그나이트"/>
    <n v="210101"/>
    <m/>
    <n v="68000"/>
    <n v="64022"/>
    <n v="5506"/>
    <n v="61818.18181818182"/>
    <s v="카페24고체향수유즈 솔리드퍼퓸 - 30ml향=이그나이트 001 SOLID PERFUME, 세트 선택=1개210101"/>
  </r>
  <r>
    <x v="246"/>
    <s v="월"/>
    <m/>
    <s v="카페24"/>
    <s v="유즈 솔리드퍼퓸 - 30ml향=스테이포에버 002 SOLID PERFUME, 세트 선택=1개"/>
    <n v="10"/>
    <s v="고체향수"/>
    <s v="스테이포에버"/>
    <n v="210101"/>
    <m/>
    <n v="340000"/>
    <n v="320110"/>
    <n v="25920"/>
    <n v="309090.9090909091"/>
    <s v="카페24고체향수유즈 솔리드퍼퓸 - 30ml향=스테이포에버 002 SOLID PERFUME, 세트 선택=1개210101"/>
  </r>
  <r>
    <x v="246"/>
    <s v="월"/>
    <m/>
    <s v="카페24"/>
    <s v="유즈 솔리드퍼퓸 - 30ml향=스테이포에버 002 SOLID PERFUME, 세트 선택=best 2개 (28% 할인)"/>
    <n v="10"/>
    <s v="고체향수"/>
    <s v="스테이포에버 2set"/>
    <n v="210101"/>
    <m/>
    <n v="588000"/>
    <n v="553602"/>
    <n v="51840"/>
    <n v="534545.4545454545"/>
    <s v="카페24고체향수유즈 솔리드퍼퓸 - 30ml향=스테이포에버 002 SOLID PERFUME, 세트 선택=best 2개 (28% 할인)210101"/>
  </r>
  <r>
    <x v="246"/>
    <s v="월"/>
    <m/>
    <s v="카페24"/>
    <s v="유즈 솔리드퍼퓸 - 30ml향=커플세트(이그나이트 + 스테이포에버), 세트 선택=1 SET"/>
    <n v="11"/>
    <s v="고체향수"/>
    <s v="이그나이트 + 스테이포에버"/>
    <n v="210101"/>
    <m/>
    <n v="646800"/>
    <n v="608962.2"/>
    <n v="58795"/>
    <n v="588000"/>
    <s v="카페24고체향수유즈 솔리드퍼퓸 - 30ml향=커플세트(이그나이트 + 스테이포에버), 세트 선택=1 SET210101"/>
  </r>
  <r>
    <x v="246"/>
    <s v="월"/>
    <m/>
    <s v="카페24"/>
    <s v="유즈 솔리드퍼퓸 - 30ml향=커플세트(이그나이트 + 스테이포에버), 세트 선택=2 SET (42% 할인)"/>
    <n v="1"/>
    <s v="고체향수"/>
    <s v="이그나이트 + 스테이포에버"/>
    <n v="210101"/>
    <m/>
    <n v="58800"/>
    <n v="55360.2"/>
    <n v="5345"/>
    <n v="53454.54545454545"/>
    <s v="카페24고체향수유즈 솔리드퍼퓸 - 30ml향=커플세트(이그나이트 + 스테이포에버), 세트 선택=2 SET (42% 할인)210101"/>
  </r>
  <r>
    <x v="246"/>
    <s v="월"/>
    <m/>
    <s v="카페24"/>
    <s v="유즈 솔리드퍼퓸 - 스테이포에버 002제품선택=스테이포에버 1개"/>
    <n v="296"/>
    <s v="고체향수"/>
    <s v="스테이포에버"/>
    <n v="210101"/>
    <m/>
    <n v="10064000"/>
    <n v="9475256"/>
    <n v="767232"/>
    <n v="9149090.909090908"/>
    <s v="카페24고체향수유즈 솔리드퍼퓸 - 스테이포에버 002제품선택=스테이포에버 1개210101"/>
  </r>
  <r>
    <x v="246"/>
    <s v="월"/>
    <m/>
    <s v="카페24"/>
    <s v="유즈 솔리드퍼퓸 - 스테이포에버 002제품선택=best스테이포에버 2개[28% 할인]"/>
    <n v="120"/>
    <s v="고체향수"/>
    <s v="스테이포에버 2set"/>
    <n v="210101"/>
    <m/>
    <n v="7056000"/>
    <n v="6643224"/>
    <n v="622080"/>
    <n v="6414545.454545454"/>
    <s v="카페24고체향수유즈 솔리드퍼퓸 - 스테이포에버 002제품선택=best스테이포에버 2개[28% 할인]210101"/>
  </r>
  <r>
    <x v="246"/>
    <s v="월"/>
    <m/>
    <s v="카페24"/>
    <s v="유즈 솔리드퍼퓸 - 스테이포에버 002제품선택=커플추천스테이포에버 + 이그나이트 세트"/>
    <n v="24"/>
    <s v="고체향수"/>
    <s v="이그나이트 + 스테이포에버"/>
    <n v="210101"/>
    <m/>
    <n v="1411200"/>
    <n v="1328644.8"/>
    <n v="128280"/>
    <n v="1282909.090909091"/>
    <s v="카페24고체향수유즈 솔리드퍼퓸 - 스테이포에버 002제품선택=커플추천스테이포에버 + 이그나이트 세트210101"/>
  </r>
  <r>
    <x v="246"/>
    <s v="월"/>
    <m/>
    <s v="카페24"/>
    <s v="유즈 솔리드퍼퓸 - 스테이포에버 002쇼핑백=선물용 쇼핑백"/>
    <n v="8"/>
    <s v="쇼핑백"/>
    <s v="쇼핑백"/>
    <n v="210101"/>
    <m/>
    <n v="16000"/>
    <n v="15064"/>
    <n v="6640"/>
    <n v="14545.45454545454"/>
    <s v="카페24쇼핑백유즈 솔리드퍼퓸 - 스테이포에버 002쇼핑백=선물용 쇼핑백210101"/>
  </r>
  <r>
    <x v="246"/>
    <s v="월"/>
    <m/>
    <s v="카페24"/>
    <s v="유즈 솔리드퍼퓸 - 이그나이트 001제품선택=이그나이트 솔리드퍼퓸 - 30ml"/>
    <n v="11"/>
    <s v="고체향수"/>
    <s v="이그나이트"/>
    <n v="210101"/>
    <m/>
    <n v="374000"/>
    <n v="374000"/>
    <n v="30283"/>
    <n v="340000"/>
    <s v="카페24고체향수유즈 솔리드퍼퓸 - 이그나이트 001제품선택=이그나이트 솔리드퍼퓸 - 30ml210101"/>
  </r>
  <r>
    <x v="247"/>
    <s v="화"/>
    <m/>
    <s v="카페24"/>
    <s v="솔리드퍼퓸 스테이포에버 002 30ml"/>
    <n v="1"/>
    <s v="고체향수"/>
    <s v="스테이포에버"/>
    <n v="210101"/>
    <m/>
    <n v="38000"/>
    <n v="35777"/>
    <n v="2592"/>
    <n v="34545.45454545454"/>
    <s v="카페24고체향수솔리드퍼퓸 스테이포에버 002 30ml210101"/>
  </r>
  <r>
    <x v="247"/>
    <s v="화"/>
    <m/>
    <s v="카페24"/>
    <s v="유즈 솔리드퍼퓸 - 30ml향=이그나이트 001 SOLID PERFUME, 세트 선택=1개"/>
    <n v="1"/>
    <s v="고체향수"/>
    <s v="이그나이트"/>
    <n v="210101"/>
    <m/>
    <n v="34000"/>
    <n v="32011"/>
    <n v="2753"/>
    <n v="30909.09090909091"/>
    <s v="카페24고체향수유즈 솔리드퍼퓸 - 30ml향=이그나이트 001 SOLID PERFUME, 세트 선택=1개210101"/>
  </r>
  <r>
    <x v="247"/>
    <s v="화"/>
    <m/>
    <s v="카페24"/>
    <s v="유즈 솔리드퍼퓸 - 30ml향=스테이포에버 002 SOLID PERFUME, 세트 선택=1개"/>
    <n v="10"/>
    <s v="고체향수"/>
    <s v="스테이포에버"/>
    <n v="210101"/>
    <m/>
    <n v="340000"/>
    <n v="320110"/>
    <n v="25920"/>
    <n v="309090.9090909091"/>
    <s v="카페24고체향수유즈 솔리드퍼퓸 - 30ml향=스테이포에버 002 SOLID PERFUME, 세트 선택=1개210101"/>
  </r>
  <r>
    <x v="247"/>
    <s v="화"/>
    <m/>
    <s v="카페24"/>
    <s v="유즈 솔리드퍼퓸 - 30ml향=스테이포에버 002 SOLID PERFUME, 세트 선택=best 2개 (28% 할인)"/>
    <n v="7"/>
    <s v="고체향수"/>
    <s v="스테이포에버 2set"/>
    <n v="210101"/>
    <m/>
    <n v="411600"/>
    <n v="387521.4"/>
    <n v="36288"/>
    <n v="374181.8181818182"/>
    <s v="카페24고체향수유즈 솔리드퍼퓸 - 30ml향=스테이포에버 002 SOLID PERFUME, 세트 선택=best 2개 (28% 할인)210101"/>
  </r>
  <r>
    <x v="247"/>
    <s v="화"/>
    <m/>
    <s v="카페24"/>
    <s v="유즈 솔리드퍼퓸 - 30ml향=커플세트(이그나이트 + 스테이포에버), 세트 선택=1 SET"/>
    <n v="11"/>
    <s v="고체향수"/>
    <s v="이그나이트 + 스테이포에버"/>
    <n v="210101"/>
    <m/>
    <n v="646800"/>
    <n v="608962.2"/>
    <n v="58795"/>
    <n v="588000"/>
    <s v="카페24고체향수유즈 솔리드퍼퓸 - 30ml향=커플세트(이그나이트 + 스테이포에버), 세트 선택=1 SET210101"/>
  </r>
  <r>
    <x v="247"/>
    <s v="화"/>
    <m/>
    <s v="카페24"/>
    <s v="유즈 솔리드퍼퓸 - 30ml향=커플세트(이그나이트 + 스테이포에버), 세트 선택=2 SET (42% 할인)"/>
    <n v="2"/>
    <s v="고체향수"/>
    <s v="이그나이트 + 스테이포에버"/>
    <n v="210101"/>
    <m/>
    <n v="117600"/>
    <n v="110720.4"/>
    <n v="10690"/>
    <n v="106909.0909090909"/>
    <s v="카페24고체향수유즈 솔리드퍼퓸 - 30ml향=커플세트(이그나이트 + 스테이포에버), 세트 선택=2 SET (42% 할인)210101"/>
  </r>
  <r>
    <x v="247"/>
    <s v="화"/>
    <m/>
    <s v="카페24"/>
    <s v="유즈 솔리드퍼퓸 - 스테이포에버 002제품선택=스테이포에버 1개"/>
    <n v="224"/>
    <s v="고체향수"/>
    <s v="스테이포에버"/>
    <n v="210101"/>
    <m/>
    <n v="7616000"/>
    <n v="7170464"/>
    <n v="580608"/>
    <n v="6923636.363636363"/>
    <s v="카페24고체향수유즈 솔리드퍼퓸 - 스테이포에버 002제품선택=스테이포에버 1개210101"/>
  </r>
  <r>
    <x v="247"/>
    <s v="화"/>
    <m/>
    <s v="카페24"/>
    <s v="유즈 솔리드퍼퓸 - 스테이포에버 002제품선택=best스테이포에버 2개[28% 할인]"/>
    <n v="123"/>
    <s v="고체향수"/>
    <s v="스테이포에버 2set"/>
    <n v="210101"/>
    <m/>
    <n v="7232400"/>
    <n v="6809304.6"/>
    <n v="637632"/>
    <n v="6574909.090909091"/>
    <s v="카페24고체향수유즈 솔리드퍼퓸 - 스테이포에버 002제품선택=best스테이포에버 2개[28% 할인]210101"/>
  </r>
  <r>
    <x v="247"/>
    <s v="화"/>
    <m/>
    <s v="카페24"/>
    <s v="유즈 솔리드퍼퓸 - 스테이포에버 002제품선택=커플추천스테이포에버 + 이그나이트 세트"/>
    <n v="18"/>
    <s v="고체향수"/>
    <s v="이그나이트 + 스테이포에버"/>
    <n v="210101"/>
    <m/>
    <n v="1058400"/>
    <n v="996483.6"/>
    <n v="96210"/>
    <n v="962181.8181818181"/>
    <s v="카페24고체향수유즈 솔리드퍼퓸 - 스테이포에버 002제품선택=커플추천스테이포에버 + 이그나이트 세트210101"/>
  </r>
  <r>
    <x v="247"/>
    <s v="화"/>
    <m/>
    <s v="카페24"/>
    <s v="유즈 솔리드퍼퓸 - 스테이포에버 002쇼핑백=선물용 쇼핑백"/>
    <n v="13"/>
    <s v="쇼핑백"/>
    <s v="쇼핑백"/>
    <n v="210101"/>
    <m/>
    <n v="26000"/>
    <n v="24479"/>
    <n v="10790"/>
    <n v="23636.36363636364"/>
    <s v="카페24쇼핑백유즈 솔리드퍼퓸 - 스테이포에버 002쇼핑백=선물용 쇼핑백210101"/>
  </r>
  <r>
    <x v="247"/>
    <s v="화"/>
    <m/>
    <s v="카페24"/>
    <s v="유즈 솔리드퍼퓸 - 이그나이트 001제품선택=이그나이트 솔리드퍼퓸 - 30ml"/>
    <n v="3"/>
    <s v="고체향수"/>
    <s v="이그나이트"/>
    <n v="210101"/>
    <m/>
    <n v="102000"/>
    <n v="102000"/>
    <n v="8259"/>
    <n v="92727.27272727272"/>
    <s v="카페24고체향수유즈 솔리드퍼퓸 - 이그나이트 001제품선택=이그나이트 솔리드퍼퓸 - 30ml210101"/>
  </r>
  <r>
    <x v="248"/>
    <s v="수"/>
    <m/>
    <s v="카페24"/>
    <s v="유즈 솔리드퍼퓸 - 30ml향=이그나이트 001 SOLID PERFUME, 세트 선택=best 2개 (28% 할인)"/>
    <n v="1"/>
    <s v="고체향수"/>
    <s v="이그나이트 2set"/>
    <n v="210101"/>
    <m/>
    <n v="58800"/>
    <n v="55360.2"/>
    <n v="5506"/>
    <n v="53454.54545454545"/>
    <s v="카페24고체향수유즈 솔리드퍼퓸 - 30ml향=이그나이트 001 SOLID PERFUME, 세트 선택=best 2개 (28% 할인)210101"/>
  </r>
  <r>
    <x v="248"/>
    <s v="수"/>
    <m/>
    <s v="카페24"/>
    <s v="유즈 솔리드퍼퓸 - 30ml향=스테이포에버 002 SOLID PERFUME, 세트 선택=1개"/>
    <n v="9"/>
    <s v="고체향수"/>
    <s v="스테이포에버"/>
    <n v="210101"/>
    <m/>
    <n v="306000"/>
    <n v="288099"/>
    <n v="23328"/>
    <n v="278181.8181818182"/>
    <s v="카페24고체향수유즈 솔리드퍼퓸 - 30ml향=스테이포에버 002 SOLID PERFUME, 세트 선택=1개210101"/>
  </r>
  <r>
    <x v="248"/>
    <s v="수"/>
    <m/>
    <s v="카페24"/>
    <s v="유즈 솔리드퍼퓸 - 30ml향=스테이포에버 002 SOLID PERFUME, 세트 선택=best 2개 (28% 할인)"/>
    <n v="5"/>
    <s v="고체향수"/>
    <s v="스테이포에버 2set"/>
    <n v="210101"/>
    <m/>
    <n v="294000"/>
    <n v="276801"/>
    <n v="25920"/>
    <n v="267272.7272727272"/>
    <s v="카페24고체향수유즈 솔리드퍼퓸 - 30ml향=스테이포에버 002 SOLID PERFUME, 세트 선택=best 2개 (28% 할인)210101"/>
  </r>
  <r>
    <x v="248"/>
    <s v="수"/>
    <m/>
    <s v="카페24"/>
    <s v="유즈 솔리드퍼퓸 - 30ml향=커플세트(이그나이트 + 스테이포에버), 세트 선택=1 SET"/>
    <n v="8"/>
    <s v="고체향수"/>
    <s v="이그나이트 + 스테이포에버"/>
    <n v="210101"/>
    <m/>
    <n v="470400"/>
    <n v="442881.6"/>
    <n v="42760"/>
    <n v="427636.3636363636"/>
    <s v="카페24고체향수유즈 솔리드퍼퓸 - 30ml향=커플세트(이그나이트 + 스테이포에버), 세트 선택=1 SET210101"/>
  </r>
  <r>
    <x v="248"/>
    <s v="수"/>
    <m/>
    <s v="카페24"/>
    <s v="유즈 솔리드퍼퓸 - 30ml향=커플세트(이그나이트 + 스테이포에버), 세트 선택=2 SET (42% 할인)"/>
    <n v="2"/>
    <s v="고체향수"/>
    <s v="이그나이트 + 스테이포에버"/>
    <n v="210101"/>
    <m/>
    <n v="117600"/>
    <n v="110720.4"/>
    <n v="10690"/>
    <n v="106909.0909090909"/>
    <s v="카페24고체향수유즈 솔리드퍼퓸 - 30ml향=커플세트(이그나이트 + 스테이포에버), 세트 선택=2 SET (42% 할인)210101"/>
  </r>
  <r>
    <x v="248"/>
    <s v="수"/>
    <m/>
    <s v="카페24"/>
    <s v="유즈 솔리드퍼퓸 - 스테이포에버 002제품선택=스테이포에버 1개"/>
    <n v="274"/>
    <s v="고체향수"/>
    <s v="스테이포에버"/>
    <n v="210101"/>
    <m/>
    <n v="9316000"/>
    <n v="8771014"/>
    <n v="710208"/>
    <n v="8469090.909090908"/>
    <s v="카페24고체향수유즈 솔리드퍼퓸 - 스테이포에버 002제품선택=스테이포에버 1개210101"/>
  </r>
  <r>
    <x v="248"/>
    <s v="수"/>
    <m/>
    <s v="카페24"/>
    <s v="유즈 솔리드퍼퓸 - 스테이포에버 002제품선택=best스테이포에버 2개[28% 할인]"/>
    <n v="138"/>
    <s v="고체향수"/>
    <s v="스테이포에버 2set"/>
    <n v="210101"/>
    <m/>
    <n v="8114400"/>
    <n v="7639707.6"/>
    <n v="715392"/>
    <n v="7376727.272727272"/>
    <s v="카페24고체향수유즈 솔리드퍼퓸 - 스테이포에버 002제품선택=best스테이포에버 2개[28% 할인]210101"/>
  </r>
  <r>
    <x v="248"/>
    <s v="수"/>
    <m/>
    <s v="카페24"/>
    <s v="유즈 솔리드퍼퓸 - 스테이포에버 002제품선택=커플추천스테이포에버 + 이그나이트 세트"/>
    <n v="17"/>
    <s v="고체향수"/>
    <s v="이그나이트 + 스테이포에버"/>
    <n v="210101"/>
    <m/>
    <n v="999600"/>
    <n v="941123.4"/>
    <n v="90865"/>
    <n v="908727.2727272727"/>
    <s v="카페24고체향수유즈 솔리드퍼퓸 - 스테이포에버 002제품선택=커플추천스테이포에버 + 이그나이트 세트210101"/>
  </r>
  <r>
    <x v="248"/>
    <s v="수"/>
    <m/>
    <s v="카페24"/>
    <s v="유즈 솔리드퍼퓸 - 스테이포에버 002쇼핑백=선물용 쇼핑백"/>
    <n v="10"/>
    <s v="쇼핑백"/>
    <s v="쇼핑백"/>
    <n v="210101"/>
    <m/>
    <n v="20000"/>
    <n v="18830"/>
    <n v="8300"/>
    <n v="18181.81818181818"/>
    <s v="카페24쇼핑백유즈 솔리드퍼퓸 - 스테이포에버 002쇼핑백=선물용 쇼핑백210101"/>
  </r>
  <r>
    <x v="248"/>
    <s v="수"/>
    <m/>
    <s v="카페24"/>
    <s v="유즈 솔리드퍼퓸 - 이그나이트 001제품선택=이그나이트 솔리드퍼퓸 - 30ml"/>
    <n v="1"/>
    <s v="고체향수"/>
    <s v="이그나이트"/>
    <n v="210101"/>
    <m/>
    <n v="34000"/>
    <n v="34000"/>
    <n v="2753"/>
    <n v="30909.09090909091"/>
    <s v="카페24고체향수유즈 솔리드퍼퓸 - 이그나이트 001제품선택=이그나이트 솔리드퍼퓸 - 30ml210101"/>
  </r>
  <r>
    <x v="248"/>
    <s v="수"/>
    <m/>
    <s v="카페24"/>
    <s v="유즈 솔리드퍼퓸 - 이그나이트 001제품선택=이그나이트 2개 세트"/>
    <n v="1"/>
    <s v="고체향수"/>
    <s v="이그나이트 2set"/>
    <n v="210101"/>
    <m/>
    <n v="58800"/>
    <n v="55360.2"/>
    <n v="5506"/>
    <n v="53454.54545454545"/>
    <s v="카페24고체향수유즈 솔리드퍼퓸 - 이그나이트 001제품선택=이그나이트 2개 세트210101"/>
  </r>
  <r>
    <x v="249"/>
    <s v="목"/>
    <m/>
    <s v="카페24"/>
    <s v="솔리드퍼퓸 세트향=이그나이트 001 SOLID PERFUME, 세트 선택=1개"/>
    <n v="1"/>
    <s v="고체향수"/>
    <s v="이그나이트"/>
    <n v="210101"/>
    <m/>
    <n v="34000"/>
    <n v="32011"/>
    <n v="2753"/>
    <n v="30909.09090909091"/>
    <s v="카페24고체향수솔리드퍼퓸 세트향=이그나이트 001 SOLID PERFUME, 세트 선택=1개210101"/>
  </r>
  <r>
    <x v="249"/>
    <s v="목"/>
    <m/>
    <s v="카페24"/>
    <s v="솔리드퍼퓸 세트향=스테이포에버 002 SOLID PERFUME, 세트 선택=1개"/>
    <n v="9"/>
    <s v="고체향수"/>
    <s v="스테이포에버"/>
    <n v="210101"/>
    <m/>
    <n v="306000"/>
    <n v="288099"/>
    <n v="23328"/>
    <n v="278181.8181818182"/>
    <s v="카페24고체향수솔리드퍼퓸 세트향=스테이포에버 002 SOLID PERFUME, 세트 선택=1개210101"/>
  </r>
  <r>
    <x v="249"/>
    <s v="목"/>
    <m/>
    <s v="카페24"/>
    <s v="솔리드퍼퓸 세트향=스테이포에버 002 SOLID PERFUME, 세트 선택=best 2개 (28% 할인)"/>
    <n v="4"/>
    <s v="고체향수"/>
    <s v="스테이포에버 2set"/>
    <n v="210101"/>
    <m/>
    <n v="235200"/>
    <n v="221440.8"/>
    <n v="20736"/>
    <n v="213818.1818181818"/>
    <s v="카페24고체향수솔리드퍼퓸 세트향=스테이포에버 002 SOLID PERFUME, 세트 선택=best 2개 (28% 할인)210101"/>
  </r>
  <r>
    <x v="249"/>
    <s v="목"/>
    <m/>
    <s v="카페24"/>
    <s v="솔리드퍼퓸 세트향=커플세트(이그나이트 + 스테이포에버), 세트 선택=1 SET"/>
    <n v="12"/>
    <s v="고체향수"/>
    <s v="이그나이트 + 스테이포에버"/>
    <n v="210101"/>
    <m/>
    <n v="705600"/>
    <n v="664322.4"/>
    <n v="64140"/>
    <n v="641454.5454545454"/>
    <s v="카페24고체향수솔리드퍼퓸 세트향=커플세트(이그나이트 + 스테이포에버), 세트 선택=1 SET210101"/>
  </r>
  <r>
    <x v="249"/>
    <s v="목"/>
    <m/>
    <s v="카페24"/>
    <s v="솔리드퍼퓸 스테이포에버 002제품선택=스테이포에버 1개"/>
    <n v="181"/>
    <s v="고체향수"/>
    <s v="스테이포에버"/>
    <n v="210101"/>
    <m/>
    <n v="6154000"/>
    <n v="5793991"/>
    <n v="469152"/>
    <n v="5594545.454545454"/>
    <s v="카페24고체향수솔리드퍼퓸 스테이포에버 002제품선택=스테이포에버 1개210101"/>
  </r>
  <r>
    <x v="249"/>
    <s v="목"/>
    <m/>
    <s v="카페24"/>
    <s v="솔리드퍼퓸 스테이포에버 002제품선택=best스테이포에버 2개[28% 할인]"/>
    <n v="79"/>
    <s v="고체향수"/>
    <s v="스테이포에버 2set"/>
    <n v="210101"/>
    <m/>
    <n v="4645200"/>
    <n v="4373455.8"/>
    <n v="409536"/>
    <n v="4222909.090909091"/>
    <s v="카페24고체향수솔리드퍼퓸 스테이포에버 002제품선택=best스테이포에버 2개[28% 할인]210101"/>
  </r>
  <r>
    <x v="249"/>
    <s v="목"/>
    <m/>
    <s v="카페24"/>
    <s v="솔리드퍼퓸 스테이포에버 002제품선택=커플추천스테이포에버 + 이그나이트 세트"/>
    <n v="16"/>
    <s v="고체향수"/>
    <s v="이그나이트 + 스테이포에버"/>
    <n v="210101"/>
    <m/>
    <n v="940800"/>
    <n v="885763.2"/>
    <n v="85520"/>
    <n v="855272.7272727272"/>
    <s v="카페24고체향수솔리드퍼퓸 스테이포에버 002제품선택=커플추천스테이포에버 + 이그나이트 세트210101"/>
  </r>
  <r>
    <x v="249"/>
    <s v="목"/>
    <m/>
    <s v="카페24"/>
    <s v="솔리드퍼퓸 스테이포에버 002쇼핑백=선물용 쇼핑백"/>
    <n v="7"/>
    <s v="쇼핑백"/>
    <s v="쇼핑백"/>
    <n v="210101"/>
    <m/>
    <n v="14000"/>
    <n v="13181"/>
    <n v="5810"/>
    <n v="12727.27272727273"/>
    <s v="카페24쇼핑백솔리드퍼퓸 스테이포에버 002쇼핑백=선물용 쇼핑백210101"/>
  </r>
  <r>
    <x v="249"/>
    <s v="목"/>
    <m/>
    <s v="카페24"/>
    <s v="솔리드퍼퓸 스테이포에버 002 30ml"/>
    <n v="1"/>
    <s v="고체향수"/>
    <s v="스테이포에버"/>
    <n v="210101"/>
    <m/>
    <n v="38000"/>
    <n v="35777"/>
    <n v="2592"/>
    <n v="34545.45454545454"/>
    <s v="카페24고체향수솔리드퍼퓸 스테이포에버 002 30ml210101"/>
  </r>
  <r>
    <x v="249"/>
    <s v="목"/>
    <m/>
    <s v="카페24"/>
    <s v="솔리드퍼퓸 이그나이트 001제품선택=이그나이트 솔리드퍼퓸 - 30ml"/>
    <n v="1"/>
    <s v="고체향수"/>
    <s v="이그나이트"/>
    <n v="210101"/>
    <m/>
    <n v="34000"/>
    <n v="32011"/>
    <n v="2753"/>
    <n v="30909.09090909091"/>
    <s v="카페24고체향수솔리드퍼퓸 이그나이트 001제품선택=이그나이트 솔리드퍼퓸 - 30ml210101"/>
  </r>
  <r>
    <x v="249"/>
    <s v="목"/>
    <m/>
    <s v="카페24"/>
    <s v="유즈 솔리드퍼퓸 - 30ml향=스테이포에버 002 SOLID PERFUME, 세트 선택=1개"/>
    <n v="6"/>
    <s v="고체향수"/>
    <s v="스테이포에버"/>
    <n v="210101"/>
    <m/>
    <n v="204000"/>
    <n v="192066"/>
    <n v="15552"/>
    <n v="185454.5454545454"/>
    <s v="카페24고체향수유즈 솔리드퍼퓸 - 30ml향=스테이포에버 002 SOLID PERFUME, 세트 선택=1개210101"/>
  </r>
  <r>
    <x v="249"/>
    <s v="목"/>
    <m/>
    <s v="카페24"/>
    <s v="유즈 솔리드퍼퓸 - 30ml향=커플세트(이그나이트 + 스테이포에버), 세트 선택=1 SET"/>
    <n v="2"/>
    <s v="고체향수"/>
    <s v="이그나이트 + 스테이포에버"/>
    <n v="210101"/>
    <m/>
    <n v="117600"/>
    <n v="110720.4"/>
    <n v="10690"/>
    <n v="106909.0909090909"/>
    <s v="카페24고체향수유즈 솔리드퍼퓸 - 30ml향=커플세트(이그나이트 + 스테이포에버), 세트 선택=1 SET210101"/>
  </r>
  <r>
    <x v="249"/>
    <s v="목"/>
    <m/>
    <s v="카페24"/>
    <s v="유즈 솔리드퍼퓸 - 스테이포에버 002제품선택=스테이포에버 1개"/>
    <n v="75"/>
    <s v="고체향수"/>
    <s v="스테이포에버"/>
    <n v="210101"/>
    <m/>
    <n v="2550000"/>
    <n v="2400825"/>
    <n v="194400"/>
    <n v="2318181.818181818"/>
    <s v="카페24고체향수유즈 솔리드퍼퓸 - 스테이포에버 002제품선택=스테이포에버 1개210101"/>
  </r>
  <r>
    <x v="249"/>
    <s v="목"/>
    <m/>
    <s v="카페24"/>
    <s v="유즈 솔리드퍼퓸 - 스테이포에버 002제품선택=best스테이포에버 2개[28% 할인]"/>
    <n v="28"/>
    <s v="고체향수"/>
    <s v="스테이포에버 2set"/>
    <n v="210101"/>
    <m/>
    <n v="1646400"/>
    <n v="1550085.6"/>
    <n v="145152"/>
    <n v="1496727.272727273"/>
    <s v="카페24고체향수유즈 솔리드퍼퓸 - 스테이포에버 002제품선택=best스테이포에버 2개[28% 할인]210101"/>
  </r>
  <r>
    <x v="249"/>
    <s v="목"/>
    <m/>
    <s v="카페24"/>
    <s v="유즈 솔리드퍼퓸 - 스테이포에버 002제품선택=커플추천스테이포에버 + 이그나이트 세트"/>
    <n v="7"/>
    <s v="고체향수"/>
    <s v="이그나이트 + 스테이포에버"/>
    <n v="210101"/>
    <m/>
    <n v="411600"/>
    <n v="387521.4"/>
    <n v="37415"/>
    <n v="374181.8181818182"/>
    <s v="카페24고체향수유즈 솔리드퍼퓸 - 스테이포에버 002제품선택=커플추천스테이포에버 + 이그나이트 세트210101"/>
  </r>
  <r>
    <x v="249"/>
    <s v="목"/>
    <m/>
    <s v="카페24"/>
    <s v="유즈 솔리드퍼퓸 - 스테이포에버 002쇼핑백=선물용 쇼핑백"/>
    <n v="1"/>
    <s v="쇼핑백"/>
    <s v="쇼핑백"/>
    <n v="210101"/>
    <m/>
    <n v="2000"/>
    <n v="1883"/>
    <n v="830"/>
    <n v="1818.181818181818"/>
    <s v="카페24쇼핑백유즈 솔리드퍼퓸 - 스테이포에버 002쇼핑백=선물용 쇼핑백210101"/>
  </r>
  <r>
    <x v="249"/>
    <s v="목"/>
    <m/>
    <s v="카페24"/>
    <s v="유즈 솔리드퍼퓸 - 이그나이트 001제품선택=이그나이트 솔리드퍼퓸 - 30ml"/>
    <n v="1"/>
    <s v="고체향수"/>
    <s v="이그나이트"/>
    <n v="210101"/>
    <m/>
    <n v="34000"/>
    <n v="34000"/>
    <n v="2753"/>
    <n v="30909.09090909091"/>
    <s v="카페24고체향수유즈 솔리드퍼퓸 - 이그나이트 001제품선택=이그나이트 솔리드퍼퓸 - 30ml210101"/>
  </r>
  <r>
    <x v="249"/>
    <s v="목"/>
    <m/>
    <s v="카페24"/>
    <s v="유즈 솔리드퍼퓸 - 이그나이트 001제품선택=이그나이트 2개 세트"/>
    <n v="1"/>
    <s v="고체향수"/>
    <s v="이그나이트 2set"/>
    <n v="210101"/>
    <m/>
    <n v="58800"/>
    <n v="55360.2"/>
    <n v="5506"/>
    <n v="53454.54545454545"/>
    <s v="카페24고체향수유즈 솔리드퍼퓸 - 이그나이트 001제품선택=이그나이트 2개 세트210101"/>
  </r>
  <r>
    <x v="250"/>
    <s v="금"/>
    <m/>
    <s v="유즈 CS"/>
    <s v="솔리드퍼퓸 스테이포에버 002 30ml"/>
    <n v="1"/>
    <s v="고체향수"/>
    <s v="스테이포에버"/>
    <n v="210101"/>
    <m/>
    <n v="0"/>
    <n v="0"/>
    <n v="2592"/>
    <n v="0"/>
    <s v="유즈 CS고체향수솔리드퍼퓸 스테이포에버 002 30ml210101"/>
  </r>
  <r>
    <x v="250"/>
    <s v="금"/>
    <m/>
    <s v="카페24"/>
    <s v="솔리드퍼퓸 세트향=이그나이트 001 SOLID PERFUME, 세트 선택=1개"/>
    <n v="3"/>
    <s v="고체향수"/>
    <s v="이그나이트"/>
    <n v="210101"/>
    <m/>
    <n v="102000"/>
    <n v="96033"/>
    <n v="8259"/>
    <n v="92727.27272727272"/>
    <s v="카페24고체향수솔리드퍼퓸 세트향=이그나이트 001 SOLID PERFUME, 세트 선택=1개210101"/>
  </r>
  <r>
    <x v="250"/>
    <s v="금"/>
    <m/>
    <s v="카페24"/>
    <s v="솔리드퍼퓸 세트향=스테이포에버 002 SOLID PERFUME, 세트 선택=1개"/>
    <n v="12"/>
    <s v="고체향수"/>
    <s v="스테이포에버"/>
    <n v="210101"/>
    <m/>
    <n v="408000"/>
    <n v="384132"/>
    <n v="31104"/>
    <n v="370909.0909090909"/>
    <s v="카페24고체향수솔리드퍼퓸 세트향=스테이포에버 002 SOLID PERFUME, 세트 선택=1개210101"/>
  </r>
  <r>
    <x v="250"/>
    <s v="금"/>
    <m/>
    <s v="카페24"/>
    <s v="솔리드퍼퓸 세트향=스테이포에버 002 SOLID PERFUME, 세트 선택=best 2개 (28% 할인)"/>
    <n v="4"/>
    <s v="고체향수"/>
    <s v="스테이포에버 2set"/>
    <n v="210101"/>
    <m/>
    <n v="235200"/>
    <n v="221440.8"/>
    <n v="20736"/>
    <n v="213818.1818181818"/>
    <s v="카페24고체향수솔리드퍼퓸 세트향=스테이포에버 002 SOLID PERFUME, 세트 선택=best 2개 (28% 할인)210101"/>
  </r>
  <r>
    <x v="250"/>
    <s v="금"/>
    <m/>
    <s v="카페24"/>
    <s v="솔리드퍼퓸 세트향=커플세트(이그나이트 + 스테이포에버), 세트 선택=1 SET"/>
    <n v="8"/>
    <s v="고체향수"/>
    <s v="이그나이트 + 스테이포에버"/>
    <n v="210101"/>
    <m/>
    <n v="470400"/>
    <n v="442881.6"/>
    <n v="42760"/>
    <n v="427636.3636363636"/>
    <s v="카페24고체향수솔리드퍼퓸 세트향=커플세트(이그나이트 + 스테이포에버), 세트 선택=1 SET210101"/>
  </r>
  <r>
    <x v="250"/>
    <s v="금"/>
    <m/>
    <s v="카페24"/>
    <s v="솔리드퍼퓸 스테이포에버 002제품선택=스테이포에버 1개"/>
    <n v="214"/>
    <s v="고체향수"/>
    <s v="스테이포에버"/>
    <n v="210101"/>
    <m/>
    <n v="7276000"/>
    <n v="6850354"/>
    <n v="554688"/>
    <n v="6614545.454545454"/>
    <s v="카페24고체향수솔리드퍼퓸 스테이포에버 002제품선택=스테이포에버 1개210101"/>
  </r>
  <r>
    <x v="250"/>
    <s v="금"/>
    <m/>
    <s v="카페24"/>
    <s v="솔리드퍼퓸 스테이포에버 002제품선택=best스테이포에버 2개[28% 할인]"/>
    <n v="121"/>
    <s v="고체향수"/>
    <s v="스테이포에버 2set"/>
    <n v="210101"/>
    <m/>
    <n v="7114800"/>
    <n v="6698584.2"/>
    <n v="627264"/>
    <n v="6467999.999999999"/>
    <s v="카페24고체향수솔리드퍼퓸 스테이포에버 002제품선택=best스테이포에버 2개[28% 할인]210101"/>
  </r>
  <r>
    <x v="250"/>
    <s v="금"/>
    <m/>
    <s v="카페24"/>
    <s v="솔리드퍼퓸 스테이포에버 002제품선택=커플추천스테이포에버 + 이그나이트 세트"/>
    <n v="14"/>
    <s v="고체향수"/>
    <s v="이그나이트 + 스테이포에버"/>
    <n v="210101"/>
    <m/>
    <n v="823200"/>
    <n v="775042.8"/>
    <n v="74830"/>
    <n v="748363.6363636364"/>
    <s v="카페24고체향수솔리드퍼퓸 스테이포에버 002제품선택=커플추천스테이포에버 + 이그나이트 세트210101"/>
  </r>
  <r>
    <x v="250"/>
    <s v="금"/>
    <m/>
    <s v="카페24"/>
    <s v="솔리드퍼퓸 스테이포에버 002쇼핑백=선물용 쇼핑백"/>
    <n v="7"/>
    <s v="쇼핑백"/>
    <s v="쇼핑백"/>
    <n v="210101"/>
    <m/>
    <n v="14000"/>
    <n v="13181"/>
    <n v="5810"/>
    <n v="12727.27272727273"/>
    <s v="카페24쇼핑백솔리드퍼퓸 스테이포에버 002쇼핑백=선물용 쇼핑백210101"/>
  </r>
  <r>
    <x v="250"/>
    <s v="금"/>
    <m/>
    <s v="카페24"/>
    <s v="솔리드퍼퓸 이그나이트 001제품선택=이그나이트 솔리드퍼퓸 - 30ml"/>
    <n v="4"/>
    <s v="고체향수"/>
    <s v="이그나이트"/>
    <n v="210101"/>
    <m/>
    <n v="136000"/>
    <n v="128044"/>
    <n v="11012"/>
    <n v="123636.3636363636"/>
    <s v="카페24고체향수솔리드퍼퓸 이그나이트 001제품선택=이그나이트 솔리드퍼퓸 - 30ml210101"/>
  </r>
  <r>
    <x v="250"/>
    <s v="금"/>
    <m/>
    <s v="카페24"/>
    <s v="솔리드퍼퓸 이그나이트 001제품선택=이그나이트 2개 세트"/>
    <n v="1"/>
    <s v="고체향수"/>
    <s v="이그나이트 2set"/>
    <n v="210101"/>
    <m/>
    <n v="58800"/>
    <n v="55360.2"/>
    <n v="5506"/>
    <n v="53454.54545454545"/>
    <s v="카페24고체향수솔리드퍼퓸 이그나이트 001제품선택=이그나이트 2개 세트210101"/>
  </r>
  <r>
    <x v="250"/>
    <s v="금"/>
    <m/>
    <s v="카페24"/>
    <s v="솔리드퍼퓸 이그나이트 001쇼핑백=선물용 쇼핑백"/>
    <n v="1"/>
    <s v="쇼핑백"/>
    <s v="쇼핑백"/>
    <n v="210101"/>
    <m/>
    <n v="2000"/>
    <n v="1883"/>
    <n v="830"/>
    <n v="1818.181818181818"/>
    <s v="카페24쇼핑백솔리드퍼퓸 이그나이트 001쇼핑백=선물용 쇼핑백210101"/>
  </r>
  <r>
    <x v="250"/>
    <s v="금"/>
    <m/>
    <s v="카페24"/>
    <s v="유즈 솔리드퍼퓸 - 스테이포에버 002제품선택=스테이포에버 1개"/>
    <n v="2"/>
    <s v="고체향수"/>
    <s v="스테이포에버"/>
    <n v="210101"/>
    <m/>
    <n v="68000"/>
    <n v="64022"/>
    <n v="5184"/>
    <n v="61818.18181818182"/>
    <s v="카페24고체향수유즈 솔리드퍼퓸 - 스테이포에버 002제품선택=스테이포에버 1개210101"/>
  </r>
  <r>
    <x v="250"/>
    <s v="금"/>
    <m/>
    <s v="카페24"/>
    <s v="유즈 솔리드퍼퓸 - 스테이포에버 002제품선택=best스테이포에버 2개[28% 할인]"/>
    <n v="2"/>
    <s v="고체향수"/>
    <s v="스테이포에버 2set"/>
    <n v="210101"/>
    <m/>
    <n v="117600"/>
    <n v="110720.4"/>
    <n v="10368"/>
    <n v="106909.0909090909"/>
    <s v="카페24고체향수유즈 솔리드퍼퓸 - 스테이포에버 002제품선택=best스테이포에버 2개[28% 할인]210101"/>
  </r>
  <r>
    <x v="251"/>
    <s v="토"/>
    <m/>
    <s v="카페24"/>
    <s v="솔리드퍼퓸 세트향=이그나이트 001 SOLID PERFUME, 세트 선택=1개"/>
    <n v="1"/>
    <s v="고체향수"/>
    <s v="이그나이트"/>
    <n v="210101"/>
    <m/>
    <n v="34000"/>
    <n v="32011"/>
    <n v="2753"/>
    <n v="30909.09090909091"/>
    <s v="카페24고체향수솔리드퍼퓸 세트향=이그나이트 001 SOLID PERFUME, 세트 선택=1개210101"/>
  </r>
  <r>
    <x v="251"/>
    <s v="토"/>
    <m/>
    <s v="카페24"/>
    <s v="솔리드퍼퓸 세트향=스테이포에버 002 SOLID PERFUME, 세트 선택=1개"/>
    <n v="5"/>
    <s v="고체향수"/>
    <s v="스테이포에버"/>
    <n v="210101"/>
    <m/>
    <n v="170000"/>
    <n v="160055"/>
    <n v="12960"/>
    <n v="154545.4545454545"/>
    <s v="카페24고체향수솔리드퍼퓸 세트향=스테이포에버 002 SOLID PERFUME, 세트 선택=1개210101"/>
  </r>
  <r>
    <x v="251"/>
    <s v="토"/>
    <m/>
    <s v="카페24"/>
    <s v="솔리드퍼퓸 세트향=스테이포에버 002 SOLID PERFUME, 세트 선택=best 2개 (28% 할인)"/>
    <n v="6"/>
    <s v="고체향수"/>
    <s v="스테이포에버 2set"/>
    <n v="210101"/>
    <m/>
    <n v="352800"/>
    <n v="332161.2"/>
    <n v="31104"/>
    <n v="320727.2727272727"/>
    <s v="카페24고체향수솔리드퍼퓸 세트향=스테이포에버 002 SOLID PERFUME, 세트 선택=best 2개 (28% 할인)210101"/>
  </r>
  <r>
    <x v="251"/>
    <s v="토"/>
    <m/>
    <s v="카페24"/>
    <s v="솔리드퍼퓸 세트향=커플세트(이그나이트 + 스테이포에버), 세트 선택=1 SET"/>
    <n v="10"/>
    <s v="고체향수"/>
    <s v="이그나이트 + 스테이포에버"/>
    <n v="210101"/>
    <m/>
    <n v="588000"/>
    <n v="553602"/>
    <n v="53450"/>
    <n v="534545.4545454545"/>
    <s v="카페24고체향수솔리드퍼퓸 세트향=커플세트(이그나이트 + 스테이포에버), 세트 선택=1 SET210101"/>
  </r>
  <r>
    <x v="251"/>
    <s v="토"/>
    <m/>
    <s v="카페24"/>
    <s v="솔리드퍼퓸 스테이포에버 002제품선택=스테이포에버 1개"/>
    <n v="266"/>
    <s v="고체향수"/>
    <s v="스테이포에버"/>
    <n v="210101"/>
    <m/>
    <n v="9044000"/>
    <n v="8514926"/>
    <n v="689472"/>
    <n v="8221818.181818181"/>
    <s v="카페24고체향수솔리드퍼퓸 스테이포에버 002제품선택=스테이포에버 1개210101"/>
  </r>
  <r>
    <x v="251"/>
    <s v="토"/>
    <m/>
    <s v="카페24"/>
    <s v="솔리드퍼퓸 스테이포에버 002제품선택=best스테이포에버 2개[28% 할인]"/>
    <n v="100"/>
    <s v="고체향수"/>
    <s v="스테이포에버 2set"/>
    <n v="210101"/>
    <m/>
    <n v="5880000"/>
    <n v="5536020"/>
    <n v="518400"/>
    <n v="5345454.545454545"/>
    <s v="카페24고체향수솔리드퍼퓸 스테이포에버 002제품선택=best스테이포에버 2개[28% 할인]210101"/>
  </r>
  <r>
    <x v="251"/>
    <s v="토"/>
    <m/>
    <s v="카페24"/>
    <s v="솔리드퍼퓸 스테이포에버 002제품선택=커플추천스테이포에버 + 이그나이트 세트"/>
    <n v="13"/>
    <s v="고체향수"/>
    <s v="이그나이트 + 스테이포에버"/>
    <n v="210101"/>
    <m/>
    <n v="764400"/>
    <n v="719682.6"/>
    <n v="69485"/>
    <n v="694909.0909090908"/>
    <s v="카페24고체향수솔리드퍼퓸 스테이포에버 002제품선택=커플추천스테이포에버 + 이그나이트 세트210101"/>
  </r>
  <r>
    <x v="251"/>
    <s v="토"/>
    <m/>
    <s v="카페24"/>
    <s v="솔리드퍼퓸 스테이포에버 002쇼핑백=선물용 쇼핑백"/>
    <n v="16"/>
    <s v="쇼핑백"/>
    <s v="쇼핑백"/>
    <n v="210101"/>
    <m/>
    <n v="32000"/>
    <n v="30128"/>
    <n v="13280"/>
    <n v="29090.90909090909"/>
    <s v="카페24쇼핑백솔리드퍼퓸 스테이포에버 002쇼핑백=선물용 쇼핑백210101"/>
  </r>
  <r>
    <x v="251"/>
    <s v="토"/>
    <m/>
    <s v="카페24"/>
    <s v="솔리드퍼퓸 이그나이트 001제품선택=이그나이트 솔리드퍼퓸 - 30ml"/>
    <n v="3"/>
    <s v="고체향수"/>
    <s v="이그나이트"/>
    <n v="210101"/>
    <m/>
    <n v="102000"/>
    <n v="96033"/>
    <n v="8259"/>
    <n v="92727.27272727272"/>
    <s v="카페24고체향수솔리드퍼퓸 이그나이트 001제품선택=이그나이트 솔리드퍼퓸 - 30ml210101"/>
  </r>
  <r>
    <x v="251"/>
    <s v="토"/>
    <m/>
    <s v="카페24"/>
    <s v="솔리드퍼퓸 이그나이트 001제품선택=이그나이트 2개 세트"/>
    <n v="4"/>
    <s v="고체향수"/>
    <s v="이그나이트 2set"/>
    <n v="210101"/>
    <m/>
    <n v="235200"/>
    <n v="221440.8"/>
    <n v="22024"/>
    <n v="213818.1818181818"/>
    <s v="카페24고체향수솔리드퍼퓸 이그나이트 001제품선택=이그나이트 2개 세트210101"/>
  </r>
  <r>
    <x v="251"/>
    <s v="토"/>
    <m/>
    <s v="카페24"/>
    <s v="유즈 솔리드퍼퓸 - 30ml향=이그나이트 001 SOLID PERFUME, 세트 선택=1개"/>
    <n v="1"/>
    <s v="고체향수"/>
    <s v="이그나이트"/>
    <n v="210101"/>
    <m/>
    <n v="34000"/>
    <n v="32011"/>
    <n v="2753"/>
    <n v="30909.09090909091"/>
    <s v="카페24고체향수유즈 솔리드퍼퓸 - 30ml향=이그나이트 001 SOLID PERFUME, 세트 선택=1개210101"/>
  </r>
  <r>
    <x v="252"/>
    <s v="일"/>
    <m/>
    <s v="카페24"/>
    <s v="솔리드퍼퓸 세트향=스테이포에버 002 SOLID PERFUME, 세트 선택=1개"/>
    <n v="12"/>
    <s v="고체향수"/>
    <s v="스테이포에버"/>
    <n v="210101"/>
    <m/>
    <n v="408000"/>
    <n v="384132"/>
    <n v="31104"/>
    <n v="370909.0909090909"/>
    <s v="카페24고체향수솔리드퍼퓸 세트향=스테이포에버 002 SOLID PERFUME, 세트 선택=1개210101"/>
  </r>
  <r>
    <x v="252"/>
    <s v="일"/>
    <m/>
    <s v="카페24"/>
    <s v="솔리드퍼퓸 세트향=스테이포에버 002 SOLID PERFUME, 세트 선택=best 2개 (28% 할인)"/>
    <n v="11"/>
    <s v="고체향수"/>
    <s v="스테이포에버 2set"/>
    <n v="210101"/>
    <m/>
    <n v="646800"/>
    <n v="608962.2"/>
    <n v="57024"/>
    <n v="588000"/>
    <s v="카페24고체향수솔리드퍼퓸 세트향=스테이포에버 002 SOLID PERFUME, 세트 선택=best 2개 (28% 할인)210101"/>
  </r>
  <r>
    <x v="252"/>
    <s v="일"/>
    <m/>
    <s v="카페24"/>
    <s v="솔리드퍼퓸 세트향=커플세트(이그나이트 + 스테이포에버), 세트 선택=1 SET"/>
    <n v="15"/>
    <s v="고체향수"/>
    <s v="이그나이트 + 스테이포에버"/>
    <n v="210101"/>
    <m/>
    <n v="882000"/>
    <n v="830403"/>
    <n v="80175"/>
    <n v="801818.1818181818"/>
    <s v="카페24고체향수솔리드퍼퓸 세트향=커플세트(이그나이트 + 스테이포에버), 세트 선택=1 SET210101"/>
  </r>
  <r>
    <x v="252"/>
    <s v="일"/>
    <m/>
    <s v="카페24"/>
    <s v="솔리드퍼퓸 세트향=커플세트(이그나이트 + 스테이포에버), 세트 선택=2 SET (42% 할인)"/>
    <n v="3"/>
    <s v="고체향수"/>
    <s v="이그나이트 + 스테이포에버"/>
    <n v="210101"/>
    <m/>
    <n v="176400"/>
    <n v="166080.6"/>
    <n v="16035"/>
    <n v="160363.6363636364"/>
    <s v="카페24고체향수솔리드퍼퓸 세트향=커플세트(이그나이트 + 스테이포에버), 세트 선택=2 SET (42% 할인)210101"/>
  </r>
  <r>
    <x v="252"/>
    <s v="일"/>
    <m/>
    <s v="카페24"/>
    <s v="솔리드퍼퓸 스테이포에버 002제품선택=스테이포에버 1개"/>
    <n v="270"/>
    <s v="고체향수"/>
    <s v="스테이포에버"/>
    <n v="210101"/>
    <m/>
    <n v="9180000"/>
    <n v="8642970"/>
    <n v="699840"/>
    <n v="8345454.545454545"/>
    <s v="카페24고체향수솔리드퍼퓸 스테이포에버 002제품선택=스테이포에버 1개210101"/>
  </r>
  <r>
    <x v="252"/>
    <s v="일"/>
    <m/>
    <s v="카페24"/>
    <s v="솔리드퍼퓸 스테이포에버 002제품선택=best스테이포에버 2개[28% 할인]"/>
    <n v="139"/>
    <s v="고체향수"/>
    <s v="스테이포에버 2set"/>
    <n v="210101"/>
    <m/>
    <n v="8173200"/>
    <n v="7695067.8"/>
    <n v="720576"/>
    <n v="7430181.818181817"/>
    <s v="카페24고체향수솔리드퍼퓸 스테이포에버 002제품선택=best스테이포에버 2개[28% 할인]210101"/>
  </r>
  <r>
    <x v="252"/>
    <s v="일"/>
    <m/>
    <s v="카페24"/>
    <s v="솔리드퍼퓸 스테이포에버 002제품선택=커플추천스테이포에버 + 이그나이트 세트"/>
    <n v="18"/>
    <s v="고체향수"/>
    <s v="이그나이트 + 스테이포에버"/>
    <n v="210101"/>
    <m/>
    <n v="1058400"/>
    <n v="996483.6"/>
    <n v="96210"/>
    <n v="962181.8181818181"/>
    <s v="카페24고체향수솔리드퍼퓸 스테이포에버 002제품선택=커플추천스테이포에버 + 이그나이트 세트210101"/>
  </r>
  <r>
    <x v="252"/>
    <s v="일"/>
    <m/>
    <s v="카페24"/>
    <s v="솔리드퍼퓸 스테이포에버 002쇼핑백=선물용 쇼핑백"/>
    <n v="17"/>
    <s v="쇼핑백"/>
    <s v="쇼핑백"/>
    <n v="210101"/>
    <m/>
    <n v="34000"/>
    <n v="32011"/>
    <n v="14110"/>
    <n v="30909.09090909091"/>
    <s v="카페24쇼핑백솔리드퍼퓸 스테이포에버 002쇼핑백=선물용 쇼핑백210101"/>
  </r>
  <r>
    <x v="252"/>
    <s v="일"/>
    <m/>
    <s v="카페24"/>
    <s v="솔리드퍼퓸 이그나이트 001제품선택=이그나이트 솔리드퍼퓸 - 30ml"/>
    <n v="3"/>
    <s v="고체향수"/>
    <s v="이그나이트"/>
    <n v="210101"/>
    <m/>
    <n v="102000"/>
    <n v="96033"/>
    <n v="8259"/>
    <n v="92727.27272727272"/>
    <s v="카페24고체향수솔리드퍼퓸 이그나이트 001제품선택=이그나이트 솔리드퍼퓸 - 30ml210101"/>
  </r>
  <r>
    <x v="252"/>
    <s v="일"/>
    <m/>
    <s v="카페24"/>
    <s v="솔리드퍼퓸 이그나이트 001제품선택=이그나이트 2개 세트"/>
    <n v="1"/>
    <s v="고체향수"/>
    <s v="이그나이트 2set"/>
    <n v="210101"/>
    <m/>
    <n v="58800"/>
    <n v="55360.2"/>
    <n v="5506"/>
    <n v="53454.54545454545"/>
    <s v="카페24고체향수솔리드퍼퓸 이그나이트 001제품선택=이그나이트 2개 세트210101"/>
  </r>
  <r>
    <x v="253"/>
    <s v="월"/>
    <m/>
    <s v="카페24"/>
    <s v="솔리드퍼퓸 세트향=이그나이트 001 SOLID PERFUME, 세트 선택=1개"/>
    <n v="3"/>
    <s v="고체향수"/>
    <s v="이그나이트"/>
    <n v="210101"/>
    <m/>
    <n v="102000"/>
    <n v="96033"/>
    <n v="8259"/>
    <n v="92727.27272727272"/>
    <s v="카페24고체향수솔리드퍼퓸 세트향=이그나이트 001 SOLID PERFUME, 세트 선택=1개210101"/>
  </r>
  <r>
    <x v="253"/>
    <s v="월"/>
    <m/>
    <s v="카페24"/>
    <s v="솔리드퍼퓸 세트향=이그나이트 001 SOLID PERFUME, 세트 선택=best 2개 (28% 할인)"/>
    <n v="1"/>
    <s v="고체향수"/>
    <s v="이그나이트 2set"/>
    <n v="210101"/>
    <m/>
    <n v="58800"/>
    <n v="55360.2"/>
    <n v="5506"/>
    <n v="53454.54545454545"/>
    <s v="카페24고체향수솔리드퍼퓸 세트향=이그나이트 001 SOLID PERFUME, 세트 선택=best 2개 (28% 할인)210101"/>
  </r>
  <r>
    <x v="253"/>
    <s v="월"/>
    <m/>
    <s v="카페24"/>
    <s v="솔리드퍼퓸 세트향=스테이포에버 002 SOLID PERFUME, 세트 선택=1개"/>
    <n v="12"/>
    <s v="고체향수"/>
    <s v="스테이포에버"/>
    <n v="210101"/>
    <m/>
    <n v="408000"/>
    <n v="384132"/>
    <n v="31104"/>
    <n v="370909.0909090909"/>
    <s v="카페24고체향수솔리드퍼퓸 세트향=스테이포에버 002 SOLID PERFUME, 세트 선택=1개210101"/>
  </r>
  <r>
    <x v="253"/>
    <s v="월"/>
    <m/>
    <s v="카페24"/>
    <s v="솔리드퍼퓸 세트향=스테이포에버 002 SOLID PERFUME, 세트 선택=best 2개 (28% 할인)"/>
    <n v="4"/>
    <s v="고체향수"/>
    <s v="스테이포에버 2set"/>
    <n v="210101"/>
    <m/>
    <n v="235200"/>
    <n v="221440.8"/>
    <n v="20736"/>
    <n v="213818.1818181818"/>
    <s v="카페24고체향수솔리드퍼퓸 세트향=스테이포에버 002 SOLID PERFUME, 세트 선택=best 2개 (28% 할인)210101"/>
  </r>
  <r>
    <x v="253"/>
    <s v="월"/>
    <m/>
    <s v="카페24"/>
    <s v="솔리드퍼퓸 세트향=커플세트(이그나이트 + 스테이포에버), 세트 선택=1 SET"/>
    <n v="9"/>
    <s v="고체향수"/>
    <s v="이그나이트 + 스테이포에버"/>
    <n v="210101"/>
    <m/>
    <n v="529200"/>
    <n v="498241.8"/>
    <n v="48105"/>
    <n v="481090.9090909091"/>
    <s v="카페24고체향수솔리드퍼퓸 세트향=커플세트(이그나이트 + 스테이포에버), 세트 선택=1 SET210101"/>
  </r>
  <r>
    <x v="253"/>
    <s v="월"/>
    <m/>
    <s v="카페24"/>
    <s v="솔리드퍼퓸 세트향=커플세트(이그나이트 + 스테이포에버), 세트 선택=2 SET (42% 할인)"/>
    <n v="1"/>
    <s v="고체향수"/>
    <s v="이그나이트 + 스테이포에버"/>
    <n v="210101"/>
    <m/>
    <n v="58800"/>
    <n v="55360.2"/>
    <n v="5345"/>
    <n v="53454.54545454545"/>
    <s v="카페24고체향수솔리드퍼퓸 세트향=커플세트(이그나이트 + 스테이포에버), 세트 선택=2 SET (42% 할인)210101"/>
  </r>
  <r>
    <x v="253"/>
    <s v="월"/>
    <m/>
    <s v="카페24"/>
    <s v="솔리드퍼퓸 스테이포에버 002제품선택=스테이포에버 1개"/>
    <n v="291"/>
    <s v="고체향수"/>
    <s v="스테이포에버"/>
    <n v="210101"/>
    <m/>
    <n v="9894000"/>
    <n v="9315201"/>
    <n v="754272"/>
    <n v="8994545.454545453"/>
    <s v="카페24고체향수솔리드퍼퓸 스테이포에버 002제품선택=스테이포에버 1개210101"/>
  </r>
  <r>
    <x v="253"/>
    <s v="월"/>
    <m/>
    <s v="카페24"/>
    <s v="솔리드퍼퓸 스테이포에버 002제품선택=best스테이포에버 2개[28% 할인]"/>
    <n v="123"/>
    <s v="고체향수"/>
    <s v="스테이포에버 2set"/>
    <n v="210101"/>
    <m/>
    <n v="7232400"/>
    <n v="6809304.6"/>
    <n v="637632"/>
    <n v="6574909.090909091"/>
    <s v="카페24고체향수솔리드퍼퓸 스테이포에버 002제품선택=best스테이포에버 2개[28% 할인]210101"/>
  </r>
  <r>
    <x v="253"/>
    <s v="월"/>
    <m/>
    <s v="카페24"/>
    <s v="솔리드퍼퓸 스테이포에버 002제품선택=커플추천스테이포에버 + 이그나이트 세트"/>
    <n v="14"/>
    <s v="고체향수"/>
    <s v="이그나이트 + 스테이포에버"/>
    <n v="210101"/>
    <m/>
    <n v="823200"/>
    <n v="775042.8"/>
    <n v="74830"/>
    <n v="748363.6363636364"/>
    <s v="카페24고체향수솔리드퍼퓸 스테이포에버 002제품선택=커플추천스테이포에버 + 이그나이트 세트210101"/>
  </r>
  <r>
    <x v="253"/>
    <s v="월"/>
    <m/>
    <s v="카페24"/>
    <s v="솔리드퍼퓸 스테이포에버 002쇼핑백=선물용 쇼핑백"/>
    <n v="7"/>
    <s v="쇼핑백"/>
    <s v="쇼핑백"/>
    <n v="210101"/>
    <m/>
    <n v="14000"/>
    <n v="13181"/>
    <n v="5810"/>
    <n v="12727.27272727273"/>
    <s v="카페24쇼핑백솔리드퍼퓸 스테이포에버 002쇼핑백=선물용 쇼핑백210101"/>
  </r>
  <r>
    <x v="253"/>
    <s v="월"/>
    <m/>
    <s v="카페24"/>
    <s v="솔리드퍼퓸 스테이포에버 002 30ml"/>
    <n v="2"/>
    <s v="고체향수"/>
    <s v="스테이포에버"/>
    <n v="210101"/>
    <m/>
    <n v="76000"/>
    <n v="71554"/>
    <n v="5184"/>
    <n v="69090.90909090909"/>
    <s v="카페24고체향수솔리드퍼퓸 스테이포에버 002 30ml210101"/>
  </r>
  <r>
    <x v="253"/>
    <s v="월"/>
    <m/>
    <s v="카페24"/>
    <s v="솔리드퍼퓸 이그나이트 001제품선택=이그나이트 솔리드퍼퓸 - 30ml"/>
    <n v="2"/>
    <s v="고체향수"/>
    <s v="이그나이트"/>
    <n v="210101"/>
    <m/>
    <n v="68000"/>
    <n v="64022"/>
    <n v="5506"/>
    <n v="61818.18181818182"/>
    <s v="카페24고체향수솔리드퍼퓸 이그나이트 001제품선택=이그나이트 솔리드퍼퓸 - 30ml210101"/>
  </r>
  <r>
    <x v="253"/>
    <s v="월"/>
    <m/>
    <s v="카페24"/>
    <s v="솔리드퍼퓸 이그나이트 001제품선택=이그나이트 2개 세트"/>
    <n v="2"/>
    <s v="고체향수"/>
    <s v="이그나이트 2set"/>
    <n v="210101"/>
    <m/>
    <n v="117600"/>
    <n v="110720.4"/>
    <n v="11012"/>
    <n v="106909.0909090909"/>
    <s v="카페24고체향수솔리드퍼퓸 이그나이트 001제품선택=이그나이트 2개 세트210101"/>
  </r>
  <r>
    <x v="253"/>
    <s v="월"/>
    <m/>
    <s v="카페24"/>
    <s v="솔리드퍼퓸 이그나이트 001 30ml"/>
    <n v="1"/>
    <s v="고체향수"/>
    <s v="이그나이트"/>
    <n v="210101"/>
    <m/>
    <n v="34000"/>
    <n v="32011"/>
    <n v="2753"/>
    <n v="30909.09090909091"/>
    <s v="카페24고체향수솔리드퍼퓸 이그나이트 001 30ml210101"/>
  </r>
  <r>
    <x v="253"/>
    <s v="월"/>
    <m/>
    <s v="카페24"/>
    <s v="유즈 솔리드퍼퓸 - 스테이포에버 002제품선택=스테이포에버 1개"/>
    <n v="1"/>
    <s v="고체향수"/>
    <s v="스테이포에버"/>
    <n v="210101"/>
    <m/>
    <n v="34000"/>
    <n v="32011"/>
    <n v="2592"/>
    <n v="30909.09090909091"/>
    <s v="카페24고체향수유즈 솔리드퍼퓸 - 스테이포에버 002제품선택=스테이포에버 1개210101"/>
  </r>
  <r>
    <x v="254"/>
    <s v="화"/>
    <m/>
    <s v="유즈 CS"/>
    <s v="솔리드퍼퓸 스테이포에버 002 30ml_CS"/>
    <n v="1"/>
    <s v="고체향수"/>
    <s v="스테이포에버"/>
    <n v="210101"/>
    <m/>
    <n v="0"/>
    <n v="0"/>
    <n v="2592"/>
    <n v="0"/>
    <s v="유즈 CS고체향수솔리드퍼퓸 스테이포에버 002 30ml_CS210101"/>
  </r>
  <r>
    <x v="254"/>
    <s v="화"/>
    <m/>
    <s v="카페24"/>
    <s v="선물용 쇼핑백"/>
    <n v="1"/>
    <s v="쇼핑백"/>
    <s v="쇼핑백"/>
    <n v="210101"/>
    <m/>
    <n v="2000"/>
    <n v="1883"/>
    <n v="830"/>
    <n v="1818.181818181818"/>
    <s v="카페24쇼핑백선물용 쇼핑백210101"/>
  </r>
  <r>
    <x v="254"/>
    <s v="화"/>
    <m/>
    <s v="카페24"/>
    <s v="솔리드퍼퓸 세트향=이그나이트 001 SOLID PERFUME, 세트 선택=1개"/>
    <n v="4"/>
    <s v="고체향수"/>
    <s v="이그나이트"/>
    <n v="210101"/>
    <m/>
    <n v="136000"/>
    <n v="128044"/>
    <n v="11012"/>
    <n v="123636.3636363636"/>
    <s v="카페24고체향수솔리드퍼퓸 세트향=이그나이트 001 SOLID PERFUME, 세트 선택=1개210101"/>
  </r>
  <r>
    <x v="254"/>
    <s v="화"/>
    <m/>
    <s v="카페24"/>
    <s v="솔리드퍼퓸 세트향=스테이포에버 002 SOLID PERFUME, 세트 선택=1개"/>
    <n v="11"/>
    <s v="고체향수"/>
    <s v="스테이포에버"/>
    <n v="210101"/>
    <m/>
    <n v="374000"/>
    <n v="352121"/>
    <n v="28512"/>
    <n v="340000"/>
    <s v="카페24고체향수솔리드퍼퓸 세트향=스테이포에버 002 SOLID PERFUME, 세트 선택=1개210101"/>
  </r>
  <r>
    <x v="254"/>
    <s v="화"/>
    <m/>
    <s v="카페24"/>
    <s v="솔리드퍼퓸 세트향=스테이포에버 002 SOLID PERFUME, 세트 선택=best 2개 (28% 할인)"/>
    <n v="9"/>
    <s v="고체향수"/>
    <s v="스테이포에버 2set"/>
    <n v="210101"/>
    <m/>
    <n v="529200"/>
    <n v="498241.8"/>
    <n v="46656"/>
    <n v="481090.9090909091"/>
    <s v="카페24고체향수솔리드퍼퓸 세트향=스테이포에버 002 SOLID PERFUME, 세트 선택=best 2개 (28% 할인)210101"/>
  </r>
  <r>
    <x v="254"/>
    <s v="화"/>
    <m/>
    <s v="카페24"/>
    <s v="솔리드퍼퓸 세트향=커플세트(이그나이트 + 스테이포에버), 세트 선택=1 SET"/>
    <n v="5"/>
    <s v="고체향수"/>
    <s v="이그나이트 + 스테이포에버"/>
    <n v="210101"/>
    <m/>
    <n v="294000"/>
    <n v="276801"/>
    <n v="26725"/>
    <n v="267272.7272727272"/>
    <s v="카페24고체향수솔리드퍼퓸 세트향=커플세트(이그나이트 + 스테이포에버), 세트 선택=1 SET210101"/>
  </r>
  <r>
    <x v="254"/>
    <s v="화"/>
    <m/>
    <s v="카페24"/>
    <s v="솔리드퍼퓸 세트향=커플세트(이그나이트 + 스테이포에버), 세트 선택=2 SET (42% 할인)"/>
    <n v="1"/>
    <s v="고체향수"/>
    <s v="이그나이트 + 스테이포에버"/>
    <n v="210101"/>
    <m/>
    <n v="58800"/>
    <n v="55360.2"/>
    <n v="5345"/>
    <n v="53454.54545454545"/>
    <s v="카페24고체향수솔리드퍼퓸 세트향=커플세트(이그나이트 + 스테이포에버), 세트 선택=2 SET (42% 할인)210101"/>
  </r>
  <r>
    <x v="254"/>
    <s v="화"/>
    <m/>
    <s v="카페24"/>
    <s v="솔리드퍼퓸 스테이포에버 002제품선택=스테이포에버 1개"/>
    <n v="279"/>
    <s v="고체향수"/>
    <s v="스테이포에버"/>
    <n v="210101"/>
    <m/>
    <n v="9486000"/>
    <n v="8931069"/>
    <n v="723168"/>
    <n v="8623636.363636363"/>
    <s v="카페24고체향수솔리드퍼퓸 스테이포에버 002제품선택=스테이포에버 1개210101"/>
  </r>
  <r>
    <x v="254"/>
    <s v="화"/>
    <m/>
    <s v="카페24"/>
    <s v="솔리드퍼퓸 스테이포에버 002제품선택=best스테이포에버 2개[28% 할인]"/>
    <n v="118"/>
    <s v="고체향수"/>
    <s v="스테이포에버 2set"/>
    <n v="210101"/>
    <m/>
    <n v="6938400"/>
    <n v="6532503.6"/>
    <n v="611712"/>
    <n v="6307636.363636363"/>
    <s v="카페24고체향수솔리드퍼퓸 스테이포에버 002제품선택=best스테이포에버 2개[28% 할인]210101"/>
  </r>
  <r>
    <x v="254"/>
    <s v="화"/>
    <m/>
    <s v="카페24"/>
    <s v="솔리드퍼퓸 스테이포에버 002제품선택=커플추천스테이포에버 + 이그나이트 세트"/>
    <n v="8"/>
    <s v="고체향수"/>
    <s v="이그나이트 + 스테이포에버"/>
    <n v="210101"/>
    <m/>
    <n v="470400"/>
    <n v="442881.6"/>
    <n v="42760"/>
    <n v="427636.3636363636"/>
    <s v="카페24고체향수솔리드퍼퓸 스테이포에버 002제품선택=커플추천스테이포에버 + 이그나이트 세트210101"/>
  </r>
  <r>
    <x v="254"/>
    <s v="화"/>
    <m/>
    <s v="카페24"/>
    <s v="솔리드퍼퓸 스테이포에버 002쇼핑백=선물용 쇼핑백"/>
    <n v="6"/>
    <s v="쇼핑백"/>
    <s v="쇼핑백"/>
    <n v="210101"/>
    <m/>
    <n v="12000"/>
    <n v="11298"/>
    <n v="4980"/>
    <n v="10909.09090909091"/>
    <s v="카페24쇼핑백솔리드퍼퓸 스테이포에버 002쇼핑백=선물용 쇼핑백210101"/>
  </r>
  <r>
    <x v="254"/>
    <s v="화"/>
    <m/>
    <s v="카페24"/>
    <s v="솔리드퍼퓸 이그나이트 001제품선택=이그나이트 솔리드퍼퓸 - 30ml"/>
    <n v="6"/>
    <s v="고체향수"/>
    <s v="이그나이트"/>
    <n v="210101"/>
    <m/>
    <n v="204000"/>
    <n v="192066"/>
    <n v="16518"/>
    <n v="185454.5454545454"/>
    <s v="카페24고체향수솔리드퍼퓸 이그나이트 001제품선택=이그나이트 솔리드퍼퓸 - 30ml210101"/>
  </r>
  <r>
    <x v="254"/>
    <s v="화"/>
    <m/>
    <s v="카페24"/>
    <s v="솔리드퍼퓸 이그나이트 001제품선택=이그나이트 2개 세트"/>
    <n v="2"/>
    <s v="고체향수"/>
    <s v="이그나이트 2set"/>
    <n v="210101"/>
    <m/>
    <n v="117600"/>
    <n v="110720.4"/>
    <n v="11012"/>
    <n v="106909.0909090909"/>
    <s v="카페24고체향수솔리드퍼퓸 이그나이트 001제품선택=이그나이트 2개 세트210101"/>
  </r>
  <r>
    <x v="254"/>
    <s v="화"/>
    <m/>
    <s v="카페24"/>
    <s v="유즈 솔리드퍼퓸 - 스테이포에버 002제품선택=스테이포에버 1개"/>
    <n v="1"/>
    <s v="고체향수"/>
    <s v="스테이포에버"/>
    <n v="210101"/>
    <m/>
    <n v="34000"/>
    <n v="32011"/>
    <n v="2592"/>
    <n v="30909.09090909091"/>
    <s v="카페24고체향수유즈 솔리드퍼퓸 - 스테이포에버 002제품선택=스테이포에버 1개210101"/>
  </r>
  <r>
    <x v="254"/>
    <s v="화"/>
    <m/>
    <s v="카페24"/>
    <s v="유즈 솔리드퍼퓸 - 스테이포에버 002제품선택=커플추천스테이포에버 + 이그나이트 세트"/>
    <n v="1"/>
    <s v="고체향수"/>
    <s v="이그나이트 + 스테이포에버"/>
    <n v="210101"/>
    <m/>
    <n v="58800"/>
    <n v="55360.2"/>
    <n v="5345"/>
    <n v="53454.54545454545"/>
    <s v="카페24고체향수유즈 솔리드퍼퓸 - 스테이포에버 002제품선택=커플추천스테이포에버 + 이그나이트 세트210101"/>
  </r>
  <r>
    <x v="255"/>
    <s v="수"/>
    <m/>
    <s v="유즈 CS"/>
    <s v="솔리드퍼퓸 스테이포에버 002 30ml"/>
    <n v="3"/>
    <s v="고체향수"/>
    <s v="스테이포에버"/>
    <n v="210101"/>
    <m/>
    <n v="0"/>
    <n v="0"/>
    <n v="7776"/>
    <n v="0"/>
    <s v="유즈 CS고체향수솔리드퍼퓸 스테이포에버 002 30ml210101"/>
  </r>
  <r>
    <x v="255"/>
    <s v="수"/>
    <m/>
    <s v="유즈 CS"/>
    <s v="솔리드퍼퓸 스테이포에버 002 30ml_CS"/>
    <n v="6"/>
    <s v="고체향수"/>
    <s v="스테이포에버"/>
    <n v="210101"/>
    <m/>
    <n v="0"/>
    <n v="0"/>
    <n v="15552"/>
    <n v="0"/>
    <s v="유즈 CS고체향수솔리드퍼퓸 스테이포에버 002 30ml_CS210101"/>
  </r>
  <r>
    <x v="255"/>
    <s v="수"/>
    <m/>
    <s v="카페24"/>
    <s v="선물용 쇼핑백"/>
    <n v="7"/>
    <s v="쇼핑백"/>
    <s v="쇼핑백"/>
    <n v="210101"/>
    <m/>
    <n v="14000"/>
    <n v="13181"/>
    <n v="5810"/>
    <n v="12727.27272727273"/>
    <s v="카페24쇼핑백선물용 쇼핑백210101"/>
  </r>
  <r>
    <x v="255"/>
    <s v="수"/>
    <m/>
    <s v="카페24"/>
    <s v="솔리드퍼퓸 세트향=이그나이트 001 SOLID PERFUME, 세트 선택=1개"/>
    <n v="5"/>
    <s v="고체향수"/>
    <s v="이그나이트"/>
    <n v="210101"/>
    <m/>
    <n v="170000"/>
    <n v="160055"/>
    <n v="13765"/>
    <n v="154545.4545454545"/>
    <s v="카페24고체향수솔리드퍼퓸 세트향=이그나이트 001 SOLID PERFUME, 세트 선택=1개210101"/>
  </r>
  <r>
    <x v="255"/>
    <s v="수"/>
    <m/>
    <s v="카페24"/>
    <s v="솔리드퍼퓸 세트향=이그나이트 001 SOLID PERFUME, 세트 선택=best 2개 (28% 할인)"/>
    <n v="4"/>
    <s v="고체향수"/>
    <s v="이그나이트 2set"/>
    <n v="210101"/>
    <m/>
    <n v="235200"/>
    <n v="221440.8"/>
    <n v="22024"/>
    <n v="213818.1818181818"/>
    <s v="카페24고체향수솔리드퍼퓸 세트향=이그나이트 001 SOLID PERFUME, 세트 선택=best 2개 (28% 할인)210101"/>
  </r>
  <r>
    <x v="255"/>
    <s v="수"/>
    <m/>
    <s v="카페24"/>
    <s v="솔리드퍼퓸 세트향=스테이포에버 002 SOLID PERFUME, 세트 선택=1개"/>
    <n v="51"/>
    <s v="고체향수"/>
    <s v="스테이포에버"/>
    <n v="210101"/>
    <m/>
    <n v="1734000"/>
    <n v="1632561"/>
    <n v="132192"/>
    <n v="1576363.636363636"/>
    <s v="카페24고체향수솔리드퍼퓸 세트향=스테이포에버 002 SOLID PERFUME, 세트 선택=1개210101"/>
  </r>
  <r>
    <x v="255"/>
    <s v="수"/>
    <m/>
    <s v="카페24"/>
    <s v="솔리드퍼퓸 세트향=스테이포에버 002 SOLID PERFUME, 세트 선택=best 2개 (28% 할인)"/>
    <n v="66"/>
    <s v="고체향수"/>
    <s v="스테이포에버 2set"/>
    <n v="210101"/>
    <m/>
    <n v="3880800"/>
    <n v="3653773.2"/>
    <n v="342144"/>
    <n v="3528000"/>
    <s v="카페24고체향수솔리드퍼퓸 세트향=스테이포에버 002 SOLID PERFUME, 세트 선택=best 2개 (28% 할인)210101"/>
  </r>
  <r>
    <x v="255"/>
    <s v="수"/>
    <m/>
    <s v="카페24"/>
    <s v="솔리드퍼퓸 세트향=커플세트(이그나이트 + 스테이포에버), 세트 선택=1 SET"/>
    <n v="52"/>
    <s v="고체향수"/>
    <s v="이그나이트 + 스테이포에버"/>
    <n v="210101"/>
    <m/>
    <n v="3057600"/>
    <n v="2878730.4"/>
    <n v="277940"/>
    <n v="2779636.363636363"/>
    <s v="카페24고체향수솔리드퍼퓸 세트향=커플세트(이그나이트 + 스테이포에버), 세트 선택=1 SET210101"/>
  </r>
  <r>
    <x v="255"/>
    <s v="수"/>
    <m/>
    <s v="카페24"/>
    <s v="솔리드퍼퓸 세트향=커플세트(이그나이트 + 스테이포에버), 세트 선택=2 SET (42% 할인)"/>
    <n v="9"/>
    <s v="고체향수"/>
    <s v="이그나이트 + 스테이포에버"/>
    <n v="210101"/>
    <m/>
    <n v="529200"/>
    <n v="498241.8"/>
    <n v="48105"/>
    <n v="481090.9090909091"/>
    <s v="카페24고체향수솔리드퍼퓸 세트향=커플세트(이그나이트 + 스테이포에버), 세트 선택=2 SET (42% 할인)210101"/>
  </r>
  <r>
    <x v="255"/>
    <s v="수"/>
    <m/>
    <s v="카페24"/>
    <s v="솔리드퍼퓸 스테이포에버 002제품선택=스테이포에버 1개"/>
    <n v="279"/>
    <s v="고체향수"/>
    <s v="스테이포에버"/>
    <n v="210101"/>
    <m/>
    <n v="9486000"/>
    <n v="8931069"/>
    <n v="723168"/>
    <n v="8623636.363636363"/>
    <s v="카페24고체향수솔리드퍼퓸 스테이포에버 002제품선택=스테이포에버 1개210101"/>
  </r>
  <r>
    <x v="255"/>
    <s v="수"/>
    <m/>
    <s v="카페24"/>
    <s v="솔리드퍼퓸 스테이포에버 002제품선택=best스테이포에버 2개[28% 할인]"/>
    <n v="162"/>
    <s v="고체향수"/>
    <s v="스테이포에버 2set"/>
    <n v="210101"/>
    <m/>
    <n v="9525600"/>
    <n v="8968352.4"/>
    <n v="839808"/>
    <n v="8659636.363636363"/>
    <s v="카페24고체향수솔리드퍼퓸 스테이포에버 002제품선택=best스테이포에버 2개[28% 할인]210101"/>
  </r>
  <r>
    <x v="255"/>
    <s v="수"/>
    <m/>
    <s v="카페24"/>
    <s v="솔리드퍼퓸 스테이포에버 002제품선택=커플추천스테이포에버 + 이그나이트 세트"/>
    <n v="24"/>
    <s v="고체향수"/>
    <s v="이그나이트 + 스테이포에버"/>
    <n v="210101"/>
    <m/>
    <n v="1411200"/>
    <n v="1328644.8"/>
    <n v="128280"/>
    <n v="1282909.090909091"/>
    <s v="카페24고체향수솔리드퍼퓸 스테이포에버 002제품선택=커플추천스테이포에버 + 이그나이트 세트210101"/>
  </r>
  <r>
    <x v="255"/>
    <s v="수"/>
    <m/>
    <s v="카페24"/>
    <s v="솔리드퍼퓸 스테이포에버 002쇼핑백=선물용 쇼핑백"/>
    <n v="10"/>
    <s v="쇼핑백"/>
    <s v="쇼핑백"/>
    <n v="210101"/>
    <m/>
    <n v="20000"/>
    <n v="18830"/>
    <n v="8300"/>
    <n v="18181.81818181818"/>
    <s v="카페24쇼핑백솔리드퍼퓸 스테이포에버 002쇼핑백=선물용 쇼핑백210101"/>
  </r>
  <r>
    <x v="255"/>
    <s v="수"/>
    <m/>
    <s v="카페24"/>
    <s v="솔리드퍼퓸 이그나이트 001제품선택=이그나이트 솔리드퍼퓸 - 30ml"/>
    <n v="4"/>
    <s v="고체향수"/>
    <s v="이그나이트"/>
    <n v="210101"/>
    <m/>
    <n v="136000"/>
    <n v="128044"/>
    <n v="11012"/>
    <n v="123636.3636363636"/>
    <s v="카페24고체향수솔리드퍼퓸 이그나이트 001제품선택=이그나이트 솔리드퍼퓸 - 30ml210101"/>
  </r>
  <r>
    <x v="255"/>
    <s v="수"/>
    <m/>
    <s v="카페24"/>
    <s v="솔리드퍼퓸 이그나이트 001쇼핑백=선물용 쇼핑백"/>
    <n v="2"/>
    <s v="쇼핑백"/>
    <s v="쇼핑백"/>
    <n v="210101"/>
    <m/>
    <n v="4000"/>
    <n v="3766"/>
    <n v="1660"/>
    <n v="3636.363636363636"/>
    <s v="카페24쇼핑백솔리드퍼퓸 이그나이트 001쇼핑백=선물용 쇼핑백210101"/>
  </r>
  <r>
    <x v="255"/>
    <s v="수"/>
    <m/>
    <s v="카페24"/>
    <s v="유즈 솔리드퍼퓸 - 스테이포에버 002제품선택=스테이포에버 1개"/>
    <n v="1"/>
    <s v="고체향수"/>
    <s v="스테이포에버"/>
    <n v="210101"/>
    <m/>
    <n v="34000"/>
    <n v="32011"/>
    <n v="2592"/>
    <n v="30909.09090909091"/>
    <s v="카페24고체향수유즈 솔리드퍼퓸 - 스테이포에버 002제품선택=스테이포에버 1개210101"/>
  </r>
  <r>
    <x v="256"/>
    <s v="목"/>
    <m/>
    <s v="유즈 CS"/>
    <s v="솔리드퍼퓸 스테이포에버 002 30ml_CS"/>
    <n v="1"/>
    <s v="고체향수"/>
    <s v="스테이포에버"/>
    <n v="210101"/>
    <m/>
    <n v="0"/>
    <n v="0"/>
    <n v="2592"/>
    <n v="0"/>
    <s v="유즈 CS고체향수솔리드퍼퓸 스테이포에버 002 30ml_CS210101"/>
  </r>
  <r>
    <x v="256"/>
    <s v="목"/>
    <m/>
    <s v="카페24"/>
    <s v="선물용 쇼핑백"/>
    <n v="1"/>
    <s v="쇼핑백"/>
    <s v="쇼핑백"/>
    <n v="210101"/>
    <m/>
    <n v="2000"/>
    <n v="1883"/>
    <n v="830"/>
    <n v="1818.181818181818"/>
    <s v="카페24쇼핑백선물용 쇼핑백210101"/>
  </r>
  <r>
    <x v="256"/>
    <s v="목"/>
    <m/>
    <s v="카페24"/>
    <s v="솔리드퍼퓸 세트향=이그나이트 001 SOLID PERFUME, 세트 선택=1개"/>
    <n v="2"/>
    <s v="고체향수"/>
    <s v="이그나이트"/>
    <n v="210101"/>
    <m/>
    <n v="68000"/>
    <n v="64022"/>
    <n v="5506"/>
    <n v="61818.18181818182"/>
    <s v="카페24고체향수솔리드퍼퓸 세트향=이그나이트 001 SOLID PERFUME, 세트 선택=1개210101"/>
  </r>
  <r>
    <x v="256"/>
    <s v="목"/>
    <m/>
    <s v="카페24"/>
    <s v="솔리드퍼퓸 세트향=이그나이트 001 SOLID PERFUME, 세트 선택=best 2개 (28% 할인)"/>
    <n v="1"/>
    <s v="고체향수"/>
    <s v="이그나이트 2set"/>
    <n v="210101"/>
    <m/>
    <n v="58800"/>
    <n v="55360.2"/>
    <n v="5506"/>
    <n v="53454.54545454545"/>
    <s v="카페24고체향수솔리드퍼퓸 세트향=이그나이트 001 SOLID PERFUME, 세트 선택=best 2개 (28% 할인)210101"/>
  </r>
  <r>
    <x v="256"/>
    <s v="목"/>
    <m/>
    <s v="카페24"/>
    <s v="솔리드퍼퓸 세트향=스테이포에버 002 SOLID PERFUME, 세트 선택=1개"/>
    <n v="21"/>
    <s v="고체향수"/>
    <s v="스테이포에버"/>
    <n v="210101"/>
    <m/>
    <n v="714000"/>
    <n v="672231"/>
    <n v="54432"/>
    <n v="649090.9090909091"/>
    <s v="카페24고체향수솔리드퍼퓸 세트향=스테이포에버 002 SOLID PERFUME, 세트 선택=1개210101"/>
  </r>
  <r>
    <x v="256"/>
    <s v="목"/>
    <m/>
    <s v="카페24"/>
    <s v="솔리드퍼퓸 세트향=스테이포에버 002 SOLID PERFUME, 세트 선택=best 2개 (28% 할인)"/>
    <n v="6"/>
    <s v="고체향수"/>
    <s v="스테이포에버 2set"/>
    <n v="210101"/>
    <m/>
    <n v="352800"/>
    <n v="332161.2"/>
    <n v="31104"/>
    <n v="320727.2727272727"/>
    <s v="카페24고체향수솔리드퍼퓸 세트향=스테이포에버 002 SOLID PERFUME, 세트 선택=best 2개 (28% 할인)210101"/>
  </r>
  <r>
    <x v="256"/>
    <s v="목"/>
    <m/>
    <s v="카페24"/>
    <s v="솔리드퍼퓸 세트향=커플세트(이그나이트 + 스테이포에버), 세트 선택=1 SET"/>
    <n v="21"/>
    <s v="고체향수"/>
    <s v="이그나이트 + 스테이포에버"/>
    <n v="210101"/>
    <m/>
    <n v="1234800"/>
    <n v="1162564.2"/>
    <n v="112245"/>
    <n v="1122545.454545454"/>
    <s v="카페24고체향수솔리드퍼퓸 세트향=커플세트(이그나이트 + 스테이포에버), 세트 선택=1 SET210101"/>
  </r>
  <r>
    <x v="256"/>
    <s v="목"/>
    <m/>
    <s v="카페24"/>
    <s v="솔리드퍼퓸 세트향=커플세트(이그나이트 + 스테이포에버), 세트 선택=2 SET (42% 할인)"/>
    <n v="1"/>
    <s v="고체향수"/>
    <s v="이그나이트 + 스테이포에버"/>
    <n v="210101"/>
    <m/>
    <n v="58800"/>
    <n v="55360.2"/>
    <n v="5345"/>
    <n v="53454.54545454545"/>
    <s v="카페24고체향수솔리드퍼퓸 세트향=커플세트(이그나이트 + 스테이포에버), 세트 선택=2 SET (42% 할인)210101"/>
  </r>
  <r>
    <x v="256"/>
    <s v="목"/>
    <m/>
    <s v="카페24"/>
    <s v="솔리드퍼퓸 스테이포에버 002제품선택=스테이포에버 1개"/>
    <n v="221"/>
    <s v="고체향수"/>
    <s v="스테이포에버"/>
    <n v="210101"/>
    <m/>
    <n v="7514000"/>
    <n v="7074431"/>
    <n v="572832"/>
    <n v="6830909.09090909"/>
    <s v="카페24고체향수솔리드퍼퓸 스테이포에버 002제품선택=스테이포에버 1개210101"/>
  </r>
  <r>
    <x v="256"/>
    <s v="목"/>
    <m/>
    <s v="카페24"/>
    <s v="솔리드퍼퓸 스테이포에버 002제품선택=best스테이포에버 2개[28% 할인]"/>
    <n v="141"/>
    <s v="고체향수"/>
    <s v="스테이포에버 2set"/>
    <n v="210101"/>
    <m/>
    <n v="8290800"/>
    <n v="7805788.2"/>
    <n v="730944"/>
    <n v="7537090.909090908"/>
    <s v="카페24고체향수솔리드퍼퓸 스테이포에버 002제품선택=best스테이포에버 2개[28% 할인]210101"/>
  </r>
  <r>
    <x v="256"/>
    <s v="목"/>
    <m/>
    <s v="카페24"/>
    <s v="솔리드퍼퓸 스테이포에버 002제품선택=커플추천스테이포에버 + 이그나이트 세트"/>
    <n v="17"/>
    <s v="고체향수"/>
    <s v="이그나이트 + 스테이포에버"/>
    <n v="210101"/>
    <m/>
    <n v="999600"/>
    <n v="941123.4"/>
    <n v="90865"/>
    <n v="908727.2727272727"/>
    <s v="카페24고체향수솔리드퍼퓸 스테이포에버 002제품선택=커플추천스테이포에버 + 이그나이트 세트210101"/>
  </r>
  <r>
    <x v="256"/>
    <s v="목"/>
    <m/>
    <s v="카페24"/>
    <s v="솔리드퍼퓸 스테이포에버 002쇼핑백=선물용 쇼핑백"/>
    <n v="9"/>
    <s v="쇼핑백"/>
    <s v="쇼핑백"/>
    <n v="210101"/>
    <m/>
    <n v="18000"/>
    <n v="16947"/>
    <n v="7470"/>
    <n v="16363.63636363636"/>
    <s v="카페24쇼핑백솔리드퍼퓸 스테이포에버 002쇼핑백=선물용 쇼핑백210101"/>
  </r>
  <r>
    <x v="256"/>
    <s v="목"/>
    <m/>
    <s v="카페24"/>
    <s v="솔리드퍼퓸 스테이포에버 002 30ml"/>
    <n v="4"/>
    <s v="고체향수"/>
    <s v="스테이포에버"/>
    <n v="210101"/>
    <m/>
    <n v="152000"/>
    <n v="143108"/>
    <n v="10368"/>
    <n v="138181.8181818182"/>
    <s v="카페24고체향수솔리드퍼퓸 스테이포에버 002 30ml210101"/>
  </r>
  <r>
    <x v="256"/>
    <s v="목"/>
    <m/>
    <s v="카페24"/>
    <s v="솔리드퍼퓸 이그나이트 001제품선택=이그나이트 솔리드퍼퓸 - 30ml"/>
    <n v="5"/>
    <s v="고체향수"/>
    <s v="이그나이트"/>
    <n v="210101"/>
    <m/>
    <n v="170000"/>
    <n v="160055"/>
    <n v="13765"/>
    <n v="154545.4545454545"/>
    <s v="카페24고체향수솔리드퍼퓸 이그나이트 001제품선택=이그나이트 솔리드퍼퓸 - 30ml210101"/>
  </r>
  <r>
    <x v="256"/>
    <s v="목"/>
    <m/>
    <s v="카페24"/>
    <s v="솔리드퍼퓸 이그나이트 001제품선택=이그나이트 2개 세트"/>
    <n v="1"/>
    <s v="고체향수"/>
    <s v="이그나이트 2set"/>
    <n v="210101"/>
    <m/>
    <n v="58800"/>
    <n v="55360.2"/>
    <n v="5506"/>
    <n v="53454.54545454545"/>
    <s v="카페24고체향수솔리드퍼퓸 이그나이트 001제품선택=이그나이트 2개 세트210101"/>
  </r>
  <r>
    <x v="256"/>
    <s v="목"/>
    <m/>
    <s v="카페24"/>
    <s v="솔리드퍼퓸 이그나이트 001쇼핑백=선물용 쇼핑백"/>
    <n v="3"/>
    <s v="쇼핑백"/>
    <s v="쇼핑백"/>
    <n v="210101"/>
    <m/>
    <n v="6000"/>
    <n v="5649"/>
    <n v="2490"/>
    <n v="5454.545454545454"/>
    <s v="카페24쇼핑백솔리드퍼퓸 이그나이트 001쇼핑백=선물용 쇼핑백210101"/>
  </r>
  <r>
    <x v="257"/>
    <s v="금"/>
    <m/>
    <s v="카페24"/>
    <s v="선물용 쇼핑백"/>
    <n v="1"/>
    <s v="쇼핑백"/>
    <s v="쇼핑백"/>
    <n v="210101"/>
    <m/>
    <n v="2000"/>
    <n v="1883"/>
    <n v="830"/>
    <n v="1818.181818181818"/>
    <s v="카페24쇼핑백선물용 쇼핑백210101"/>
  </r>
  <r>
    <x v="257"/>
    <s v="금"/>
    <m/>
    <s v="카페24"/>
    <s v="솔리드퍼퓸 세트향=이그나이트 001 SOLID PERFUME, 세트 선택=1개"/>
    <n v="3"/>
    <s v="고체향수"/>
    <s v="이그나이트"/>
    <n v="210101"/>
    <m/>
    <n v="102000"/>
    <n v="96033"/>
    <n v="8259"/>
    <n v="92727.27272727272"/>
    <s v="카페24고체향수솔리드퍼퓸 세트향=이그나이트 001 SOLID PERFUME, 세트 선택=1개210101"/>
  </r>
  <r>
    <x v="257"/>
    <s v="금"/>
    <m/>
    <s v="카페24"/>
    <s v="솔리드퍼퓸 세트향=이그나이트 001 SOLID PERFUME, 세트 선택=best 2개 (28% 할인)"/>
    <n v="5"/>
    <s v="고체향수"/>
    <s v="이그나이트 2set"/>
    <n v="210101"/>
    <m/>
    <n v="294000"/>
    <n v="276801"/>
    <n v="27530"/>
    <n v="267272.7272727272"/>
    <s v="카페24고체향수솔리드퍼퓸 세트향=이그나이트 001 SOLID PERFUME, 세트 선택=best 2개 (28% 할인)210101"/>
  </r>
  <r>
    <x v="257"/>
    <s v="금"/>
    <m/>
    <s v="카페24"/>
    <s v="솔리드퍼퓸 세트향=스테이포에버 002 SOLID PERFUME, 세트 선택=1개"/>
    <n v="11"/>
    <s v="고체향수"/>
    <s v="스테이포에버"/>
    <n v="210101"/>
    <m/>
    <n v="374000"/>
    <n v="352121"/>
    <n v="28512"/>
    <n v="340000"/>
    <s v="카페24고체향수솔리드퍼퓸 세트향=스테이포에버 002 SOLID PERFUME, 세트 선택=1개210101"/>
  </r>
  <r>
    <x v="257"/>
    <s v="금"/>
    <m/>
    <s v="카페24"/>
    <s v="솔리드퍼퓸 세트향=스테이포에버 002 SOLID PERFUME, 세트 선택=best 2개 (28% 할인)"/>
    <n v="13"/>
    <s v="고체향수"/>
    <s v="스테이포에버 2set"/>
    <n v="210101"/>
    <m/>
    <n v="764400"/>
    <n v="719682.6"/>
    <n v="67392"/>
    <n v="694909.0909090908"/>
    <s v="카페24고체향수솔리드퍼퓸 세트향=스테이포에버 002 SOLID PERFUME, 세트 선택=best 2개 (28% 할인)210101"/>
  </r>
  <r>
    <x v="257"/>
    <s v="금"/>
    <m/>
    <s v="카페24"/>
    <s v="솔리드퍼퓸 세트향=커플세트(이그나이트 + 스테이포에버), 세트 선택=1 SET"/>
    <n v="15"/>
    <s v="고체향수"/>
    <s v="이그나이트 + 스테이포에버"/>
    <n v="210101"/>
    <m/>
    <n v="882000"/>
    <n v="830403"/>
    <n v="80175"/>
    <n v="801818.1818181818"/>
    <s v="카페24고체향수솔리드퍼퓸 세트향=커플세트(이그나이트 + 스테이포에버), 세트 선택=1 SET210101"/>
  </r>
  <r>
    <x v="257"/>
    <s v="금"/>
    <m/>
    <s v="카페24"/>
    <s v="솔리드퍼퓸 세트향=커플세트(이그나이트 + 스테이포에버), 세트 선택=2 SET (42% 할인)"/>
    <n v="1"/>
    <s v="고체향수"/>
    <s v="이그나이트 + 스테이포에버"/>
    <n v="210101"/>
    <m/>
    <n v="58800"/>
    <n v="55360.2"/>
    <n v="5345"/>
    <n v="53454.54545454545"/>
    <s v="카페24고체향수솔리드퍼퓸 세트향=커플세트(이그나이트 + 스테이포에버), 세트 선택=2 SET (42% 할인)210101"/>
  </r>
  <r>
    <x v="257"/>
    <s v="금"/>
    <m/>
    <s v="카페24"/>
    <s v="솔리드퍼퓸 스테이포에버 002제품선택=스테이포에버 1개"/>
    <n v="174"/>
    <s v="고체향수"/>
    <s v="스테이포에버"/>
    <n v="210101"/>
    <m/>
    <n v="5916000"/>
    <n v="5569914"/>
    <n v="451008"/>
    <n v="5378181.818181817"/>
    <s v="카페24고체향수솔리드퍼퓸 스테이포에버 002제품선택=스테이포에버 1개210101"/>
  </r>
  <r>
    <x v="257"/>
    <s v="금"/>
    <m/>
    <s v="카페24"/>
    <s v="솔리드퍼퓸 스테이포에버 002제품선택=best스테이포에버 2개[28% 할인]"/>
    <n v="117"/>
    <s v="고체향수"/>
    <s v="스테이포에버 2set"/>
    <n v="210101"/>
    <m/>
    <n v="6879600"/>
    <n v="6477143.4"/>
    <n v="606528"/>
    <n v="6254181.818181817"/>
    <s v="카페24고체향수솔리드퍼퓸 스테이포에버 002제품선택=best스테이포에버 2개[28% 할인]210101"/>
  </r>
  <r>
    <x v="257"/>
    <s v="금"/>
    <m/>
    <s v="카페24"/>
    <s v="솔리드퍼퓸 스테이포에버 002제품선택=커플추천스테이포에버 + 이그나이트 세트"/>
    <n v="16"/>
    <s v="고체향수"/>
    <s v="이그나이트 + 스테이포에버"/>
    <n v="210101"/>
    <m/>
    <n v="940800"/>
    <n v="885763.2"/>
    <n v="85520"/>
    <n v="855272.7272727272"/>
    <s v="카페24고체향수솔리드퍼퓸 스테이포에버 002제품선택=커플추천스테이포에버 + 이그나이트 세트210101"/>
  </r>
  <r>
    <x v="257"/>
    <s v="금"/>
    <m/>
    <s v="카페24"/>
    <s v="솔리드퍼퓸 스테이포에버 002쇼핑백=선물용 쇼핑백"/>
    <n v="8"/>
    <s v="쇼핑백"/>
    <s v="쇼핑백"/>
    <n v="210101"/>
    <m/>
    <n v="16000"/>
    <n v="15064"/>
    <n v="6640"/>
    <n v="14545.45454545454"/>
    <s v="카페24쇼핑백솔리드퍼퓸 스테이포에버 002쇼핑백=선물용 쇼핑백210101"/>
  </r>
  <r>
    <x v="257"/>
    <s v="금"/>
    <m/>
    <s v="카페24"/>
    <s v="솔리드퍼퓸 이그나이트 001제품선택=이그나이트 2개 세트"/>
    <n v="1"/>
    <s v="고체향수"/>
    <s v="이그나이트 2set"/>
    <n v="210101"/>
    <m/>
    <n v="58800"/>
    <n v="55360.2"/>
    <n v="5506"/>
    <n v="53454.54545454545"/>
    <s v="카페24고체향수솔리드퍼퓸 이그나이트 001제품선택=이그나이트 2개 세트210101"/>
  </r>
  <r>
    <x v="258"/>
    <s v="토"/>
    <m/>
    <s v="카페24"/>
    <s v="솔리드퍼퓸 세트향=이그나이트 001 SOLID PERFUME, 세트 선택=1개"/>
    <n v="5"/>
    <s v="고체향수"/>
    <s v="이그나이트"/>
    <n v="210101"/>
    <m/>
    <n v="170000"/>
    <n v="160055"/>
    <n v="13765"/>
    <n v="154545.4545454545"/>
    <s v="카페24고체향수솔리드퍼퓸 세트향=이그나이트 001 SOLID PERFUME, 세트 선택=1개210101"/>
  </r>
  <r>
    <x v="258"/>
    <s v="토"/>
    <m/>
    <s v="카페24"/>
    <s v="솔리드퍼퓸 세트향=스테이포에버 002 SOLID PERFUME, 세트 선택=1개"/>
    <n v="12"/>
    <s v="고체향수"/>
    <s v="스테이포에버"/>
    <n v="210101"/>
    <m/>
    <n v="408000"/>
    <n v="384132"/>
    <n v="31104"/>
    <n v="370909.0909090909"/>
    <s v="카페24고체향수솔리드퍼퓸 세트향=스테이포에버 002 SOLID PERFUME, 세트 선택=1개210101"/>
  </r>
  <r>
    <x v="258"/>
    <s v="토"/>
    <m/>
    <s v="카페24"/>
    <s v="솔리드퍼퓸 세트향=스테이포에버 002 SOLID PERFUME, 세트 선택=best 2개 (28% 할인)"/>
    <n v="11"/>
    <s v="고체향수"/>
    <s v="스테이포에버 2set"/>
    <n v="210101"/>
    <m/>
    <n v="646800"/>
    <n v="608962.2"/>
    <n v="57024"/>
    <n v="588000"/>
    <s v="카페24고체향수솔리드퍼퓸 세트향=스테이포에버 002 SOLID PERFUME, 세트 선택=best 2개 (28% 할인)210101"/>
  </r>
  <r>
    <x v="258"/>
    <s v="토"/>
    <m/>
    <s v="카페24"/>
    <s v="솔리드퍼퓸 세트향=커플세트(이그나이트 + 스테이포에버), 세트 선택=1 SET"/>
    <n v="25"/>
    <s v="고체향수"/>
    <s v="이그나이트 + 스테이포에버"/>
    <n v="210101"/>
    <m/>
    <n v="1470000"/>
    <n v="1384005"/>
    <n v="133625"/>
    <n v="1336363.636363636"/>
    <s v="카페24고체향수솔리드퍼퓸 세트향=커플세트(이그나이트 + 스테이포에버), 세트 선택=1 SET210101"/>
  </r>
  <r>
    <x v="258"/>
    <s v="토"/>
    <m/>
    <s v="카페24"/>
    <s v="솔리드퍼퓸 세트향=커플세트(이그나이트 + 스테이포에버), 세트 선택=2 SET (42% 할인)"/>
    <n v="2"/>
    <s v="고체향수"/>
    <s v="이그나이트 + 스테이포에버"/>
    <n v="210101"/>
    <m/>
    <n v="117600"/>
    <n v="110720.4"/>
    <n v="10690"/>
    <n v="106909.0909090909"/>
    <s v="카페24고체향수솔리드퍼퓸 세트향=커플세트(이그나이트 + 스테이포에버), 세트 선택=2 SET (42% 할인)210101"/>
  </r>
  <r>
    <x v="258"/>
    <s v="토"/>
    <m/>
    <s v="카페24"/>
    <s v="솔리드퍼퓸 스테이포에버 002제품선택=스테이포에버 1개"/>
    <n v="187"/>
    <s v="고체향수"/>
    <s v="스테이포에버"/>
    <n v="210101"/>
    <m/>
    <n v="6358000"/>
    <n v="5986057"/>
    <n v="484704"/>
    <n v="5779999.999999999"/>
    <s v="카페24고체향수솔리드퍼퓸 스테이포에버 002제품선택=스테이포에버 1개210101"/>
  </r>
  <r>
    <x v="258"/>
    <s v="토"/>
    <m/>
    <s v="카페24"/>
    <s v="솔리드퍼퓸 스테이포에버 002제품선택=best스테이포에버 2개[28% 할인]"/>
    <n v="134"/>
    <s v="고체향수"/>
    <s v="스테이포에버 2set"/>
    <n v="210101"/>
    <m/>
    <n v="7879200"/>
    <n v="7418266.8"/>
    <n v="694656"/>
    <n v="7162909.09090909"/>
    <s v="카페24고체향수솔리드퍼퓸 스테이포에버 002제품선택=best스테이포에버 2개[28% 할인]210101"/>
  </r>
  <r>
    <x v="258"/>
    <s v="토"/>
    <m/>
    <s v="카페24"/>
    <s v="솔리드퍼퓸 스테이포에버 002제품선택=커플추천스테이포에버 + 이그나이트 세트"/>
    <n v="15"/>
    <s v="고체향수"/>
    <s v="이그나이트 + 스테이포에버"/>
    <n v="210101"/>
    <m/>
    <n v="882000"/>
    <n v="830403"/>
    <n v="80175"/>
    <n v="801818.1818181818"/>
    <s v="카페24고체향수솔리드퍼퓸 스테이포에버 002제품선택=커플추천스테이포에버 + 이그나이트 세트210101"/>
  </r>
  <r>
    <x v="258"/>
    <s v="토"/>
    <m/>
    <s v="카페24"/>
    <s v="솔리드퍼퓸 스테이포에버 002쇼핑백=선물용 쇼핑백"/>
    <n v="5"/>
    <s v="쇼핑백"/>
    <s v="쇼핑백"/>
    <n v="210101"/>
    <m/>
    <n v="10000"/>
    <n v="9415"/>
    <n v="4150"/>
    <n v="9090.90909090909"/>
    <s v="카페24쇼핑백솔리드퍼퓸 스테이포에버 002쇼핑백=선물용 쇼핑백210101"/>
  </r>
  <r>
    <x v="258"/>
    <s v="토"/>
    <m/>
    <s v="카페24"/>
    <s v="솔리드퍼퓸 이그나이트 001제품선택=이그나이트 2개 세트"/>
    <n v="2"/>
    <s v="고체향수"/>
    <s v="이그나이트 2set"/>
    <n v="210101"/>
    <m/>
    <n v="117600"/>
    <n v="110720.4"/>
    <n v="11012"/>
    <n v="106909.0909090909"/>
    <s v="카페24고체향수솔리드퍼퓸 이그나이트 001제품선택=이그나이트 2개 세트210101"/>
  </r>
  <r>
    <x v="259"/>
    <s v="일"/>
    <m/>
    <s v="카페24"/>
    <s v="솔리드퍼퓸 세트향=이그나이트 001 SOLID PERFUME, 세트 선택=1개"/>
    <n v="2"/>
    <s v="고체향수"/>
    <s v="이그나이트"/>
    <n v="210101"/>
    <m/>
    <n v="68000"/>
    <n v="64022"/>
    <n v="5506"/>
    <n v="61818.18181818182"/>
    <s v="카페24고체향수솔리드퍼퓸 세트향=이그나이트 001 SOLID PERFUME, 세트 선택=1개210101"/>
  </r>
  <r>
    <x v="259"/>
    <s v="일"/>
    <m/>
    <s v="카페24"/>
    <s v="솔리드퍼퓸 세트향=스테이포에버 002 SOLID PERFUME, 세트 선택=1개"/>
    <n v="15"/>
    <s v="고체향수"/>
    <s v="스테이포에버"/>
    <n v="210101"/>
    <m/>
    <n v="510000"/>
    <n v="480165"/>
    <n v="38880"/>
    <n v="463636.3636363636"/>
    <s v="카페24고체향수솔리드퍼퓸 세트향=스테이포에버 002 SOLID PERFUME, 세트 선택=1개210101"/>
  </r>
  <r>
    <x v="259"/>
    <s v="일"/>
    <m/>
    <s v="카페24"/>
    <s v="솔리드퍼퓸 세트향=스테이포에버 002 SOLID PERFUME, 세트 선택=best 2개 (28% 할인)"/>
    <n v="9"/>
    <s v="고체향수"/>
    <s v="스테이포에버 2set"/>
    <n v="210101"/>
    <m/>
    <n v="529200"/>
    <n v="498241.8"/>
    <n v="46656"/>
    <n v="481090.9090909091"/>
    <s v="카페24고체향수솔리드퍼퓸 세트향=스테이포에버 002 SOLID PERFUME, 세트 선택=best 2개 (28% 할인)210101"/>
  </r>
  <r>
    <x v="259"/>
    <s v="일"/>
    <m/>
    <s v="카페24"/>
    <s v="솔리드퍼퓸 세트향=커플세트(이그나이트 + 스테이포에버), 세트 선택=1 SET"/>
    <n v="19"/>
    <s v="고체향수"/>
    <s v="이그나이트 + 스테이포에버"/>
    <n v="210101"/>
    <m/>
    <n v="1117200"/>
    <n v="1051843.8"/>
    <n v="101555"/>
    <n v="1015636.363636364"/>
    <s v="카페24고체향수솔리드퍼퓸 세트향=커플세트(이그나이트 + 스테이포에버), 세트 선택=1 SET210101"/>
  </r>
  <r>
    <x v="259"/>
    <s v="일"/>
    <m/>
    <s v="카페24"/>
    <s v="솔리드퍼퓸 세트향=커플세트(이그나이트 + 스테이포에버), 세트 선택=2 SET (42% 할인)"/>
    <n v="1"/>
    <s v="고체향수"/>
    <s v="이그나이트 + 스테이포에버"/>
    <n v="210101"/>
    <m/>
    <n v="58800"/>
    <n v="55360.2"/>
    <n v="5345"/>
    <n v="53454.54545454545"/>
    <s v="카페24고체향수솔리드퍼퓸 세트향=커플세트(이그나이트 + 스테이포에버), 세트 선택=2 SET (42% 할인)210101"/>
  </r>
  <r>
    <x v="259"/>
    <s v="일"/>
    <m/>
    <s v="카페24"/>
    <s v="솔리드퍼퓸 스테이포에버 002제품선택=스테이포에버 1개"/>
    <n v="236"/>
    <s v="고체향수"/>
    <s v="스테이포에버"/>
    <n v="210101"/>
    <m/>
    <n v="8024000"/>
    <n v="7554596"/>
    <n v="611712"/>
    <n v="7294545.454545454"/>
    <s v="카페24고체향수솔리드퍼퓸 스테이포에버 002제품선택=스테이포에버 1개210101"/>
  </r>
  <r>
    <x v="259"/>
    <s v="일"/>
    <m/>
    <s v="카페24"/>
    <s v="솔리드퍼퓸 스테이포에버 002제품선택=best스테이포에버 2개[28% 할인]"/>
    <n v="150"/>
    <s v="고체향수"/>
    <s v="스테이포에버 2set"/>
    <n v="210101"/>
    <m/>
    <n v="8820000"/>
    <n v="8304030"/>
    <n v="777600"/>
    <n v="8018181.818181817"/>
    <s v="카페24고체향수솔리드퍼퓸 스테이포에버 002제품선택=best스테이포에버 2개[28% 할인]210101"/>
  </r>
  <r>
    <x v="259"/>
    <s v="일"/>
    <m/>
    <s v="카페24"/>
    <s v="솔리드퍼퓸 스테이포에버 002제품선택=커플추천스테이포에버 + 이그나이트 세트"/>
    <n v="18"/>
    <s v="고체향수"/>
    <s v="이그나이트 + 스테이포에버"/>
    <n v="210101"/>
    <m/>
    <n v="1058400"/>
    <n v="996483.6"/>
    <n v="96210"/>
    <n v="962181.8181818181"/>
    <s v="카페24고체향수솔리드퍼퓸 스테이포에버 002제품선택=커플추천스테이포에버 + 이그나이트 세트210101"/>
  </r>
  <r>
    <x v="259"/>
    <s v="일"/>
    <m/>
    <s v="카페24"/>
    <s v="솔리드퍼퓸 스테이포에버 002쇼핑백=선물용 쇼핑백"/>
    <n v="13"/>
    <s v="쇼핑백"/>
    <s v="쇼핑백"/>
    <n v="210101"/>
    <m/>
    <n v="26000"/>
    <n v="24479"/>
    <n v="10790"/>
    <n v="23636.36363636364"/>
    <s v="카페24쇼핑백솔리드퍼퓸 스테이포에버 002쇼핑백=선물용 쇼핑백210101"/>
  </r>
  <r>
    <x v="260"/>
    <s v="월"/>
    <m/>
    <s v="유즈 CS"/>
    <s v="솔리드퍼퓸 스테이포에버 002 30ml_CS"/>
    <n v="1"/>
    <s v="고체향수"/>
    <s v="스테이포에버"/>
    <n v="210101"/>
    <m/>
    <n v="0"/>
    <n v="0"/>
    <n v="2592"/>
    <n v="0"/>
    <s v="유즈 CS고체향수솔리드퍼퓸 스테이포에버 002 30ml_CS210101"/>
  </r>
  <r>
    <x v="260"/>
    <s v="월"/>
    <m/>
    <s v="카페24"/>
    <s v="솔리드퍼퓸 세트향=이그나이트 001 SOLID PERFUME, 세트 선택=best 2개 (28% 할인)"/>
    <n v="2"/>
    <s v="고체향수"/>
    <s v="이그나이트 2set"/>
    <n v="210101"/>
    <m/>
    <n v="117600"/>
    <n v="110720.4"/>
    <n v="11012"/>
    <n v="106909.0909090909"/>
    <s v="카페24고체향수솔리드퍼퓸 세트향=이그나이트 001 SOLID PERFUME, 세트 선택=best 2개 (28% 할인)210101"/>
  </r>
  <r>
    <x v="260"/>
    <s v="월"/>
    <m/>
    <s v="카페24"/>
    <s v="솔리드퍼퓸 세트향=스테이포에버 002 SOLID PERFUME, 세트 선택=1개"/>
    <n v="4"/>
    <s v="고체향수"/>
    <s v="스테이포에버"/>
    <n v="210101"/>
    <m/>
    <n v="136000"/>
    <n v="128044"/>
    <n v="10368"/>
    <n v="123636.3636363636"/>
    <s v="카페24고체향수솔리드퍼퓸 세트향=스테이포에버 002 SOLID PERFUME, 세트 선택=1개210101"/>
  </r>
  <r>
    <x v="260"/>
    <s v="월"/>
    <m/>
    <s v="카페24"/>
    <s v="솔리드퍼퓸 세트향=스테이포에버 002 SOLID PERFUME, 세트 선택=best 2개 (28% 할인)"/>
    <n v="8"/>
    <s v="고체향수"/>
    <s v="스테이포에버 2set"/>
    <n v="210101"/>
    <m/>
    <n v="470400"/>
    <n v="442881.6"/>
    <n v="41472"/>
    <n v="427636.3636363636"/>
    <s v="카페24고체향수솔리드퍼퓸 세트향=스테이포에버 002 SOLID PERFUME, 세트 선택=best 2개 (28% 할인)210101"/>
  </r>
  <r>
    <x v="260"/>
    <s v="월"/>
    <m/>
    <s v="카페24"/>
    <s v="솔리드퍼퓸 세트향=커플세트(이그나이트 + 스테이포에버), 세트 선택=1 SET"/>
    <n v="13"/>
    <s v="고체향수"/>
    <s v="이그나이트 + 스테이포에버"/>
    <n v="210101"/>
    <m/>
    <n v="764400"/>
    <n v="719682.6"/>
    <n v="69485"/>
    <n v="694909.0909090908"/>
    <s v="카페24고체향수솔리드퍼퓸 세트향=커플세트(이그나이트 + 스테이포에버), 세트 선택=1 SET210101"/>
  </r>
  <r>
    <x v="260"/>
    <s v="월"/>
    <m/>
    <s v="카페24"/>
    <s v="솔리드퍼퓸 세트향=커플세트(이그나이트 + 스테이포에버), 세트 선택=2 SET (42% 할인)"/>
    <n v="2"/>
    <s v="고체향수"/>
    <s v="이그나이트 + 스테이포에버"/>
    <n v="210101"/>
    <m/>
    <n v="117600"/>
    <n v="110720.4"/>
    <n v="10690"/>
    <n v="106909.0909090909"/>
    <s v="카페24고체향수솔리드퍼퓸 세트향=커플세트(이그나이트 + 스테이포에버), 세트 선택=2 SET (42% 할인)210101"/>
  </r>
  <r>
    <x v="260"/>
    <s v="월"/>
    <m/>
    <s v="카페24"/>
    <s v="솔리드퍼퓸 스테이포에버 002제품선택=스테이포에버 1개"/>
    <n v="170"/>
    <s v="고체향수"/>
    <s v="스테이포에버"/>
    <n v="210101"/>
    <m/>
    <n v="5780000"/>
    <n v="5441870"/>
    <n v="440640"/>
    <n v="5254545.454545454"/>
    <s v="카페24고체향수솔리드퍼퓸 스테이포에버 002제품선택=스테이포에버 1개210101"/>
  </r>
  <r>
    <x v="260"/>
    <s v="월"/>
    <m/>
    <s v="카페24"/>
    <s v="솔리드퍼퓸 스테이포에버 002제품선택=best스테이포에버 2개[28% 할인]"/>
    <n v="94"/>
    <s v="고체향수"/>
    <s v="스테이포에버 2set"/>
    <n v="210101"/>
    <m/>
    <n v="5527200"/>
    <n v="5203858.8"/>
    <n v="487296"/>
    <n v="5024727.272727272"/>
    <s v="카페24고체향수솔리드퍼퓸 스테이포에버 002제품선택=best스테이포에버 2개[28% 할인]210101"/>
  </r>
  <r>
    <x v="260"/>
    <s v="월"/>
    <m/>
    <s v="카페24"/>
    <s v="솔리드퍼퓸 스테이포에버 002제품선택=커플추천스테이포에버 + 이그나이트 세트"/>
    <n v="9"/>
    <s v="고체향수"/>
    <s v="이그나이트 + 스테이포에버"/>
    <n v="210101"/>
    <m/>
    <n v="529200"/>
    <n v="498241.8"/>
    <n v="48105"/>
    <n v="481090.9090909091"/>
    <s v="카페24고체향수솔리드퍼퓸 스테이포에버 002제품선택=커플추천스테이포에버 + 이그나이트 세트210101"/>
  </r>
  <r>
    <x v="260"/>
    <s v="월"/>
    <m/>
    <s v="카페24"/>
    <s v="솔리드퍼퓸 스테이포에버 002쇼핑백=선물용 쇼핑백"/>
    <n v="8"/>
    <s v="쇼핑백"/>
    <s v="쇼핑백"/>
    <n v="210101"/>
    <m/>
    <n v="16000"/>
    <n v="15064"/>
    <n v="6640"/>
    <n v="14545.45454545454"/>
    <s v="카페24쇼핑백솔리드퍼퓸 스테이포에버 002쇼핑백=선물용 쇼핑백210101"/>
  </r>
  <r>
    <x v="260"/>
    <s v="월"/>
    <m/>
    <s v="카페24"/>
    <s v="솔리드퍼퓸 이그나이트 001제품선택=이그나이트 솔리드퍼퓸 - 30ml"/>
    <n v="1"/>
    <s v="고체향수"/>
    <s v="이그나이트"/>
    <n v="210101"/>
    <m/>
    <n v="34000"/>
    <n v="32011"/>
    <n v="2753"/>
    <n v="30909.09090909091"/>
    <s v="카페24고체향수솔리드퍼퓸 이그나이트 001제품선택=이그나이트 솔리드퍼퓸 - 30ml210101"/>
  </r>
  <r>
    <x v="262"/>
    <m/>
    <m/>
    <m/>
    <m/>
    <m/>
    <m/>
    <m/>
    <m/>
    <m/>
    <m/>
    <m/>
    <m/>
    <m/>
    <m/>
  </r>
  <r>
    <x v="261"/>
    <s v="화"/>
    <m/>
    <s v="유즈 CS"/>
    <s v="솔리드퍼퓸 스테이포에버 002 30ml"/>
    <n v="1"/>
    <s v="고체향수"/>
    <s v="스테이포에버"/>
    <n v="210101"/>
    <m/>
    <n v="0"/>
    <n v="0"/>
    <n v="2592"/>
    <n v="0"/>
    <s v="유즈 CS고체향수솔리드퍼퓸 스테이포에버 002 30ml210101"/>
  </r>
  <r>
    <x v="261"/>
    <s v="화"/>
    <m/>
    <s v="유즈 CS"/>
    <s v="솔리드퍼퓸 이그나이트 001 30ml_CS"/>
    <n v="1"/>
    <s v="고체향수"/>
    <s v="이그나이트"/>
    <n v="210101"/>
    <m/>
    <n v="0"/>
    <n v="0"/>
    <n v="2753"/>
    <n v="0"/>
    <s v="유즈 CS고체향수솔리드퍼퓸 이그나이트 001 30ml_CS210101"/>
  </r>
  <r>
    <x v="261"/>
    <s v="화"/>
    <m/>
    <s v="카페24"/>
    <s v="솔리드퍼퓸 세트향=이그나이트 001 SOLID PERFUME, 세트 선택=1개"/>
    <n v="2"/>
    <s v="고체향수"/>
    <s v="이그나이트"/>
    <n v="210101"/>
    <m/>
    <n v="68000"/>
    <n v="64022"/>
    <n v="5506"/>
    <n v="61818.18181818182"/>
    <s v="카페24고체향수솔리드퍼퓸 세트향=이그나이트 001 SOLID PERFUME, 세트 선택=1개210101"/>
  </r>
  <r>
    <x v="261"/>
    <s v="화"/>
    <m/>
    <s v="카페24"/>
    <s v="솔리드퍼퓸 세트향=스테이포에버 002 SOLID PERFUME, 세트 선택=1개"/>
    <n v="11"/>
    <s v="고체향수"/>
    <s v="스테이포에버"/>
    <n v="210101"/>
    <m/>
    <n v="374000"/>
    <n v="352121"/>
    <n v="28512"/>
    <n v="340000"/>
    <s v="카페24고체향수솔리드퍼퓸 세트향=스테이포에버 002 SOLID PERFUME, 세트 선택=1개210101"/>
  </r>
  <r>
    <x v="261"/>
    <s v="화"/>
    <m/>
    <s v="카페24"/>
    <s v="솔리드퍼퓸 세트향=스테이포에버 002 SOLID PERFUME, 세트 선택=best 2개 (28% 할인)"/>
    <n v="10"/>
    <s v="고체향수"/>
    <s v="스테이포에버 2set"/>
    <n v="210101"/>
    <m/>
    <n v="588000"/>
    <n v="553602"/>
    <n v="51840"/>
    <n v="534545.4545454545"/>
    <s v="카페24고체향수솔리드퍼퓸 세트향=스테이포에버 002 SOLID PERFUME, 세트 선택=best 2개 (28% 할인)210101"/>
  </r>
  <r>
    <x v="261"/>
    <s v="화"/>
    <m/>
    <s v="카페24"/>
    <s v="솔리드퍼퓸 세트향=커플세트(이그나이트 + 스테이포에버), 세트 선택=1 SET"/>
    <n v="14"/>
    <s v="고체향수"/>
    <s v="이그나이트 + 스테이포에버"/>
    <n v="210101"/>
    <m/>
    <n v="823200"/>
    <n v="775042.8"/>
    <n v="74830"/>
    <n v="748363.6363636364"/>
    <s v="카페24고체향수솔리드퍼퓸 세트향=커플세트(이그나이트 + 스테이포에버), 세트 선택=1 SET210101"/>
  </r>
  <r>
    <x v="261"/>
    <s v="화"/>
    <m/>
    <s v="카페24"/>
    <s v="솔리드퍼퓸 세트향=커플세트(이그나이트 + 스테이포에버), 세트 선택=2 SET (42% 할인)"/>
    <n v="1"/>
    <s v="고체향수"/>
    <s v="이그나이트 + 스테이포에버"/>
    <n v="210101"/>
    <m/>
    <n v="58800"/>
    <n v="55360.2"/>
    <n v="5345"/>
    <n v="53454.54545454545"/>
    <s v="카페24고체향수솔리드퍼퓸 세트향=커플세트(이그나이트 + 스테이포에버), 세트 선택=2 SET (42% 할인)210101"/>
  </r>
  <r>
    <x v="261"/>
    <s v="화"/>
    <m/>
    <s v="카페24"/>
    <s v="솔리드퍼퓸 스테이포에버 002제품선택=스테이포에버 1개"/>
    <n v="202"/>
    <s v="고체향수"/>
    <s v="스테이포에버"/>
    <n v="210101"/>
    <m/>
    <n v="6868000"/>
    <n v="6466222"/>
    <n v="523584"/>
    <n v="6243636.363636363"/>
    <s v="카페24고체향수솔리드퍼퓸 스테이포에버 002제품선택=스테이포에버 1개210101"/>
  </r>
  <r>
    <x v="261"/>
    <s v="화"/>
    <m/>
    <s v="카페24"/>
    <s v="솔리드퍼퓸 스테이포에버 002제품선택=best스테이포에버 2개[28% 할인]"/>
    <n v="105"/>
    <s v="고체향수"/>
    <s v="스테이포에버 2set"/>
    <n v="210101"/>
    <m/>
    <n v="6174000"/>
    <n v="5812821"/>
    <n v="544320"/>
    <n v="5612727.272727272"/>
    <s v="카페24고체향수솔리드퍼퓸 스테이포에버 002제품선택=best스테이포에버 2개[28% 할인]210101"/>
  </r>
  <r>
    <x v="261"/>
    <s v="화"/>
    <m/>
    <s v="카페24"/>
    <s v="솔리드퍼퓸 스테이포에버 002제품선택=커플추천스테이포에버 + 이그나이트 세트"/>
    <n v="5"/>
    <s v="고체향수"/>
    <s v="이그나이트 + 스테이포에버"/>
    <n v="210101"/>
    <m/>
    <n v="294000"/>
    <n v="276801"/>
    <n v="26725"/>
    <n v="267272.7272727272"/>
    <s v="카페24고체향수솔리드퍼퓸 스테이포에버 002제품선택=커플추천스테이포에버 + 이그나이트 세트210101"/>
  </r>
  <r>
    <x v="261"/>
    <s v="화"/>
    <m/>
    <s v="카페24"/>
    <s v="솔리드퍼퓸 스테이포에버 002쇼핑백=선물용 쇼핑백"/>
    <n v="8"/>
    <s v="쇼핑백"/>
    <s v="쇼핑백"/>
    <n v="210101"/>
    <m/>
    <n v="16000"/>
    <n v="15064"/>
    <n v="6640"/>
    <n v="14545.45454545454"/>
    <s v="카페24쇼핑백솔리드퍼퓸 스테이포에버 002쇼핑백=선물용 쇼핑백210101"/>
  </r>
  <r>
    <x v="262"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count="3223">
  <r>
    <x v="0"/>
    <s v="금"/>
    <x v="0"/>
    <m/>
    <m/>
    <m/>
    <x v="0"/>
    <m/>
    <m/>
    <n v="134178"/>
    <m/>
    <m/>
    <m/>
    <m/>
    <m/>
  </r>
  <r>
    <x v="1"/>
    <s v="토"/>
    <x v="0"/>
    <m/>
    <m/>
    <m/>
    <x v="0"/>
    <m/>
    <m/>
    <n v="118671"/>
    <m/>
    <m/>
    <m/>
    <m/>
    <m/>
  </r>
  <r>
    <x v="2"/>
    <s v="화"/>
    <x v="0"/>
    <m/>
    <m/>
    <m/>
    <x v="0"/>
    <m/>
    <m/>
    <n v="230036"/>
    <m/>
    <m/>
    <m/>
    <m/>
    <m/>
  </r>
  <r>
    <x v="3"/>
    <s v="수"/>
    <x v="0"/>
    <m/>
    <m/>
    <m/>
    <x v="0"/>
    <m/>
    <m/>
    <n v="647321"/>
    <m/>
    <m/>
    <m/>
    <m/>
    <m/>
  </r>
  <r>
    <x v="4"/>
    <s v="목"/>
    <x v="0"/>
    <m/>
    <m/>
    <m/>
    <x v="0"/>
    <m/>
    <m/>
    <n v="501095"/>
    <m/>
    <m/>
    <m/>
    <m/>
    <m/>
  </r>
  <r>
    <x v="5"/>
    <s v="금"/>
    <x v="0"/>
    <m/>
    <m/>
    <m/>
    <x v="0"/>
    <m/>
    <m/>
    <n v="69797"/>
    <m/>
    <m/>
    <m/>
    <m/>
    <m/>
  </r>
  <r>
    <x v="6"/>
    <s v="토"/>
    <x v="0"/>
    <m/>
    <m/>
    <m/>
    <x v="0"/>
    <m/>
    <m/>
    <n v="128834"/>
    <m/>
    <m/>
    <m/>
    <m/>
    <m/>
  </r>
  <r>
    <x v="7"/>
    <s v="일"/>
    <x v="0"/>
    <m/>
    <m/>
    <m/>
    <x v="0"/>
    <m/>
    <m/>
    <n v="200529"/>
    <m/>
    <m/>
    <m/>
    <m/>
    <m/>
  </r>
  <r>
    <x v="3"/>
    <s v="수"/>
    <x v="1"/>
    <m/>
    <m/>
    <m/>
    <x v="0"/>
    <m/>
    <m/>
    <n v="20000"/>
    <m/>
    <m/>
    <m/>
    <m/>
    <m/>
  </r>
  <r>
    <x v="4"/>
    <s v="목"/>
    <x v="1"/>
    <m/>
    <m/>
    <m/>
    <x v="0"/>
    <m/>
    <m/>
    <n v="20000"/>
    <m/>
    <m/>
    <m/>
    <m/>
    <m/>
  </r>
  <r>
    <x v="5"/>
    <s v="금"/>
    <x v="1"/>
    <m/>
    <m/>
    <m/>
    <x v="0"/>
    <m/>
    <m/>
    <n v="20000"/>
    <m/>
    <m/>
    <m/>
    <m/>
    <m/>
  </r>
  <r>
    <x v="6"/>
    <s v="토"/>
    <x v="1"/>
    <m/>
    <m/>
    <m/>
    <x v="0"/>
    <m/>
    <m/>
    <n v="20000"/>
    <m/>
    <m/>
    <m/>
    <m/>
    <m/>
  </r>
  <r>
    <x v="7"/>
    <s v="일"/>
    <x v="1"/>
    <m/>
    <m/>
    <m/>
    <x v="0"/>
    <m/>
    <m/>
    <n v="20000"/>
    <m/>
    <m/>
    <m/>
    <m/>
    <m/>
  </r>
  <r>
    <x v="2"/>
    <s v="화"/>
    <x v="2"/>
    <m/>
    <m/>
    <m/>
    <x v="0"/>
    <m/>
    <m/>
    <n v="200000"/>
    <m/>
    <m/>
    <m/>
    <m/>
    <m/>
  </r>
  <r>
    <x v="8"/>
    <s v="월"/>
    <x v="0"/>
    <m/>
    <m/>
    <m/>
    <x v="0"/>
    <m/>
    <m/>
    <n v="192706"/>
    <m/>
    <m/>
    <m/>
    <m/>
    <m/>
  </r>
  <r>
    <x v="9"/>
    <s v="화"/>
    <x v="0"/>
    <m/>
    <m/>
    <m/>
    <x v="0"/>
    <m/>
    <m/>
    <n v="113677"/>
    <m/>
    <m/>
    <m/>
    <m/>
    <m/>
  </r>
  <r>
    <x v="10"/>
    <s v="수"/>
    <x v="0"/>
    <m/>
    <m/>
    <m/>
    <x v="0"/>
    <m/>
    <m/>
    <n v="377714"/>
    <m/>
    <m/>
    <m/>
    <m/>
    <m/>
  </r>
  <r>
    <x v="11"/>
    <s v="목"/>
    <x v="0"/>
    <m/>
    <m/>
    <m/>
    <x v="0"/>
    <m/>
    <m/>
    <n v="580159"/>
    <m/>
    <m/>
    <m/>
    <m/>
    <m/>
  </r>
  <r>
    <x v="12"/>
    <s v="금"/>
    <x v="0"/>
    <m/>
    <m/>
    <m/>
    <x v="0"/>
    <m/>
    <m/>
    <n v="269053"/>
    <m/>
    <m/>
    <m/>
    <m/>
    <m/>
  </r>
  <r>
    <x v="13"/>
    <s v="토"/>
    <x v="0"/>
    <m/>
    <m/>
    <m/>
    <x v="0"/>
    <m/>
    <m/>
    <n v="237187"/>
    <m/>
    <m/>
    <m/>
    <m/>
    <m/>
  </r>
  <r>
    <x v="14"/>
    <s v="일"/>
    <x v="0"/>
    <m/>
    <m/>
    <m/>
    <x v="0"/>
    <m/>
    <m/>
    <n v="193524"/>
    <m/>
    <m/>
    <m/>
    <m/>
    <m/>
  </r>
  <r>
    <x v="15"/>
    <s v="월"/>
    <x v="0"/>
    <m/>
    <m/>
    <m/>
    <x v="0"/>
    <m/>
    <m/>
    <n v="161106"/>
    <m/>
    <m/>
    <m/>
    <m/>
    <m/>
  </r>
  <r>
    <x v="16"/>
    <s v="화"/>
    <x v="0"/>
    <m/>
    <m/>
    <m/>
    <x v="0"/>
    <m/>
    <m/>
    <n v="282434"/>
    <m/>
    <m/>
    <m/>
    <m/>
    <m/>
  </r>
  <r>
    <x v="17"/>
    <s v="수"/>
    <x v="0"/>
    <m/>
    <m/>
    <m/>
    <x v="0"/>
    <m/>
    <m/>
    <n v="396809"/>
    <m/>
    <m/>
    <m/>
    <m/>
    <m/>
  </r>
  <r>
    <x v="18"/>
    <s v="목"/>
    <x v="0"/>
    <m/>
    <m/>
    <m/>
    <x v="0"/>
    <m/>
    <m/>
    <n v="390556"/>
    <m/>
    <m/>
    <m/>
    <m/>
    <m/>
  </r>
  <r>
    <x v="19"/>
    <s v="금"/>
    <x v="0"/>
    <m/>
    <m/>
    <m/>
    <x v="0"/>
    <m/>
    <m/>
    <n v="328542"/>
    <m/>
    <m/>
    <m/>
    <m/>
    <m/>
  </r>
  <r>
    <x v="20"/>
    <s v="토"/>
    <x v="0"/>
    <m/>
    <m/>
    <m/>
    <x v="0"/>
    <m/>
    <m/>
    <n v="350961"/>
    <m/>
    <m/>
    <m/>
    <m/>
    <m/>
  </r>
  <r>
    <x v="21"/>
    <s v="일"/>
    <x v="0"/>
    <m/>
    <m/>
    <m/>
    <x v="0"/>
    <m/>
    <m/>
    <n v="353357"/>
    <m/>
    <m/>
    <m/>
    <m/>
    <m/>
  </r>
  <r>
    <x v="22"/>
    <s v="월"/>
    <x v="0"/>
    <m/>
    <m/>
    <m/>
    <x v="0"/>
    <m/>
    <m/>
    <n v="338206"/>
    <m/>
    <m/>
    <m/>
    <m/>
    <m/>
  </r>
  <r>
    <x v="23"/>
    <s v="화"/>
    <x v="0"/>
    <m/>
    <m/>
    <m/>
    <x v="0"/>
    <m/>
    <m/>
    <n v="355041"/>
    <m/>
    <m/>
    <m/>
    <m/>
    <m/>
  </r>
  <r>
    <x v="24"/>
    <s v="수"/>
    <x v="0"/>
    <m/>
    <m/>
    <m/>
    <x v="0"/>
    <m/>
    <m/>
    <n v="468860"/>
    <m/>
    <m/>
    <m/>
    <m/>
    <m/>
  </r>
  <r>
    <x v="25"/>
    <s v="목"/>
    <x v="0"/>
    <m/>
    <m/>
    <m/>
    <x v="0"/>
    <m/>
    <m/>
    <n v="961927"/>
    <m/>
    <m/>
    <m/>
    <m/>
    <m/>
  </r>
  <r>
    <x v="26"/>
    <s v="금"/>
    <x v="0"/>
    <m/>
    <m/>
    <m/>
    <x v="0"/>
    <m/>
    <m/>
    <n v="878473"/>
    <m/>
    <m/>
    <m/>
    <m/>
    <m/>
  </r>
  <r>
    <x v="27"/>
    <s v="토"/>
    <x v="0"/>
    <m/>
    <m/>
    <m/>
    <x v="0"/>
    <m/>
    <m/>
    <n v="1087409"/>
    <m/>
    <m/>
    <m/>
    <m/>
    <m/>
  </r>
  <r>
    <x v="28"/>
    <s v="일"/>
    <x v="0"/>
    <m/>
    <m/>
    <m/>
    <x v="0"/>
    <m/>
    <m/>
    <n v="1248838"/>
    <m/>
    <m/>
    <m/>
    <m/>
    <m/>
  </r>
  <r>
    <x v="29"/>
    <s v="월"/>
    <x v="0"/>
    <m/>
    <m/>
    <m/>
    <x v="0"/>
    <m/>
    <m/>
    <n v="1602474"/>
    <m/>
    <m/>
    <m/>
    <m/>
    <m/>
  </r>
  <r>
    <x v="30"/>
    <s v="화"/>
    <x v="0"/>
    <m/>
    <m/>
    <m/>
    <x v="0"/>
    <m/>
    <m/>
    <n v="1567376"/>
    <m/>
    <m/>
    <m/>
    <m/>
    <m/>
  </r>
  <r>
    <x v="31"/>
    <s v="수"/>
    <x v="0"/>
    <m/>
    <m/>
    <m/>
    <x v="0"/>
    <m/>
    <m/>
    <n v="1607092"/>
    <m/>
    <m/>
    <m/>
    <m/>
    <m/>
  </r>
  <r>
    <x v="32"/>
    <s v="목"/>
    <x v="0"/>
    <m/>
    <m/>
    <m/>
    <x v="0"/>
    <m/>
    <m/>
    <n v="1780764"/>
    <m/>
    <m/>
    <m/>
    <m/>
    <m/>
  </r>
  <r>
    <x v="33"/>
    <s v="금"/>
    <x v="0"/>
    <m/>
    <m/>
    <m/>
    <x v="0"/>
    <m/>
    <m/>
    <n v="1809511"/>
    <m/>
    <m/>
    <m/>
    <m/>
    <m/>
  </r>
  <r>
    <x v="34"/>
    <s v="토"/>
    <x v="0"/>
    <m/>
    <m/>
    <m/>
    <x v="0"/>
    <m/>
    <m/>
    <n v="1920335"/>
    <m/>
    <m/>
    <m/>
    <m/>
    <m/>
  </r>
  <r>
    <x v="35"/>
    <s v="일"/>
    <x v="0"/>
    <m/>
    <m/>
    <m/>
    <x v="0"/>
    <m/>
    <m/>
    <n v="1598927"/>
    <m/>
    <m/>
    <m/>
    <m/>
    <m/>
  </r>
  <r>
    <x v="36"/>
    <s v="월"/>
    <x v="0"/>
    <m/>
    <m/>
    <m/>
    <x v="0"/>
    <m/>
    <m/>
    <n v="1355641"/>
    <m/>
    <m/>
    <m/>
    <m/>
    <m/>
  </r>
  <r>
    <x v="37"/>
    <s v="화"/>
    <x v="0"/>
    <m/>
    <m/>
    <m/>
    <x v="0"/>
    <m/>
    <m/>
    <n v="1301523"/>
    <m/>
    <m/>
    <m/>
    <m/>
    <m/>
  </r>
  <r>
    <x v="38"/>
    <s v="수"/>
    <x v="0"/>
    <m/>
    <m/>
    <m/>
    <x v="0"/>
    <m/>
    <m/>
    <n v="866004"/>
    <m/>
    <m/>
    <m/>
    <m/>
    <m/>
  </r>
  <r>
    <x v="39"/>
    <s v="목"/>
    <x v="0"/>
    <m/>
    <m/>
    <m/>
    <x v="0"/>
    <m/>
    <m/>
    <n v="988933"/>
    <m/>
    <m/>
    <m/>
    <m/>
    <m/>
  </r>
  <r>
    <x v="40"/>
    <s v="금"/>
    <x v="0"/>
    <m/>
    <m/>
    <m/>
    <x v="0"/>
    <m/>
    <m/>
    <n v="532347"/>
    <m/>
    <m/>
    <m/>
    <m/>
    <m/>
  </r>
  <r>
    <x v="41"/>
    <s v="토"/>
    <x v="0"/>
    <m/>
    <m/>
    <m/>
    <x v="0"/>
    <m/>
    <m/>
    <n v="126894"/>
    <m/>
    <m/>
    <m/>
    <m/>
    <m/>
  </r>
  <r>
    <x v="42"/>
    <s v="일"/>
    <x v="0"/>
    <m/>
    <m/>
    <m/>
    <x v="0"/>
    <m/>
    <m/>
    <n v="261799"/>
    <m/>
    <m/>
    <m/>
    <m/>
    <m/>
  </r>
  <r>
    <x v="43"/>
    <s v="월"/>
    <x v="0"/>
    <m/>
    <m/>
    <m/>
    <x v="0"/>
    <m/>
    <m/>
    <n v="447045"/>
    <m/>
    <m/>
    <m/>
    <m/>
    <m/>
  </r>
  <r>
    <x v="44"/>
    <s v="화"/>
    <x v="0"/>
    <m/>
    <m/>
    <m/>
    <x v="0"/>
    <m/>
    <m/>
    <n v="621711"/>
    <m/>
    <m/>
    <m/>
    <m/>
    <m/>
  </r>
  <r>
    <x v="45"/>
    <s v="수"/>
    <x v="0"/>
    <m/>
    <m/>
    <m/>
    <x v="0"/>
    <m/>
    <m/>
    <n v="617293"/>
    <m/>
    <m/>
    <m/>
    <m/>
    <m/>
  </r>
  <r>
    <x v="46"/>
    <s v="목"/>
    <x v="0"/>
    <m/>
    <m/>
    <m/>
    <x v="0"/>
    <m/>
    <m/>
    <n v="721867"/>
    <m/>
    <m/>
    <m/>
    <m/>
    <m/>
  </r>
  <r>
    <x v="47"/>
    <s v="금"/>
    <x v="0"/>
    <m/>
    <m/>
    <m/>
    <x v="0"/>
    <m/>
    <m/>
    <n v="450794"/>
    <m/>
    <m/>
    <m/>
    <m/>
    <m/>
  </r>
  <r>
    <x v="48"/>
    <s v="토"/>
    <x v="0"/>
    <m/>
    <m/>
    <m/>
    <x v="0"/>
    <m/>
    <m/>
    <n v="726705"/>
    <m/>
    <m/>
    <m/>
    <m/>
    <m/>
  </r>
  <r>
    <x v="49"/>
    <s v="일"/>
    <x v="0"/>
    <m/>
    <m/>
    <m/>
    <x v="0"/>
    <m/>
    <m/>
    <n v="1105544"/>
    <m/>
    <m/>
    <m/>
    <m/>
    <m/>
  </r>
  <r>
    <x v="50"/>
    <s v="월"/>
    <x v="0"/>
    <m/>
    <m/>
    <m/>
    <x v="0"/>
    <m/>
    <m/>
    <n v="729014"/>
    <m/>
    <m/>
    <m/>
    <m/>
    <m/>
  </r>
  <r>
    <x v="51"/>
    <s v="화"/>
    <x v="0"/>
    <m/>
    <m/>
    <m/>
    <x v="0"/>
    <m/>
    <m/>
    <n v="1494667"/>
    <m/>
    <m/>
    <m/>
    <m/>
    <m/>
  </r>
  <r>
    <x v="52"/>
    <s v="수"/>
    <x v="0"/>
    <m/>
    <m/>
    <m/>
    <x v="0"/>
    <m/>
    <m/>
    <n v="1996151"/>
    <m/>
    <m/>
    <m/>
    <m/>
    <m/>
  </r>
  <r>
    <x v="53"/>
    <s v="목"/>
    <x v="0"/>
    <m/>
    <m/>
    <m/>
    <x v="0"/>
    <m/>
    <m/>
    <n v="1297037"/>
    <m/>
    <m/>
    <m/>
    <m/>
    <m/>
  </r>
  <r>
    <x v="54"/>
    <s v="금"/>
    <x v="0"/>
    <m/>
    <m/>
    <m/>
    <x v="0"/>
    <m/>
    <m/>
    <n v="2002362"/>
    <m/>
    <m/>
    <m/>
    <m/>
    <m/>
  </r>
  <r>
    <x v="55"/>
    <s v="토"/>
    <x v="0"/>
    <m/>
    <m/>
    <m/>
    <x v="0"/>
    <m/>
    <m/>
    <n v="867269"/>
    <m/>
    <m/>
    <m/>
    <m/>
    <m/>
  </r>
  <r>
    <x v="56"/>
    <s v="일"/>
    <x v="0"/>
    <m/>
    <m/>
    <m/>
    <x v="0"/>
    <m/>
    <m/>
    <n v="1072667"/>
    <m/>
    <m/>
    <m/>
    <m/>
    <m/>
  </r>
  <r>
    <x v="57"/>
    <s v="월"/>
    <x v="0"/>
    <m/>
    <m/>
    <m/>
    <x v="0"/>
    <m/>
    <m/>
    <n v="1269040"/>
    <m/>
    <m/>
    <m/>
    <m/>
    <m/>
  </r>
  <r>
    <x v="48"/>
    <s v="토"/>
    <x v="3"/>
    <m/>
    <m/>
    <m/>
    <x v="0"/>
    <m/>
    <m/>
    <n v="499.9999999999999"/>
    <m/>
    <m/>
    <m/>
    <m/>
    <m/>
  </r>
  <r>
    <x v="49"/>
    <s v="일"/>
    <x v="3"/>
    <m/>
    <m/>
    <m/>
    <x v="0"/>
    <m/>
    <m/>
    <n v="1120"/>
    <m/>
    <m/>
    <m/>
    <m/>
    <m/>
  </r>
  <r>
    <x v="50"/>
    <s v="월"/>
    <x v="3"/>
    <m/>
    <m/>
    <m/>
    <x v="0"/>
    <m/>
    <m/>
    <n v="3070"/>
    <m/>
    <m/>
    <m/>
    <m/>
    <m/>
  </r>
  <r>
    <x v="51"/>
    <s v="화"/>
    <x v="3"/>
    <m/>
    <m/>
    <m/>
    <x v="0"/>
    <m/>
    <m/>
    <n v="1540"/>
    <m/>
    <m/>
    <m/>
    <m/>
    <m/>
  </r>
  <r>
    <x v="52"/>
    <s v="수"/>
    <x v="3"/>
    <m/>
    <m/>
    <m/>
    <x v="0"/>
    <m/>
    <m/>
    <n v="2380"/>
    <m/>
    <m/>
    <m/>
    <m/>
    <m/>
  </r>
  <r>
    <x v="53"/>
    <s v="목"/>
    <x v="3"/>
    <m/>
    <m/>
    <m/>
    <x v="0"/>
    <m/>
    <m/>
    <n v="2080"/>
    <m/>
    <m/>
    <m/>
    <m/>
    <m/>
  </r>
  <r>
    <x v="54"/>
    <s v="금"/>
    <x v="3"/>
    <m/>
    <m/>
    <m/>
    <x v="0"/>
    <m/>
    <m/>
    <n v="3170"/>
    <m/>
    <m/>
    <m/>
    <m/>
    <m/>
  </r>
  <r>
    <x v="55"/>
    <s v="토"/>
    <x v="3"/>
    <m/>
    <m/>
    <m/>
    <x v="0"/>
    <m/>
    <m/>
    <n v="4110"/>
    <m/>
    <m/>
    <m/>
    <m/>
    <m/>
  </r>
  <r>
    <x v="56"/>
    <s v="일"/>
    <x v="3"/>
    <m/>
    <m/>
    <m/>
    <x v="0"/>
    <m/>
    <m/>
    <n v="799.9999999999999"/>
    <m/>
    <m/>
    <m/>
    <m/>
    <m/>
  </r>
  <r>
    <x v="57"/>
    <s v="월"/>
    <x v="3"/>
    <m/>
    <m/>
    <m/>
    <x v="0"/>
    <m/>
    <m/>
    <n v="4130"/>
    <m/>
    <m/>
    <m/>
    <m/>
    <m/>
  </r>
  <r>
    <x v="40"/>
    <s v="금"/>
    <x v="4"/>
    <m/>
    <m/>
    <m/>
    <x v="0"/>
    <m/>
    <m/>
    <n v="70"/>
    <m/>
    <m/>
    <m/>
    <m/>
    <m/>
  </r>
  <r>
    <x v="42"/>
    <s v="일"/>
    <x v="4"/>
    <m/>
    <m/>
    <m/>
    <x v="0"/>
    <m/>
    <m/>
    <n v="70"/>
    <m/>
    <m/>
    <m/>
    <m/>
    <m/>
  </r>
  <r>
    <x v="45"/>
    <s v="수"/>
    <x v="4"/>
    <m/>
    <m/>
    <m/>
    <x v="0"/>
    <m/>
    <m/>
    <n v="70"/>
    <m/>
    <m/>
    <m/>
    <m/>
    <m/>
  </r>
  <r>
    <x v="47"/>
    <s v="금"/>
    <x v="4"/>
    <m/>
    <m/>
    <m/>
    <x v="0"/>
    <m/>
    <m/>
    <n v="140"/>
    <m/>
    <m/>
    <m/>
    <m/>
    <m/>
  </r>
  <r>
    <x v="57"/>
    <s v="월"/>
    <x v="4"/>
    <m/>
    <m/>
    <m/>
    <x v="0"/>
    <m/>
    <m/>
    <n v="70"/>
    <m/>
    <m/>
    <m/>
    <m/>
    <m/>
  </r>
  <r>
    <x v="8"/>
    <s v="월"/>
    <x v="1"/>
    <m/>
    <m/>
    <m/>
    <x v="0"/>
    <m/>
    <m/>
    <n v="20000"/>
    <m/>
    <m/>
    <m/>
    <m/>
    <m/>
  </r>
  <r>
    <x v="9"/>
    <s v="화"/>
    <x v="1"/>
    <m/>
    <m/>
    <m/>
    <x v="0"/>
    <m/>
    <m/>
    <n v="20000"/>
    <m/>
    <m/>
    <m/>
    <m/>
    <m/>
  </r>
  <r>
    <x v="10"/>
    <s v="수"/>
    <x v="1"/>
    <m/>
    <m/>
    <m/>
    <x v="0"/>
    <m/>
    <m/>
    <n v="20000"/>
    <m/>
    <m/>
    <m/>
    <m/>
    <m/>
  </r>
  <r>
    <x v="11"/>
    <s v="목"/>
    <x v="1"/>
    <m/>
    <m/>
    <m/>
    <x v="0"/>
    <m/>
    <m/>
    <n v="20000"/>
    <m/>
    <m/>
    <m/>
    <m/>
    <m/>
  </r>
  <r>
    <x v="12"/>
    <s v="금"/>
    <x v="1"/>
    <m/>
    <m/>
    <m/>
    <x v="0"/>
    <m/>
    <m/>
    <n v="20000"/>
    <m/>
    <m/>
    <m/>
    <m/>
    <m/>
  </r>
  <r>
    <x v="13"/>
    <s v="토"/>
    <x v="1"/>
    <m/>
    <m/>
    <m/>
    <x v="0"/>
    <m/>
    <m/>
    <n v="20000"/>
    <m/>
    <m/>
    <m/>
    <m/>
    <m/>
  </r>
  <r>
    <x v="14"/>
    <s v="일"/>
    <x v="1"/>
    <m/>
    <m/>
    <m/>
    <x v="0"/>
    <m/>
    <m/>
    <n v="20000"/>
    <m/>
    <m/>
    <m/>
    <m/>
    <m/>
  </r>
  <r>
    <x v="15"/>
    <s v="월"/>
    <x v="1"/>
    <m/>
    <m/>
    <m/>
    <x v="0"/>
    <m/>
    <m/>
    <n v="20000"/>
    <m/>
    <m/>
    <m/>
    <m/>
    <m/>
  </r>
  <r>
    <x v="16"/>
    <s v="화"/>
    <x v="1"/>
    <m/>
    <m/>
    <m/>
    <x v="0"/>
    <m/>
    <m/>
    <n v="20000"/>
    <m/>
    <m/>
    <m/>
    <m/>
    <m/>
  </r>
  <r>
    <x v="17"/>
    <s v="수"/>
    <x v="1"/>
    <m/>
    <m/>
    <m/>
    <x v="0"/>
    <m/>
    <m/>
    <n v="20000"/>
    <m/>
    <m/>
    <m/>
    <m/>
    <m/>
  </r>
  <r>
    <x v="18"/>
    <s v="목"/>
    <x v="1"/>
    <m/>
    <m/>
    <m/>
    <x v="0"/>
    <m/>
    <m/>
    <n v="20000"/>
    <m/>
    <m/>
    <m/>
    <m/>
    <m/>
  </r>
  <r>
    <x v="19"/>
    <s v="금"/>
    <x v="1"/>
    <m/>
    <m/>
    <m/>
    <x v="0"/>
    <m/>
    <m/>
    <n v="20000"/>
    <m/>
    <m/>
    <m/>
    <m/>
    <m/>
  </r>
  <r>
    <x v="20"/>
    <s v="토"/>
    <x v="1"/>
    <m/>
    <m/>
    <m/>
    <x v="0"/>
    <m/>
    <m/>
    <n v="20000"/>
    <m/>
    <m/>
    <m/>
    <m/>
    <m/>
  </r>
  <r>
    <x v="21"/>
    <s v="일"/>
    <x v="1"/>
    <m/>
    <m/>
    <m/>
    <x v="0"/>
    <m/>
    <m/>
    <n v="20000"/>
    <m/>
    <m/>
    <m/>
    <m/>
    <m/>
  </r>
  <r>
    <x v="22"/>
    <s v="월"/>
    <x v="1"/>
    <m/>
    <m/>
    <m/>
    <x v="0"/>
    <m/>
    <m/>
    <n v="20000"/>
    <m/>
    <m/>
    <m/>
    <m/>
    <m/>
  </r>
  <r>
    <x v="23"/>
    <s v="화"/>
    <x v="1"/>
    <m/>
    <m/>
    <m/>
    <x v="0"/>
    <m/>
    <m/>
    <n v="20000"/>
    <m/>
    <m/>
    <m/>
    <m/>
    <m/>
  </r>
  <r>
    <x v="24"/>
    <s v="수"/>
    <x v="1"/>
    <m/>
    <m/>
    <m/>
    <x v="0"/>
    <m/>
    <m/>
    <n v="20000"/>
    <m/>
    <m/>
    <m/>
    <m/>
    <m/>
  </r>
  <r>
    <x v="25"/>
    <s v="목"/>
    <x v="1"/>
    <m/>
    <m/>
    <m/>
    <x v="0"/>
    <m/>
    <m/>
    <n v="20000"/>
    <m/>
    <m/>
    <m/>
    <m/>
    <m/>
  </r>
  <r>
    <x v="26"/>
    <s v="금"/>
    <x v="1"/>
    <m/>
    <m/>
    <m/>
    <x v="0"/>
    <m/>
    <m/>
    <n v="20000"/>
    <m/>
    <m/>
    <m/>
    <m/>
    <m/>
  </r>
  <r>
    <x v="27"/>
    <s v="토"/>
    <x v="1"/>
    <m/>
    <m/>
    <m/>
    <x v="0"/>
    <m/>
    <m/>
    <n v="20000"/>
    <m/>
    <m/>
    <m/>
    <m/>
    <m/>
  </r>
  <r>
    <x v="28"/>
    <s v="일"/>
    <x v="1"/>
    <m/>
    <m/>
    <m/>
    <x v="0"/>
    <m/>
    <m/>
    <n v="20000"/>
    <m/>
    <m/>
    <m/>
    <m/>
    <m/>
  </r>
  <r>
    <x v="29"/>
    <s v="월"/>
    <x v="1"/>
    <m/>
    <m/>
    <m/>
    <x v="0"/>
    <m/>
    <m/>
    <n v="20000"/>
    <m/>
    <m/>
    <m/>
    <m/>
    <m/>
  </r>
  <r>
    <x v="30"/>
    <s v="화"/>
    <x v="1"/>
    <m/>
    <m/>
    <m/>
    <x v="0"/>
    <m/>
    <m/>
    <n v="20000"/>
    <m/>
    <m/>
    <m/>
    <m/>
    <m/>
  </r>
  <r>
    <x v="31"/>
    <s v="수"/>
    <x v="1"/>
    <m/>
    <m/>
    <m/>
    <x v="0"/>
    <m/>
    <m/>
    <n v="20000"/>
    <m/>
    <m/>
    <m/>
    <m/>
    <m/>
  </r>
  <r>
    <x v="32"/>
    <s v="목"/>
    <x v="1"/>
    <m/>
    <m/>
    <m/>
    <x v="0"/>
    <m/>
    <m/>
    <n v="20000"/>
    <m/>
    <m/>
    <m/>
    <m/>
    <m/>
  </r>
  <r>
    <x v="33"/>
    <s v="금"/>
    <x v="1"/>
    <m/>
    <m/>
    <m/>
    <x v="0"/>
    <m/>
    <m/>
    <n v="20000"/>
    <m/>
    <m/>
    <m/>
    <m/>
    <m/>
  </r>
  <r>
    <x v="34"/>
    <s v="토"/>
    <x v="1"/>
    <m/>
    <m/>
    <m/>
    <x v="0"/>
    <m/>
    <m/>
    <n v="20000"/>
    <m/>
    <m/>
    <m/>
    <m/>
    <m/>
  </r>
  <r>
    <x v="35"/>
    <s v="일"/>
    <x v="1"/>
    <m/>
    <m/>
    <m/>
    <x v="0"/>
    <m/>
    <m/>
    <n v="20000"/>
    <m/>
    <m/>
    <m/>
    <m/>
    <m/>
  </r>
  <r>
    <x v="36"/>
    <s v="월"/>
    <x v="1"/>
    <m/>
    <m/>
    <m/>
    <x v="0"/>
    <m/>
    <m/>
    <n v="20000"/>
    <m/>
    <m/>
    <m/>
    <m/>
    <m/>
  </r>
  <r>
    <x v="37"/>
    <s v="화"/>
    <x v="1"/>
    <m/>
    <m/>
    <m/>
    <x v="0"/>
    <m/>
    <m/>
    <n v="20000"/>
    <m/>
    <m/>
    <m/>
    <m/>
    <m/>
  </r>
  <r>
    <x v="38"/>
    <s v="수"/>
    <x v="1"/>
    <m/>
    <m/>
    <m/>
    <x v="0"/>
    <m/>
    <m/>
    <n v="20000"/>
    <m/>
    <m/>
    <m/>
    <m/>
    <m/>
  </r>
  <r>
    <x v="39"/>
    <s v="목"/>
    <x v="1"/>
    <m/>
    <m/>
    <m/>
    <x v="0"/>
    <m/>
    <m/>
    <n v="20000"/>
    <m/>
    <m/>
    <m/>
    <m/>
    <m/>
  </r>
  <r>
    <x v="40"/>
    <s v="금"/>
    <x v="1"/>
    <m/>
    <m/>
    <m/>
    <x v="0"/>
    <m/>
    <m/>
    <n v="20000"/>
    <m/>
    <m/>
    <m/>
    <m/>
    <m/>
  </r>
  <r>
    <x v="41"/>
    <s v="토"/>
    <x v="1"/>
    <m/>
    <m/>
    <m/>
    <x v="0"/>
    <m/>
    <m/>
    <n v="20000"/>
    <m/>
    <m/>
    <m/>
    <m/>
    <m/>
  </r>
  <r>
    <x v="42"/>
    <s v="일"/>
    <x v="1"/>
    <m/>
    <m/>
    <m/>
    <x v="0"/>
    <m/>
    <m/>
    <n v="20000"/>
    <m/>
    <m/>
    <m/>
    <m/>
    <m/>
  </r>
  <r>
    <x v="43"/>
    <s v="월"/>
    <x v="1"/>
    <m/>
    <m/>
    <m/>
    <x v="0"/>
    <m/>
    <m/>
    <n v="20000"/>
    <m/>
    <m/>
    <m/>
    <m/>
    <m/>
  </r>
  <r>
    <x v="44"/>
    <s v="화"/>
    <x v="1"/>
    <m/>
    <m/>
    <m/>
    <x v="0"/>
    <m/>
    <m/>
    <n v="20000"/>
    <m/>
    <m/>
    <m/>
    <m/>
    <m/>
  </r>
  <r>
    <x v="45"/>
    <s v="수"/>
    <x v="1"/>
    <m/>
    <m/>
    <m/>
    <x v="0"/>
    <m/>
    <m/>
    <n v="20000"/>
    <m/>
    <m/>
    <m/>
    <m/>
    <m/>
  </r>
  <r>
    <x v="46"/>
    <s v="목"/>
    <x v="1"/>
    <m/>
    <m/>
    <m/>
    <x v="0"/>
    <m/>
    <m/>
    <n v="20000"/>
    <m/>
    <m/>
    <m/>
    <m/>
    <m/>
  </r>
  <r>
    <x v="47"/>
    <s v="금"/>
    <x v="1"/>
    <m/>
    <m/>
    <m/>
    <x v="0"/>
    <m/>
    <m/>
    <n v="20000"/>
    <m/>
    <m/>
    <m/>
    <m/>
    <m/>
  </r>
  <r>
    <x v="48"/>
    <s v="토"/>
    <x v="1"/>
    <m/>
    <m/>
    <m/>
    <x v="0"/>
    <m/>
    <m/>
    <n v="20000"/>
    <m/>
    <m/>
    <m/>
    <m/>
    <m/>
  </r>
  <r>
    <x v="49"/>
    <s v="일"/>
    <x v="1"/>
    <m/>
    <m/>
    <m/>
    <x v="0"/>
    <m/>
    <m/>
    <n v="20000"/>
    <m/>
    <m/>
    <m/>
    <m/>
    <m/>
  </r>
  <r>
    <x v="50"/>
    <s v="월"/>
    <x v="1"/>
    <m/>
    <m/>
    <m/>
    <x v="0"/>
    <m/>
    <m/>
    <n v="20000"/>
    <m/>
    <m/>
    <m/>
    <m/>
    <m/>
  </r>
  <r>
    <x v="51"/>
    <s v="화"/>
    <x v="1"/>
    <m/>
    <m/>
    <m/>
    <x v="0"/>
    <m/>
    <m/>
    <n v="20000"/>
    <m/>
    <m/>
    <m/>
    <m/>
    <m/>
  </r>
  <r>
    <x v="52"/>
    <s v="수"/>
    <x v="1"/>
    <m/>
    <m/>
    <m/>
    <x v="0"/>
    <m/>
    <m/>
    <n v="20000"/>
    <m/>
    <m/>
    <m/>
    <m/>
    <m/>
  </r>
  <r>
    <x v="53"/>
    <s v="목"/>
    <x v="1"/>
    <m/>
    <m/>
    <m/>
    <x v="0"/>
    <m/>
    <m/>
    <n v="20000"/>
    <m/>
    <m/>
    <m/>
    <m/>
    <m/>
  </r>
  <r>
    <x v="54"/>
    <s v="금"/>
    <x v="1"/>
    <m/>
    <m/>
    <m/>
    <x v="0"/>
    <m/>
    <m/>
    <n v="20000"/>
    <m/>
    <m/>
    <m/>
    <m/>
    <m/>
  </r>
  <r>
    <x v="55"/>
    <s v="토"/>
    <x v="1"/>
    <m/>
    <m/>
    <m/>
    <x v="0"/>
    <m/>
    <m/>
    <n v="20000"/>
    <m/>
    <m/>
    <m/>
    <m/>
    <m/>
  </r>
  <r>
    <x v="56"/>
    <s v="일"/>
    <x v="1"/>
    <m/>
    <m/>
    <m/>
    <x v="0"/>
    <m/>
    <m/>
    <n v="20000"/>
    <m/>
    <m/>
    <m/>
    <m/>
    <m/>
  </r>
  <r>
    <x v="57"/>
    <s v="월"/>
    <x v="1"/>
    <m/>
    <m/>
    <m/>
    <x v="0"/>
    <m/>
    <m/>
    <n v="20000"/>
    <m/>
    <m/>
    <m/>
    <m/>
    <m/>
  </r>
  <r>
    <x v="15"/>
    <s v="월"/>
    <x v="5"/>
    <m/>
    <m/>
    <m/>
    <x v="0"/>
    <m/>
    <m/>
    <n v="138745"/>
    <m/>
    <m/>
    <m/>
    <m/>
    <m/>
  </r>
  <r>
    <x v="16"/>
    <s v="화"/>
    <x v="5"/>
    <m/>
    <m/>
    <m/>
    <x v="0"/>
    <m/>
    <m/>
    <n v="91291"/>
    <m/>
    <m/>
    <m/>
    <m/>
    <m/>
  </r>
  <r>
    <x v="17"/>
    <s v="수"/>
    <x v="5"/>
    <m/>
    <m/>
    <m/>
    <x v="0"/>
    <m/>
    <m/>
    <n v="47913"/>
    <m/>
    <m/>
    <m/>
    <m/>
    <m/>
  </r>
  <r>
    <x v="8"/>
    <s v="월"/>
    <x v="6"/>
    <m/>
    <m/>
    <m/>
    <x v="0"/>
    <m/>
    <m/>
    <n v="4700000"/>
    <m/>
    <m/>
    <m/>
    <m/>
    <m/>
  </r>
  <r>
    <x v="58"/>
    <s v="화"/>
    <x v="0"/>
    <m/>
    <m/>
    <m/>
    <x v="1"/>
    <m/>
    <m/>
    <n v="1763178"/>
    <m/>
    <m/>
    <m/>
    <m/>
    <m/>
  </r>
  <r>
    <x v="59"/>
    <s v="수"/>
    <x v="0"/>
    <m/>
    <m/>
    <m/>
    <x v="1"/>
    <m/>
    <m/>
    <n v="2026645"/>
    <m/>
    <m/>
    <m/>
    <m/>
    <m/>
  </r>
  <r>
    <x v="60"/>
    <s v="목"/>
    <x v="0"/>
    <m/>
    <m/>
    <m/>
    <x v="1"/>
    <m/>
    <m/>
    <n v="2601081"/>
    <m/>
    <m/>
    <m/>
    <m/>
    <m/>
  </r>
  <r>
    <x v="61"/>
    <s v="금"/>
    <x v="0"/>
    <m/>
    <m/>
    <m/>
    <x v="1"/>
    <m/>
    <m/>
    <n v="2917007"/>
    <m/>
    <m/>
    <m/>
    <m/>
    <m/>
  </r>
  <r>
    <x v="62"/>
    <s v="토"/>
    <x v="0"/>
    <m/>
    <m/>
    <m/>
    <x v="1"/>
    <m/>
    <m/>
    <n v="2381826"/>
    <m/>
    <m/>
    <m/>
    <m/>
    <m/>
  </r>
  <r>
    <x v="63"/>
    <s v="일"/>
    <x v="0"/>
    <m/>
    <m/>
    <m/>
    <x v="1"/>
    <m/>
    <m/>
    <n v="3509277"/>
    <m/>
    <m/>
    <m/>
    <m/>
    <m/>
  </r>
  <r>
    <x v="64"/>
    <s v="월"/>
    <x v="0"/>
    <m/>
    <m/>
    <m/>
    <x v="1"/>
    <m/>
    <m/>
    <n v="2544193"/>
    <m/>
    <m/>
    <m/>
    <m/>
    <m/>
  </r>
  <r>
    <x v="65"/>
    <s v="화"/>
    <x v="0"/>
    <m/>
    <m/>
    <m/>
    <x v="1"/>
    <m/>
    <m/>
    <n v="2684927"/>
    <m/>
    <m/>
    <m/>
    <m/>
    <m/>
  </r>
  <r>
    <x v="66"/>
    <s v="수"/>
    <x v="0"/>
    <m/>
    <m/>
    <m/>
    <x v="1"/>
    <m/>
    <m/>
    <n v="1888783"/>
    <m/>
    <m/>
    <m/>
    <m/>
    <m/>
  </r>
  <r>
    <x v="67"/>
    <s v="목"/>
    <x v="0"/>
    <m/>
    <m/>
    <m/>
    <x v="1"/>
    <m/>
    <m/>
    <n v="1325534"/>
    <m/>
    <m/>
    <m/>
    <m/>
    <m/>
  </r>
  <r>
    <x v="68"/>
    <s v="금"/>
    <x v="0"/>
    <m/>
    <m/>
    <m/>
    <x v="1"/>
    <m/>
    <m/>
    <n v="1635202"/>
    <m/>
    <m/>
    <m/>
    <m/>
    <m/>
  </r>
  <r>
    <x v="69"/>
    <s v="토"/>
    <x v="0"/>
    <m/>
    <m/>
    <m/>
    <x v="1"/>
    <m/>
    <m/>
    <n v="1353293"/>
    <m/>
    <m/>
    <m/>
    <m/>
    <m/>
  </r>
  <r>
    <x v="70"/>
    <s v="일"/>
    <x v="0"/>
    <m/>
    <m/>
    <m/>
    <x v="1"/>
    <m/>
    <m/>
    <n v="1321069"/>
    <m/>
    <m/>
    <m/>
    <m/>
    <m/>
  </r>
  <r>
    <x v="71"/>
    <s v="월"/>
    <x v="0"/>
    <m/>
    <m/>
    <m/>
    <x v="1"/>
    <m/>
    <m/>
    <n v="2196005"/>
    <m/>
    <m/>
    <m/>
    <m/>
    <m/>
  </r>
  <r>
    <x v="72"/>
    <s v="화"/>
    <x v="0"/>
    <m/>
    <m/>
    <m/>
    <x v="1"/>
    <m/>
    <m/>
    <n v="1870810"/>
    <m/>
    <m/>
    <m/>
    <m/>
    <m/>
  </r>
  <r>
    <x v="73"/>
    <s v="수"/>
    <x v="0"/>
    <m/>
    <m/>
    <m/>
    <x v="1"/>
    <m/>
    <m/>
    <n v="1585158"/>
    <m/>
    <m/>
    <m/>
    <m/>
    <m/>
  </r>
  <r>
    <x v="74"/>
    <s v="목"/>
    <x v="0"/>
    <m/>
    <m/>
    <m/>
    <x v="1"/>
    <m/>
    <m/>
    <n v="1290778"/>
    <m/>
    <m/>
    <m/>
    <m/>
    <m/>
  </r>
  <r>
    <x v="75"/>
    <s v="금"/>
    <x v="0"/>
    <m/>
    <m/>
    <m/>
    <x v="1"/>
    <m/>
    <m/>
    <n v="1460230"/>
    <m/>
    <m/>
    <m/>
    <m/>
    <m/>
  </r>
  <r>
    <x v="76"/>
    <s v="토"/>
    <x v="0"/>
    <m/>
    <m/>
    <m/>
    <x v="1"/>
    <m/>
    <m/>
    <n v="1507885"/>
    <m/>
    <m/>
    <m/>
    <m/>
    <m/>
  </r>
  <r>
    <x v="77"/>
    <s v="일"/>
    <x v="0"/>
    <m/>
    <m/>
    <m/>
    <x v="1"/>
    <m/>
    <m/>
    <n v="1617573"/>
    <m/>
    <m/>
    <m/>
    <m/>
    <m/>
  </r>
  <r>
    <x v="78"/>
    <s v="월"/>
    <x v="0"/>
    <m/>
    <m/>
    <m/>
    <x v="1"/>
    <m/>
    <m/>
    <n v="1741039"/>
    <m/>
    <m/>
    <m/>
    <m/>
    <m/>
  </r>
  <r>
    <x v="79"/>
    <s v="화"/>
    <x v="0"/>
    <m/>
    <m/>
    <m/>
    <x v="1"/>
    <m/>
    <m/>
    <n v="1747479"/>
    <m/>
    <m/>
    <m/>
    <m/>
    <m/>
  </r>
  <r>
    <x v="80"/>
    <s v="수"/>
    <x v="0"/>
    <m/>
    <m/>
    <m/>
    <x v="1"/>
    <m/>
    <m/>
    <n v="1951239"/>
    <m/>
    <m/>
    <m/>
    <m/>
    <m/>
  </r>
  <r>
    <x v="81"/>
    <s v="목"/>
    <x v="0"/>
    <m/>
    <m/>
    <m/>
    <x v="1"/>
    <m/>
    <m/>
    <n v="1634493"/>
    <m/>
    <m/>
    <m/>
    <m/>
    <m/>
  </r>
  <r>
    <x v="82"/>
    <s v="금"/>
    <x v="0"/>
    <m/>
    <m/>
    <m/>
    <x v="1"/>
    <m/>
    <m/>
    <n v="1323227"/>
    <m/>
    <m/>
    <m/>
    <m/>
    <m/>
  </r>
  <r>
    <x v="83"/>
    <s v="토"/>
    <x v="0"/>
    <m/>
    <m/>
    <m/>
    <x v="1"/>
    <m/>
    <m/>
    <n v="995395"/>
    <m/>
    <m/>
    <m/>
    <m/>
    <m/>
  </r>
  <r>
    <x v="84"/>
    <s v="일"/>
    <x v="0"/>
    <m/>
    <m/>
    <m/>
    <x v="1"/>
    <m/>
    <m/>
    <n v="1013688"/>
    <m/>
    <m/>
    <m/>
    <m/>
    <m/>
  </r>
  <r>
    <x v="85"/>
    <s v="월"/>
    <x v="0"/>
    <m/>
    <m/>
    <m/>
    <x v="1"/>
    <m/>
    <m/>
    <n v="1369854"/>
    <m/>
    <m/>
    <m/>
    <m/>
    <m/>
  </r>
  <r>
    <x v="86"/>
    <s v="화"/>
    <x v="0"/>
    <m/>
    <m/>
    <m/>
    <x v="1"/>
    <m/>
    <m/>
    <n v="1442119"/>
    <m/>
    <m/>
    <m/>
    <m/>
    <m/>
  </r>
  <r>
    <x v="87"/>
    <s v="수"/>
    <x v="0"/>
    <m/>
    <m/>
    <m/>
    <x v="1"/>
    <m/>
    <m/>
    <n v="1786142"/>
    <m/>
    <m/>
    <m/>
    <m/>
    <m/>
  </r>
  <r>
    <x v="88"/>
    <s v="목"/>
    <x v="0"/>
    <m/>
    <m/>
    <m/>
    <x v="1"/>
    <m/>
    <m/>
    <n v="1889671"/>
    <m/>
    <m/>
    <m/>
    <m/>
    <m/>
  </r>
  <r>
    <x v="89"/>
    <s v="금"/>
    <x v="0"/>
    <m/>
    <m/>
    <m/>
    <x v="1"/>
    <m/>
    <m/>
    <n v="1793441"/>
    <m/>
    <m/>
    <m/>
    <m/>
    <m/>
  </r>
  <r>
    <x v="90"/>
    <s v="토"/>
    <x v="0"/>
    <m/>
    <m/>
    <m/>
    <x v="1"/>
    <m/>
    <m/>
    <n v="1439223"/>
    <m/>
    <m/>
    <m/>
    <m/>
    <m/>
  </r>
  <r>
    <x v="91"/>
    <s v="일"/>
    <x v="0"/>
    <m/>
    <m/>
    <m/>
    <x v="1"/>
    <m/>
    <m/>
    <n v="1858292"/>
    <m/>
    <m/>
    <m/>
    <m/>
    <m/>
  </r>
  <r>
    <x v="92"/>
    <s v="월"/>
    <x v="0"/>
    <m/>
    <m/>
    <m/>
    <x v="1"/>
    <m/>
    <m/>
    <n v="1904380"/>
    <m/>
    <m/>
    <m/>
    <m/>
    <m/>
  </r>
  <r>
    <x v="93"/>
    <s v="화"/>
    <x v="0"/>
    <m/>
    <m/>
    <m/>
    <x v="1"/>
    <m/>
    <m/>
    <n v="1900368"/>
    <m/>
    <m/>
    <m/>
    <m/>
    <m/>
  </r>
  <r>
    <x v="94"/>
    <s v="수"/>
    <x v="0"/>
    <m/>
    <m/>
    <m/>
    <x v="1"/>
    <m/>
    <m/>
    <n v="2016760"/>
    <m/>
    <m/>
    <m/>
    <m/>
    <m/>
  </r>
  <r>
    <x v="95"/>
    <s v="목"/>
    <x v="0"/>
    <m/>
    <m/>
    <m/>
    <x v="1"/>
    <m/>
    <m/>
    <n v="1760782"/>
    <m/>
    <m/>
    <m/>
    <m/>
    <m/>
  </r>
  <r>
    <x v="96"/>
    <s v="금"/>
    <x v="0"/>
    <m/>
    <m/>
    <m/>
    <x v="1"/>
    <m/>
    <m/>
    <n v="1694277"/>
    <m/>
    <m/>
    <m/>
    <m/>
    <m/>
  </r>
  <r>
    <x v="97"/>
    <s v="토"/>
    <x v="0"/>
    <m/>
    <m/>
    <m/>
    <x v="1"/>
    <m/>
    <m/>
    <n v="1589744"/>
    <m/>
    <m/>
    <m/>
    <m/>
    <m/>
  </r>
  <r>
    <x v="98"/>
    <s v="일"/>
    <x v="0"/>
    <m/>
    <m/>
    <m/>
    <x v="1"/>
    <m/>
    <m/>
    <n v="1804164"/>
    <m/>
    <m/>
    <m/>
    <m/>
    <m/>
  </r>
  <r>
    <x v="99"/>
    <s v="월"/>
    <x v="0"/>
    <m/>
    <m/>
    <m/>
    <x v="1"/>
    <m/>
    <m/>
    <n v="2220566"/>
    <m/>
    <m/>
    <m/>
    <m/>
    <m/>
  </r>
  <r>
    <x v="100"/>
    <s v="화"/>
    <x v="0"/>
    <m/>
    <m/>
    <m/>
    <x v="1"/>
    <m/>
    <m/>
    <n v="2172200"/>
    <m/>
    <m/>
    <m/>
    <m/>
    <m/>
  </r>
  <r>
    <x v="101"/>
    <s v="수"/>
    <x v="0"/>
    <m/>
    <m/>
    <m/>
    <x v="1"/>
    <m/>
    <m/>
    <n v="2027733"/>
    <m/>
    <m/>
    <m/>
    <m/>
    <m/>
  </r>
  <r>
    <x v="102"/>
    <s v="목"/>
    <x v="0"/>
    <m/>
    <m/>
    <m/>
    <x v="1"/>
    <m/>
    <m/>
    <n v="1887474"/>
    <m/>
    <m/>
    <m/>
    <m/>
    <m/>
  </r>
  <r>
    <x v="103"/>
    <s v="금"/>
    <x v="0"/>
    <m/>
    <m/>
    <m/>
    <x v="1"/>
    <m/>
    <m/>
    <n v="1935877"/>
    <m/>
    <m/>
    <m/>
    <m/>
    <m/>
  </r>
  <r>
    <x v="104"/>
    <s v="토"/>
    <x v="0"/>
    <m/>
    <m/>
    <m/>
    <x v="1"/>
    <m/>
    <m/>
    <n v="1762702"/>
    <m/>
    <m/>
    <m/>
    <m/>
    <m/>
  </r>
  <r>
    <x v="105"/>
    <s v="일"/>
    <x v="0"/>
    <m/>
    <m/>
    <m/>
    <x v="1"/>
    <m/>
    <m/>
    <n v="1790570"/>
    <m/>
    <m/>
    <m/>
    <m/>
    <m/>
  </r>
  <r>
    <x v="106"/>
    <s v="월"/>
    <x v="0"/>
    <m/>
    <m/>
    <m/>
    <x v="1"/>
    <m/>
    <m/>
    <n v="1783661"/>
    <m/>
    <m/>
    <m/>
    <m/>
    <m/>
  </r>
  <r>
    <x v="107"/>
    <s v="화"/>
    <x v="0"/>
    <m/>
    <m/>
    <m/>
    <x v="1"/>
    <m/>
    <m/>
    <n v="1665216"/>
    <m/>
    <m/>
    <m/>
    <m/>
    <m/>
  </r>
  <r>
    <x v="108"/>
    <s v="수"/>
    <x v="0"/>
    <m/>
    <m/>
    <m/>
    <x v="1"/>
    <m/>
    <m/>
    <n v="1702811"/>
    <m/>
    <m/>
    <m/>
    <m/>
    <m/>
  </r>
  <r>
    <x v="109"/>
    <s v="목"/>
    <x v="0"/>
    <m/>
    <m/>
    <m/>
    <x v="1"/>
    <m/>
    <m/>
    <n v="1922127"/>
    <m/>
    <m/>
    <m/>
    <m/>
    <m/>
  </r>
  <r>
    <x v="110"/>
    <s v="금"/>
    <x v="0"/>
    <m/>
    <m/>
    <m/>
    <x v="1"/>
    <m/>
    <m/>
    <n v="1798895"/>
    <m/>
    <m/>
    <m/>
    <m/>
    <m/>
  </r>
  <r>
    <x v="111"/>
    <s v="토"/>
    <x v="0"/>
    <m/>
    <m/>
    <m/>
    <x v="1"/>
    <m/>
    <m/>
    <n v="1643292"/>
    <m/>
    <m/>
    <m/>
    <m/>
    <m/>
  </r>
  <r>
    <x v="112"/>
    <s v="일"/>
    <x v="0"/>
    <m/>
    <m/>
    <m/>
    <x v="1"/>
    <m/>
    <m/>
    <n v="1703664"/>
    <m/>
    <m/>
    <m/>
    <m/>
    <m/>
  </r>
  <r>
    <x v="113"/>
    <s v="월"/>
    <x v="0"/>
    <m/>
    <m/>
    <m/>
    <x v="1"/>
    <m/>
    <m/>
    <n v="1950145"/>
    <m/>
    <m/>
    <m/>
    <m/>
    <m/>
  </r>
  <r>
    <x v="114"/>
    <s v="화"/>
    <x v="0"/>
    <m/>
    <m/>
    <m/>
    <x v="1"/>
    <m/>
    <m/>
    <n v="1865959"/>
    <m/>
    <m/>
    <m/>
    <m/>
    <m/>
  </r>
  <r>
    <x v="115"/>
    <s v="수"/>
    <x v="0"/>
    <m/>
    <m/>
    <m/>
    <x v="1"/>
    <m/>
    <m/>
    <n v="1845485"/>
    <m/>
    <m/>
    <m/>
    <m/>
    <m/>
  </r>
  <r>
    <x v="116"/>
    <s v="목"/>
    <x v="0"/>
    <m/>
    <m/>
    <m/>
    <x v="1"/>
    <m/>
    <m/>
    <n v="1785124"/>
    <m/>
    <m/>
    <m/>
    <m/>
    <m/>
  </r>
  <r>
    <x v="117"/>
    <s v="금"/>
    <x v="0"/>
    <m/>
    <m/>
    <m/>
    <x v="1"/>
    <m/>
    <m/>
    <n v="2054944"/>
    <m/>
    <m/>
    <m/>
    <m/>
    <m/>
  </r>
  <r>
    <x v="118"/>
    <s v="토"/>
    <x v="0"/>
    <m/>
    <m/>
    <m/>
    <x v="1"/>
    <m/>
    <m/>
    <n v="1848540"/>
    <m/>
    <m/>
    <m/>
    <m/>
    <m/>
  </r>
  <r>
    <x v="119"/>
    <s v="일"/>
    <x v="0"/>
    <m/>
    <m/>
    <m/>
    <x v="1"/>
    <m/>
    <m/>
    <n v="2092786"/>
    <m/>
    <m/>
    <m/>
    <m/>
    <m/>
  </r>
  <r>
    <x v="120"/>
    <s v="월"/>
    <x v="0"/>
    <m/>
    <m/>
    <m/>
    <x v="1"/>
    <m/>
    <m/>
    <n v="2428882"/>
    <m/>
    <m/>
    <m/>
    <m/>
    <m/>
  </r>
  <r>
    <x v="121"/>
    <s v="화"/>
    <x v="0"/>
    <m/>
    <m/>
    <m/>
    <x v="1"/>
    <m/>
    <m/>
    <n v="2347547"/>
    <m/>
    <m/>
    <m/>
    <m/>
    <m/>
  </r>
  <r>
    <x v="122"/>
    <s v="수"/>
    <x v="0"/>
    <m/>
    <m/>
    <m/>
    <x v="1"/>
    <m/>
    <m/>
    <n v="2632496"/>
    <m/>
    <m/>
    <m/>
    <m/>
    <m/>
  </r>
  <r>
    <x v="123"/>
    <s v="목"/>
    <x v="0"/>
    <m/>
    <m/>
    <m/>
    <x v="1"/>
    <m/>
    <m/>
    <n v="2558867"/>
    <m/>
    <m/>
    <m/>
    <m/>
    <m/>
  </r>
  <r>
    <x v="124"/>
    <s v="금"/>
    <x v="0"/>
    <m/>
    <m/>
    <m/>
    <x v="1"/>
    <m/>
    <m/>
    <n v="2592883"/>
    <m/>
    <m/>
    <m/>
    <m/>
    <m/>
  </r>
  <r>
    <x v="125"/>
    <s v="토"/>
    <x v="0"/>
    <m/>
    <m/>
    <m/>
    <x v="1"/>
    <m/>
    <m/>
    <n v="2876765"/>
    <m/>
    <m/>
    <m/>
    <m/>
    <m/>
  </r>
  <r>
    <x v="126"/>
    <s v="일"/>
    <x v="0"/>
    <m/>
    <m/>
    <m/>
    <x v="1"/>
    <m/>
    <m/>
    <n v="3087637"/>
    <m/>
    <m/>
    <m/>
    <m/>
    <m/>
  </r>
  <r>
    <x v="127"/>
    <s v="월"/>
    <x v="0"/>
    <m/>
    <m/>
    <m/>
    <x v="1"/>
    <m/>
    <m/>
    <n v="3068541"/>
    <m/>
    <m/>
    <m/>
    <m/>
    <m/>
  </r>
  <r>
    <x v="128"/>
    <s v="화"/>
    <x v="0"/>
    <m/>
    <m/>
    <m/>
    <x v="1"/>
    <m/>
    <m/>
    <n v="3570232"/>
    <m/>
    <m/>
    <m/>
    <m/>
    <m/>
  </r>
  <r>
    <x v="129"/>
    <s v="수"/>
    <x v="0"/>
    <m/>
    <m/>
    <m/>
    <x v="1"/>
    <m/>
    <m/>
    <n v="3935350"/>
    <m/>
    <m/>
    <m/>
    <m/>
    <m/>
  </r>
  <r>
    <x v="130"/>
    <s v="목"/>
    <x v="0"/>
    <m/>
    <m/>
    <m/>
    <x v="1"/>
    <m/>
    <m/>
    <n v="4194609"/>
    <m/>
    <m/>
    <m/>
    <m/>
    <m/>
  </r>
  <r>
    <x v="131"/>
    <s v="금"/>
    <x v="0"/>
    <m/>
    <m/>
    <m/>
    <x v="1"/>
    <m/>
    <m/>
    <n v="4042480"/>
    <m/>
    <m/>
    <m/>
    <m/>
    <m/>
  </r>
  <r>
    <x v="132"/>
    <s v="토"/>
    <x v="0"/>
    <m/>
    <m/>
    <m/>
    <x v="1"/>
    <m/>
    <m/>
    <n v="4286573"/>
    <m/>
    <m/>
    <m/>
    <m/>
    <m/>
  </r>
  <r>
    <x v="133"/>
    <s v="일"/>
    <x v="0"/>
    <m/>
    <m/>
    <m/>
    <x v="1"/>
    <m/>
    <m/>
    <n v="4321892"/>
    <m/>
    <m/>
    <m/>
    <m/>
    <m/>
  </r>
  <r>
    <x v="134"/>
    <s v="월"/>
    <x v="0"/>
    <m/>
    <m/>
    <m/>
    <x v="1"/>
    <m/>
    <m/>
    <n v="3497320"/>
    <m/>
    <m/>
    <m/>
    <m/>
    <m/>
  </r>
  <r>
    <x v="135"/>
    <s v="화"/>
    <x v="0"/>
    <m/>
    <m/>
    <m/>
    <x v="1"/>
    <m/>
    <m/>
    <n v="3952055"/>
    <m/>
    <m/>
    <m/>
    <m/>
    <m/>
  </r>
  <r>
    <x v="136"/>
    <s v="수"/>
    <x v="0"/>
    <m/>
    <m/>
    <m/>
    <x v="1"/>
    <m/>
    <m/>
    <n v="4178698"/>
    <m/>
    <m/>
    <m/>
    <m/>
    <m/>
  </r>
  <r>
    <x v="137"/>
    <s v="목"/>
    <x v="0"/>
    <m/>
    <m/>
    <m/>
    <x v="1"/>
    <m/>
    <m/>
    <n v="3909871"/>
    <m/>
    <m/>
    <m/>
    <m/>
    <m/>
  </r>
  <r>
    <x v="138"/>
    <s v="금"/>
    <x v="0"/>
    <m/>
    <m/>
    <m/>
    <x v="1"/>
    <m/>
    <m/>
    <n v="4965656"/>
    <m/>
    <m/>
    <m/>
    <m/>
    <m/>
  </r>
  <r>
    <x v="139"/>
    <s v="토"/>
    <x v="0"/>
    <m/>
    <m/>
    <m/>
    <x v="1"/>
    <m/>
    <m/>
    <n v="5104416"/>
    <m/>
    <m/>
    <m/>
    <m/>
    <m/>
  </r>
  <r>
    <x v="140"/>
    <s v="일"/>
    <x v="0"/>
    <m/>
    <m/>
    <m/>
    <x v="1"/>
    <m/>
    <m/>
    <n v="5124673"/>
    <m/>
    <m/>
    <m/>
    <m/>
    <m/>
  </r>
  <r>
    <x v="141"/>
    <s v="월"/>
    <x v="0"/>
    <m/>
    <m/>
    <m/>
    <x v="1"/>
    <m/>
    <m/>
    <n v="5429661"/>
    <m/>
    <m/>
    <m/>
    <m/>
    <m/>
  </r>
  <r>
    <x v="142"/>
    <s v="화"/>
    <x v="0"/>
    <m/>
    <m/>
    <m/>
    <x v="1"/>
    <m/>
    <m/>
    <n v="5749470"/>
    <m/>
    <m/>
    <m/>
    <m/>
    <m/>
  </r>
  <r>
    <x v="143"/>
    <s v="수"/>
    <x v="0"/>
    <m/>
    <m/>
    <m/>
    <x v="1"/>
    <m/>
    <m/>
    <n v="5918409"/>
    <m/>
    <m/>
    <m/>
    <m/>
    <m/>
  </r>
  <r>
    <x v="144"/>
    <s v="목"/>
    <x v="0"/>
    <m/>
    <m/>
    <m/>
    <x v="1"/>
    <m/>
    <m/>
    <n v="5660700"/>
    <m/>
    <m/>
    <m/>
    <m/>
    <m/>
  </r>
  <r>
    <x v="145"/>
    <s v="금"/>
    <x v="0"/>
    <m/>
    <m/>
    <m/>
    <x v="1"/>
    <m/>
    <m/>
    <n v="5423171"/>
    <m/>
    <m/>
    <m/>
    <m/>
    <m/>
  </r>
  <r>
    <x v="146"/>
    <s v="토"/>
    <x v="0"/>
    <m/>
    <m/>
    <m/>
    <x v="1"/>
    <m/>
    <m/>
    <n v="5538240"/>
    <m/>
    <m/>
    <m/>
    <m/>
    <m/>
  </r>
  <r>
    <x v="147"/>
    <s v="일"/>
    <x v="0"/>
    <m/>
    <m/>
    <m/>
    <x v="1"/>
    <m/>
    <m/>
    <n v="5823280"/>
    <m/>
    <m/>
    <m/>
    <m/>
    <m/>
  </r>
  <r>
    <x v="148"/>
    <s v="월"/>
    <x v="0"/>
    <m/>
    <m/>
    <m/>
    <x v="1"/>
    <m/>
    <m/>
    <n v="5956853"/>
    <m/>
    <m/>
    <m/>
    <m/>
    <m/>
  </r>
  <r>
    <x v="149"/>
    <s v="화"/>
    <x v="0"/>
    <m/>
    <m/>
    <m/>
    <x v="1"/>
    <m/>
    <m/>
    <n v="6301841"/>
    <m/>
    <m/>
    <m/>
    <m/>
    <m/>
  </r>
  <r>
    <x v="150"/>
    <s v="수"/>
    <x v="0"/>
    <m/>
    <m/>
    <m/>
    <x v="1"/>
    <m/>
    <m/>
    <n v="6577186"/>
    <m/>
    <m/>
    <m/>
    <m/>
    <m/>
  </r>
  <r>
    <x v="151"/>
    <s v="목"/>
    <x v="0"/>
    <m/>
    <m/>
    <m/>
    <x v="1"/>
    <m/>
    <m/>
    <n v="6318505"/>
    <m/>
    <m/>
    <m/>
    <m/>
    <m/>
  </r>
  <r>
    <x v="152"/>
    <s v="금"/>
    <x v="0"/>
    <m/>
    <m/>
    <m/>
    <x v="1"/>
    <m/>
    <m/>
    <n v="5901422"/>
    <m/>
    <m/>
    <m/>
    <m/>
    <m/>
  </r>
  <r>
    <x v="153"/>
    <s v="토"/>
    <x v="0"/>
    <m/>
    <m/>
    <m/>
    <x v="1"/>
    <m/>
    <m/>
    <n v="5827226"/>
    <m/>
    <m/>
    <m/>
    <m/>
    <m/>
  </r>
  <r>
    <x v="154"/>
    <s v="일"/>
    <x v="0"/>
    <m/>
    <m/>
    <m/>
    <x v="1"/>
    <m/>
    <m/>
    <n v="5722965"/>
    <m/>
    <m/>
    <m/>
    <m/>
    <m/>
  </r>
  <r>
    <x v="155"/>
    <s v="월"/>
    <x v="0"/>
    <m/>
    <m/>
    <m/>
    <x v="1"/>
    <m/>
    <m/>
    <n v="5965586"/>
    <m/>
    <m/>
    <m/>
    <m/>
    <m/>
  </r>
  <r>
    <x v="156"/>
    <s v="화"/>
    <x v="0"/>
    <m/>
    <m/>
    <m/>
    <x v="1"/>
    <m/>
    <m/>
    <n v="6733643"/>
    <m/>
    <m/>
    <m/>
    <m/>
    <m/>
  </r>
  <r>
    <x v="157"/>
    <s v="수"/>
    <x v="0"/>
    <m/>
    <m/>
    <m/>
    <x v="1"/>
    <m/>
    <m/>
    <n v="6362911"/>
    <m/>
    <m/>
    <m/>
    <m/>
    <m/>
  </r>
  <r>
    <x v="158"/>
    <s v="목"/>
    <x v="0"/>
    <m/>
    <m/>
    <m/>
    <x v="1"/>
    <m/>
    <m/>
    <n v="5411754"/>
    <m/>
    <m/>
    <m/>
    <m/>
    <m/>
  </r>
  <r>
    <x v="159"/>
    <s v="금"/>
    <x v="0"/>
    <m/>
    <m/>
    <m/>
    <x v="1"/>
    <m/>
    <m/>
    <n v="5158645"/>
    <m/>
    <m/>
    <m/>
    <m/>
    <m/>
  </r>
  <r>
    <x v="160"/>
    <s v="토"/>
    <x v="0"/>
    <m/>
    <m/>
    <m/>
    <x v="1"/>
    <m/>
    <m/>
    <n v="5393829"/>
    <m/>
    <m/>
    <m/>
    <m/>
    <m/>
  </r>
  <r>
    <x v="161"/>
    <s v="일"/>
    <x v="0"/>
    <m/>
    <m/>
    <m/>
    <x v="1"/>
    <m/>
    <m/>
    <n v="5259332"/>
    <m/>
    <m/>
    <m/>
    <m/>
    <m/>
  </r>
  <r>
    <x v="162"/>
    <s v="월"/>
    <x v="0"/>
    <m/>
    <m/>
    <m/>
    <x v="1"/>
    <m/>
    <m/>
    <n v="5061677"/>
    <m/>
    <m/>
    <m/>
    <m/>
    <m/>
  </r>
  <r>
    <x v="163"/>
    <s v="화"/>
    <x v="0"/>
    <m/>
    <m/>
    <m/>
    <x v="1"/>
    <m/>
    <m/>
    <n v="5418913"/>
    <m/>
    <m/>
    <m/>
    <m/>
    <m/>
  </r>
  <r>
    <x v="164"/>
    <s v="수"/>
    <x v="0"/>
    <m/>
    <m/>
    <m/>
    <x v="1"/>
    <m/>
    <m/>
    <n v="5769473"/>
    <m/>
    <m/>
    <m/>
    <m/>
    <m/>
  </r>
  <r>
    <x v="165"/>
    <s v="목"/>
    <x v="0"/>
    <m/>
    <m/>
    <m/>
    <x v="1"/>
    <m/>
    <m/>
    <n v="5089776"/>
    <m/>
    <m/>
    <m/>
    <m/>
    <m/>
  </r>
  <r>
    <x v="166"/>
    <s v="금"/>
    <x v="0"/>
    <m/>
    <m/>
    <m/>
    <x v="1"/>
    <m/>
    <m/>
    <n v="4755724"/>
    <m/>
    <m/>
    <m/>
    <m/>
    <m/>
  </r>
  <r>
    <x v="167"/>
    <s v="토"/>
    <x v="0"/>
    <m/>
    <m/>
    <m/>
    <x v="1"/>
    <m/>
    <m/>
    <n v="5029674"/>
    <m/>
    <m/>
    <m/>
    <m/>
    <m/>
  </r>
  <r>
    <x v="168"/>
    <s v="일"/>
    <x v="0"/>
    <m/>
    <m/>
    <m/>
    <x v="1"/>
    <m/>
    <m/>
    <n v="5026491"/>
    <m/>
    <m/>
    <m/>
    <m/>
    <m/>
  </r>
  <r>
    <x v="169"/>
    <s v="월"/>
    <x v="0"/>
    <m/>
    <m/>
    <m/>
    <x v="1"/>
    <m/>
    <m/>
    <n v="4981840"/>
    <m/>
    <m/>
    <m/>
    <m/>
    <m/>
  </r>
  <r>
    <x v="170"/>
    <s v="화"/>
    <x v="0"/>
    <m/>
    <m/>
    <m/>
    <x v="1"/>
    <m/>
    <m/>
    <n v="5098311"/>
    <m/>
    <m/>
    <m/>
    <m/>
    <m/>
  </r>
  <r>
    <x v="171"/>
    <s v="수"/>
    <x v="0"/>
    <m/>
    <m/>
    <m/>
    <x v="1"/>
    <m/>
    <m/>
    <n v="5288679"/>
    <m/>
    <m/>
    <m/>
    <m/>
    <m/>
  </r>
  <r>
    <x v="172"/>
    <s v="목"/>
    <x v="0"/>
    <m/>
    <m/>
    <m/>
    <x v="1"/>
    <m/>
    <m/>
    <n v="5214059"/>
    <m/>
    <m/>
    <m/>
    <m/>
    <m/>
  </r>
  <r>
    <x v="173"/>
    <s v="금"/>
    <x v="0"/>
    <m/>
    <m/>
    <m/>
    <x v="1"/>
    <m/>
    <m/>
    <n v="4780271"/>
    <m/>
    <m/>
    <m/>
    <m/>
    <m/>
  </r>
  <r>
    <x v="174"/>
    <s v="토"/>
    <x v="0"/>
    <m/>
    <m/>
    <m/>
    <x v="1"/>
    <m/>
    <m/>
    <n v="5040650"/>
    <m/>
    <m/>
    <m/>
    <m/>
    <m/>
  </r>
  <r>
    <x v="175"/>
    <s v="일"/>
    <x v="0"/>
    <m/>
    <m/>
    <m/>
    <x v="1"/>
    <m/>
    <m/>
    <n v="4563528"/>
    <m/>
    <m/>
    <m/>
    <m/>
    <m/>
  </r>
  <r>
    <x v="176"/>
    <s v="월"/>
    <x v="0"/>
    <m/>
    <m/>
    <m/>
    <x v="1"/>
    <m/>
    <m/>
    <n v="1909635"/>
    <m/>
    <m/>
    <m/>
    <m/>
    <m/>
  </r>
  <r>
    <x v="177"/>
    <s v="화"/>
    <x v="0"/>
    <m/>
    <m/>
    <m/>
    <x v="1"/>
    <m/>
    <m/>
    <n v="1476447"/>
    <m/>
    <m/>
    <m/>
    <m/>
    <m/>
  </r>
  <r>
    <x v="178"/>
    <s v="수"/>
    <x v="0"/>
    <m/>
    <m/>
    <m/>
    <x v="1"/>
    <m/>
    <m/>
    <n v="897400"/>
    <m/>
    <m/>
    <m/>
    <m/>
    <m/>
  </r>
  <r>
    <x v="179"/>
    <s v="목"/>
    <x v="0"/>
    <m/>
    <m/>
    <m/>
    <x v="1"/>
    <m/>
    <m/>
    <n v="827199"/>
    <m/>
    <m/>
    <m/>
    <m/>
    <m/>
  </r>
  <r>
    <x v="180"/>
    <s v="금"/>
    <x v="0"/>
    <m/>
    <m/>
    <m/>
    <x v="1"/>
    <m/>
    <m/>
    <n v="1086363"/>
    <m/>
    <m/>
    <m/>
    <m/>
    <m/>
  </r>
  <r>
    <x v="181"/>
    <s v="토"/>
    <x v="0"/>
    <m/>
    <m/>
    <m/>
    <x v="1"/>
    <m/>
    <m/>
    <n v="1084369"/>
    <m/>
    <m/>
    <m/>
    <m/>
    <m/>
  </r>
  <r>
    <x v="182"/>
    <s v="일"/>
    <x v="0"/>
    <m/>
    <m/>
    <m/>
    <x v="1"/>
    <m/>
    <m/>
    <n v="1052758"/>
    <m/>
    <m/>
    <m/>
    <m/>
    <m/>
  </r>
  <r>
    <x v="183"/>
    <s v="월"/>
    <x v="0"/>
    <m/>
    <m/>
    <m/>
    <x v="1"/>
    <m/>
    <m/>
    <n v="1027292"/>
    <m/>
    <m/>
    <m/>
    <m/>
    <m/>
  </r>
  <r>
    <x v="184"/>
    <s v="화"/>
    <x v="0"/>
    <m/>
    <m/>
    <m/>
    <x v="1"/>
    <m/>
    <m/>
    <n v="1242255"/>
    <m/>
    <m/>
    <m/>
    <m/>
    <m/>
  </r>
  <r>
    <x v="185"/>
    <s v="수"/>
    <x v="0"/>
    <m/>
    <m/>
    <m/>
    <x v="1"/>
    <m/>
    <m/>
    <n v="1064481"/>
    <m/>
    <m/>
    <m/>
    <m/>
    <m/>
  </r>
  <r>
    <x v="186"/>
    <s v="목"/>
    <x v="0"/>
    <m/>
    <m/>
    <m/>
    <x v="1"/>
    <m/>
    <m/>
    <n v="1064034"/>
    <m/>
    <m/>
    <m/>
    <m/>
    <m/>
  </r>
  <r>
    <x v="187"/>
    <s v="금"/>
    <x v="0"/>
    <m/>
    <m/>
    <m/>
    <x v="1"/>
    <m/>
    <m/>
    <n v="1067233"/>
    <m/>
    <m/>
    <m/>
    <m/>
    <m/>
  </r>
  <r>
    <x v="188"/>
    <s v="토"/>
    <x v="0"/>
    <m/>
    <m/>
    <m/>
    <x v="1"/>
    <m/>
    <m/>
    <n v="1063546"/>
    <m/>
    <m/>
    <m/>
    <m/>
    <m/>
  </r>
  <r>
    <x v="189"/>
    <s v="일"/>
    <x v="0"/>
    <m/>
    <m/>
    <m/>
    <x v="1"/>
    <m/>
    <m/>
    <n v="1073545"/>
    <m/>
    <m/>
    <m/>
    <m/>
    <m/>
  </r>
  <r>
    <x v="190"/>
    <s v="월"/>
    <x v="0"/>
    <m/>
    <m/>
    <m/>
    <x v="1"/>
    <m/>
    <m/>
    <n v="1162621"/>
    <m/>
    <m/>
    <m/>
    <m/>
    <m/>
  </r>
  <r>
    <x v="191"/>
    <s v="화"/>
    <x v="0"/>
    <m/>
    <m/>
    <m/>
    <x v="1"/>
    <m/>
    <m/>
    <n v="1567666"/>
    <m/>
    <m/>
    <m/>
    <m/>
    <m/>
  </r>
  <r>
    <x v="192"/>
    <s v="수"/>
    <x v="0"/>
    <m/>
    <m/>
    <m/>
    <x v="1"/>
    <m/>
    <m/>
    <n v="1658029"/>
    <m/>
    <m/>
    <m/>
    <m/>
    <m/>
  </r>
  <r>
    <x v="193"/>
    <s v="목"/>
    <x v="0"/>
    <m/>
    <m/>
    <m/>
    <x v="1"/>
    <m/>
    <m/>
    <n v="1477903"/>
    <m/>
    <m/>
    <m/>
    <m/>
    <m/>
  </r>
  <r>
    <x v="194"/>
    <s v="금"/>
    <x v="0"/>
    <m/>
    <m/>
    <m/>
    <x v="1"/>
    <m/>
    <m/>
    <n v="1583658"/>
    <m/>
    <m/>
    <m/>
    <m/>
    <m/>
  </r>
  <r>
    <x v="195"/>
    <s v="토"/>
    <x v="0"/>
    <m/>
    <m/>
    <m/>
    <x v="1"/>
    <m/>
    <m/>
    <n v="1751306"/>
    <m/>
    <m/>
    <m/>
    <m/>
    <m/>
  </r>
  <r>
    <x v="196"/>
    <s v="일"/>
    <x v="0"/>
    <m/>
    <m/>
    <m/>
    <x v="1"/>
    <m/>
    <m/>
    <n v="1802275"/>
    <m/>
    <m/>
    <m/>
    <m/>
    <m/>
  </r>
  <r>
    <x v="197"/>
    <s v="월"/>
    <x v="0"/>
    <m/>
    <m/>
    <m/>
    <x v="1"/>
    <m/>
    <m/>
    <n v="1849046"/>
    <m/>
    <m/>
    <m/>
    <m/>
    <m/>
  </r>
  <r>
    <x v="198"/>
    <s v="화"/>
    <x v="0"/>
    <m/>
    <m/>
    <m/>
    <x v="1"/>
    <m/>
    <m/>
    <n v="1772156"/>
    <m/>
    <m/>
    <m/>
    <m/>
    <m/>
  </r>
  <r>
    <x v="199"/>
    <s v="수"/>
    <x v="0"/>
    <m/>
    <m/>
    <m/>
    <x v="1"/>
    <m/>
    <m/>
    <n v="1695520"/>
    <m/>
    <m/>
    <m/>
    <m/>
    <m/>
  </r>
  <r>
    <x v="200"/>
    <s v="목"/>
    <x v="0"/>
    <m/>
    <m/>
    <m/>
    <x v="1"/>
    <m/>
    <m/>
    <n v="1832295"/>
    <m/>
    <m/>
    <m/>
    <m/>
    <m/>
  </r>
  <r>
    <x v="201"/>
    <s v="금"/>
    <x v="0"/>
    <m/>
    <m/>
    <m/>
    <x v="1"/>
    <m/>
    <m/>
    <n v="2484717"/>
    <m/>
    <m/>
    <m/>
    <m/>
    <m/>
  </r>
  <r>
    <x v="202"/>
    <s v="토"/>
    <x v="0"/>
    <m/>
    <m/>
    <m/>
    <x v="1"/>
    <m/>
    <m/>
    <n v="2688860"/>
    <m/>
    <m/>
    <m/>
    <m/>
    <m/>
  </r>
  <r>
    <x v="203"/>
    <s v="일"/>
    <x v="0"/>
    <m/>
    <m/>
    <m/>
    <x v="1"/>
    <m/>
    <m/>
    <n v="3369121"/>
    <m/>
    <m/>
    <m/>
    <m/>
    <m/>
  </r>
  <r>
    <x v="204"/>
    <s v="월"/>
    <x v="0"/>
    <m/>
    <m/>
    <m/>
    <x v="1"/>
    <m/>
    <m/>
    <n v="4213068"/>
    <m/>
    <m/>
    <m/>
    <m/>
    <m/>
  </r>
  <r>
    <x v="205"/>
    <s v="화"/>
    <x v="0"/>
    <m/>
    <m/>
    <m/>
    <x v="1"/>
    <m/>
    <m/>
    <n v="4968615"/>
    <m/>
    <m/>
    <m/>
    <m/>
    <m/>
  </r>
  <r>
    <x v="206"/>
    <s v="수"/>
    <x v="0"/>
    <m/>
    <m/>
    <m/>
    <x v="1"/>
    <m/>
    <m/>
    <n v="5506343"/>
    <m/>
    <m/>
    <m/>
    <m/>
    <m/>
  </r>
  <r>
    <x v="207"/>
    <s v="목"/>
    <x v="0"/>
    <m/>
    <m/>
    <m/>
    <x v="1"/>
    <m/>
    <m/>
    <n v="5913042"/>
    <m/>
    <m/>
    <m/>
    <m/>
    <m/>
  </r>
  <r>
    <x v="208"/>
    <s v="금"/>
    <x v="0"/>
    <m/>
    <m/>
    <m/>
    <x v="1"/>
    <m/>
    <m/>
    <n v="5703341"/>
    <m/>
    <m/>
    <m/>
    <m/>
    <m/>
  </r>
  <r>
    <x v="209"/>
    <s v="토"/>
    <x v="0"/>
    <m/>
    <m/>
    <m/>
    <x v="1"/>
    <m/>
    <m/>
    <n v="6272608"/>
    <m/>
    <m/>
    <m/>
    <m/>
    <m/>
  </r>
  <r>
    <x v="210"/>
    <s v="일"/>
    <x v="0"/>
    <m/>
    <m/>
    <m/>
    <x v="1"/>
    <m/>
    <m/>
    <n v="6891789"/>
    <m/>
    <m/>
    <m/>
    <m/>
    <m/>
  </r>
  <r>
    <x v="211"/>
    <s v="월"/>
    <x v="0"/>
    <m/>
    <m/>
    <m/>
    <x v="1"/>
    <m/>
    <m/>
    <n v="5926152"/>
    <m/>
    <m/>
    <m/>
    <m/>
    <m/>
  </r>
  <r>
    <x v="212"/>
    <s v="화"/>
    <x v="0"/>
    <m/>
    <m/>
    <m/>
    <x v="1"/>
    <m/>
    <m/>
    <n v="4865962"/>
    <m/>
    <m/>
    <m/>
    <m/>
    <m/>
  </r>
  <r>
    <x v="213"/>
    <s v="수"/>
    <x v="0"/>
    <m/>
    <m/>
    <m/>
    <x v="1"/>
    <m/>
    <m/>
    <n v="3231197"/>
    <m/>
    <m/>
    <m/>
    <m/>
    <m/>
  </r>
  <r>
    <x v="214"/>
    <s v="목"/>
    <x v="0"/>
    <m/>
    <m/>
    <m/>
    <x v="1"/>
    <m/>
    <m/>
    <n v="2991135"/>
    <m/>
    <m/>
    <m/>
    <m/>
    <m/>
  </r>
  <r>
    <x v="215"/>
    <s v="금"/>
    <x v="0"/>
    <m/>
    <m/>
    <m/>
    <x v="1"/>
    <m/>
    <m/>
    <n v="3377561"/>
    <m/>
    <m/>
    <m/>
    <m/>
    <m/>
  </r>
  <r>
    <x v="216"/>
    <s v="토"/>
    <x v="0"/>
    <m/>
    <m/>
    <m/>
    <x v="1"/>
    <m/>
    <m/>
    <n v="3747438"/>
    <m/>
    <m/>
    <m/>
    <m/>
    <m/>
  </r>
  <r>
    <x v="217"/>
    <s v="일"/>
    <x v="0"/>
    <m/>
    <m/>
    <m/>
    <x v="1"/>
    <m/>
    <m/>
    <n v="3916705"/>
    <m/>
    <m/>
    <m/>
    <m/>
    <m/>
  </r>
  <r>
    <x v="218"/>
    <s v="월"/>
    <x v="0"/>
    <m/>
    <m/>
    <m/>
    <x v="1"/>
    <m/>
    <m/>
    <n v="3802760"/>
    <m/>
    <m/>
    <m/>
    <m/>
    <m/>
  </r>
  <r>
    <x v="219"/>
    <s v="화"/>
    <x v="0"/>
    <m/>
    <m/>
    <m/>
    <x v="1"/>
    <m/>
    <m/>
    <n v="3959175"/>
    <m/>
    <m/>
    <m/>
    <m/>
    <m/>
  </r>
  <r>
    <x v="220"/>
    <s v="수"/>
    <x v="0"/>
    <m/>
    <m/>
    <m/>
    <x v="1"/>
    <m/>
    <m/>
    <n v="5137445"/>
    <m/>
    <m/>
    <m/>
    <m/>
    <m/>
  </r>
  <r>
    <x v="221"/>
    <s v="목"/>
    <x v="0"/>
    <m/>
    <m/>
    <m/>
    <x v="1"/>
    <m/>
    <m/>
    <n v="5110183"/>
    <m/>
    <m/>
    <m/>
    <m/>
    <m/>
  </r>
  <r>
    <x v="222"/>
    <s v="금"/>
    <x v="0"/>
    <m/>
    <m/>
    <m/>
    <x v="1"/>
    <m/>
    <m/>
    <n v="5107750"/>
    <m/>
    <m/>
    <m/>
    <m/>
    <m/>
  </r>
  <r>
    <x v="223"/>
    <s v="토"/>
    <x v="0"/>
    <m/>
    <m/>
    <m/>
    <x v="1"/>
    <m/>
    <m/>
    <n v="5498801"/>
    <m/>
    <m/>
    <m/>
    <m/>
    <m/>
  </r>
  <r>
    <x v="224"/>
    <s v="일"/>
    <x v="0"/>
    <m/>
    <m/>
    <m/>
    <x v="1"/>
    <m/>
    <m/>
    <n v="5132147"/>
    <m/>
    <m/>
    <m/>
    <m/>
    <m/>
  </r>
  <r>
    <x v="225"/>
    <s v="월"/>
    <x v="0"/>
    <m/>
    <m/>
    <m/>
    <x v="1"/>
    <m/>
    <m/>
    <n v="4924534"/>
    <m/>
    <m/>
    <m/>
    <m/>
    <m/>
  </r>
  <r>
    <x v="226"/>
    <s v="화"/>
    <x v="0"/>
    <m/>
    <m/>
    <m/>
    <x v="1"/>
    <m/>
    <m/>
    <n v="4889804"/>
    <m/>
    <m/>
    <m/>
    <m/>
    <m/>
  </r>
  <r>
    <x v="227"/>
    <s v="수"/>
    <x v="0"/>
    <m/>
    <m/>
    <m/>
    <x v="1"/>
    <m/>
    <m/>
    <n v="5107354"/>
    <m/>
    <m/>
    <m/>
    <m/>
    <m/>
  </r>
  <r>
    <x v="228"/>
    <s v="목"/>
    <x v="0"/>
    <m/>
    <m/>
    <m/>
    <x v="1"/>
    <m/>
    <m/>
    <n v="5068785"/>
    <m/>
    <m/>
    <m/>
    <m/>
    <m/>
  </r>
  <r>
    <x v="229"/>
    <s v="금"/>
    <x v="0"/>
    <m/>
    <m/>
    <m/>
    <x v="1"/>
    <m/>
    <m/>
    <n v="5121174"/>
    <m/>
    <m/>
    <m/>
    <m/>
    <m/>
  </r>
  <r>
    <x v="230"/>
    <s v="토"/>
    <x v="0"/>
    <m/>
    <m/>
    <m/>
    <x v="1"/>
    <m/>
    <m/>
    <n v="4943526"/>
    <m/>
    <m/>
    <m/>
    <m/>
    <m/>
  </r>
  <r>
    <x v="231"/>
    <s v="일"/>
    <x v="0"/>
    <m/>
    <m/>
    <m/>
    <x v="1"/>
    <m/>
    <m/>
    <n v="5048775"/>
    <m/>
    <m/>
    <m/>
    <m/>
    <m/>
  </r>
  <r>
    <x v="232"/>
    <s v="월"/>
    <x v="0"/>
    <m/>
    <m/>
    <m/>
    <x v="1"/>
    <m/>
    <m/>
    <n v="4429424"/>
    <m/>
    <m/>
    <m/>
    <m/>
    <m/>
  </r>
  <r>
    <x v="233"/>
    <s v="화"/>
    <x v="0"/>
    <m/>
    <m/>
    <m/>
    <x v="1"/>
    <m/>
    <m/>
    <n v="4339586"/>
    <m/>
    <m/>
    <m/>
    <m/>
    <m/>
  </r>
  <r>
    <x v="234"/>
    <s v="수"/>
    <x v="0"/>
    <m/>
    <m/>
    <m/>
    <x v="1"/>
    <m/>
    <m/>
    <n v="4232664"/>
    <m/>
    <m/>
    <m/>
    <m/>
    <m/>
  </r>
  <r>
    <x v="235"/>
    <s v="목"/>
    <x v="0"/>
    <m/>
    <m/>
    <m/>
    <x v="1"/>
    <m/>
    <m/>
    <n v="4126826"/>
    <m/>
    <m/>
    <m/>
    <m/>
    <m/>
  </r>
  <r>
    <x v="236"/>
    <s v="금"/>
    <x v="0"/>
    <m/>
    <m/>
    <m/>
    <x v="1"/>
    <m/>
    <m/>
    <n v="4327408"/>
    <m/>
    <m/>
    <m/>
    <m/>
    <m/>
  </r>
  <r>
    <x v="237"/>
    <s v="토"/>
    <x v="0"/>
    <m/>
    <m/>
    <m/>
    <x v="1"/>
    <m/>
    <m/>
    <n v="4537018"/>
    <m/>
    <m/>
    <m/>
    <m/>
    <m/>
  </r>
  <r>
    <x v="238"/>
    <s v="일"/>
    <x v="0"/>
    <m/>
    <m/>
    <m/>
    <x v="1"/>
    <m/>
    <m/>
    <n v="4542592"/>
    <m/>
    <m/>
    <m/>
    <m/>
    <m/>
  </r>
  <r>
    <x v="239"/>
    <s v="월"/>
    <x v="0"/>
    <m/>
    <m/>
    <m/>
    <x v="1"/>
    <m/>
    <m/>
    <n v="4368026"/>
    <m/>
    <m/>
    <m/>
    <m/>
    <m/>
  </r>
  <r>
    <x v="240"/>
    <s v="화"/>
    <x v="0"/>
    <m/>
    <m/>
    <m/>
    <x v="1"/>
    <m/>
    <m/>
    <n v="4533547"/>
    <m/>
    <m/>
    <m/>
    <m/>
    <m/>
  </r>
  <r>
    <x v="241"/>
    <s v="수"/>
    <x v="0"/>
    <m/>
    <m/>
    <m/>
    <x v="1"/>
    <m/>
    <m/>
    <n v="4500123"/>
    <m/>
    <m/>
    <m/>
    <m/>
    <m/>
  </r>
  <r>
    <x v="242"/>
    <s v="목"/>
    <x v="0"/>
    <m/>
    <m/>
    <m/>
    <x v="1"/>
    <m/>
    <m/>
    <n v="4648581"/>
    <m/>
    <m/>
    <m/>
    <m/>
    <m/>
  </r>
  <r>
    <x v="243"/>
    <s v="금"/>
    <x v="0"/>
    <m/>
    <m/>
    <m/>
    <x v="1"/>
    <m/>
    <m/>
    <n v="4509017"/>
    <m/>
    <m/>
    <m/>
    <m/>
    <m/>
  </r>
  <r>
    <x v="244"/>
    <s v="토"/>
    <x v="0"/>
    <m/>
    <m/>
    <m/>
    <x v="1"/>
    <m/>
    <m/>
    <n v="4509017"/>
    <m/>
    <m/>
    <m/>
    <m/>
    <m/>
  </r>
  <r>
    <x v="245"/>
    <s v="일"/>
    <x v="0"/>
    <m/>
    <m/>
    <m/>
    <x v="1"/>
    <m/>
    <m/>
    <n v="4491645"/>
    <m/>
    <m/>
    <m/>
    <m/>
    <m/>
  </r>
  <r>
    <x v="246"/>
    <s v="월"/>
    <x v="0"/>
    <m/>
    <m/>
    <m/>
    <x v="1"/>
    <m/>
    <m/>
    <n v="4152557"/>
    <m/>
    <m/>
    <m/>
    <m/>
    <m/>
  </r>
  <r>
    <x v="247"/>
    <s v="화"/>
    <x v="0"/>
    <m/>
    <m/>
    <m/>
    <x v="1"/>
    <m/>
    <m/>
    <n v="4309647"/>
    <m/>
    <m/>
    <m/>
    <m/>
    <m/>
  </r>
  <r>
    <x v="248"/>
    <s v="수"/>
    <x v="0"/>
    <m/>
    <m/>
    <m/>
    <x v="1"/>
    <m/>
    <m/>
    <n v="4161919"/>
    <m/>
    <m/>
    <m/>
    <m/>
    <m/>
  </r>
  <r>
    <x v="249"/>
    <s v="목"/>
    <x v="0"/>
    <m/>
    <m/>
    <m/>
    <x v="1"/>
    <m/>
    <m/>
    <n v="4128112"/>
    <m/>
    <m/>
    <m/>
    <m/>
    <m/>
  </r>
  <r>
    <x v="250"/>
    <s v="금"/>
    <x v="0"/>
    <m/>
    <m/>
    <m/>
    <x v="1"/>
    <m/>
    <m/>
    <n v="4190922"/>
    <m/>
    <m/>
    <m/>
    <m/>
    <m/>
  </r>
  <r>
    <x v="251"/>
    <s v="토"/>
    <x v="0"/>
    <m/>
    <m/>
    <m/>
    <x v="1"/>
    <m/>
    <m/>
    <n v="4369544"/>
    <m/>
    <m/>
    <m/>
    <m/>
    <m/>
  </r>
  <r>
    <x v="252"/>
    <s v="일"/>
    <x v="0"/>
    <m/>
    <m/>
    <m/>
    <x v="1"/>
    <m/>
    <m/>
    <n v="4188960"/>
    <m/>
    <m/>
    <m/>
    <m/>
    <m/>
  </r>
  <r>
    <x v="253"/>
    <s v="월"/>
    <x v="0"/>
    <m/>
    <m/>
    <m/>
    <x v="1"/>
    <m/>
    <m/>
    <n v="4064471"/>
    <m/>
    <m/>
    <m/>
    <m/>
    <m/>
  </r>
  <r>
    <x v="254"/>
    <s v="화"/>
    <x v="0"/>
    <m/>
    <m/>
    <m/>
    <x v="1"/>
    <m/>
    <m/>
    <n v="3918886"/>
    <m/>
    <m/>
    <m/>
    <m/>
    <m/>
  </r>
  <r>
    <x v="255"/>
    <s v="수"/>
    <x v="0"/>
    <m/>
    <m/>
    <m/>
    <x v="1"/>
    <m/>
    <m/>
    <n v="3808298"/>
    <m/>
    <m/>
    <m/>
    <m/>
    <m/>
  </r>
  <r>
    <x v="256"/>
    <s v="목"/>
    <x v="0"/>
    <m/>
    <m/>
    <m/>
    <x v="1"/>
    <m/>
    <m/>
    <n v="3553718"/>
    <m/>
    <m/>
    <m/>
    <m/>
    <m/>
  </r>
  <r>
    <x v="257"/>
    <s v="금"/>
    <x v="0"/>
    <m/>
    <m/>
    <m/>
    <x v="1"/>
    <m/>
    <m/>
    <n v="3107785"/>
    <m/>
    <m/>
    <m/>
    <m/>
    <m/>
  </r>
  <r>
    <x v="258"/>
    <s v="토"/>
    <x v="0"/>
    <m/>
    <m/>
    <m/>
    <x v="1"/>
    <m/>
    <m/>
    <n v="2826800"/>
    <m/>
    <m/>
    <m/>
    <m/>
    <m/>
  </r>
  <r>
    <x v="259"/>
    <s v="일"/>
    <x v="0"/>
    <m/>
    <m/>
    <m/>
    <x v="1"/>
    <m/>
    <m/>
    <n v="2823592"/>
    <m/>
    <m/>
    <m/>
    <m/>
    <m/>
  </r>
  <r>
    <x v="260"/>
    <s v="월"/>
    <x v="0"/>
    <m/>
    <m/>
    <m/>
    <x v="1"/>
    <m/>
    <m/>
    <n v="2876646"/>
    <m/>
    <m/>
    <m/>
    <m/>
    <m/>
  </r>
  <r>
    <x v="261"/>
    <s v="화"/>
    <x v="0"/>
    <m/>
    <m/>
    <m/>
    <x v="1"/>
    <m/>
    <m/>
    <n v="2762968"/>
    <m/>
    <m/>
    <m/>
    <m/>
    <m/>
  </r>
  <r>
    <x v="58"/>
    <s v="화"/>
    <x v="3"/>
    <m/>
    <m/>
    <m/>
    <x v="1"/>
    <m/>
    <m/>
    <n v="1590"/>
    <m/>
    <m/>
    <m/>
    <m/>
    <m/>
  </r>
  <r>
    <x v="59"/>
    <s v="수"/>
    <x v="3"/>
    <m/>
    <m/>
    <m/>
    <x v="1"/>
    <m/>
    <m/>
    <n v="5460"/>
    <m/>
    <m/>
    <m/>
    <m/>
    <m/>
  </r>
  <r>
    <x v="60"/>
    <s v="목"/>
    <x v="3"/>
    <m/>
    <m/>
    <m/>
    <x v="1"/>
    <m/>
    <m/>
    <n v="3480"/>
    <m/>
    <m/>
    <m/>
    <m/>
    <m/>
  </r>
  <r>
    <x v="61"/>
    <s v="금"/>
    <x v="3"/>
    <m/>
    <m/>
    <m/>
    <x v="1"/>
    <m/>
    <m/>
    <n v="2380"/>
    <m/>
    <m/>
    <m/>
    <m/>
    <m/>
  </r>
  <r>
    <x v="62"/>
    <s v="토"/>
    <x v="3"/>
    <m/>
    <m/>
    <m/>
    <x v="1"/>
    <m/>
    <m/>
    <n v="1780"/>
    <m/>
    <m/>
    <m/>
    <m/>
    <m/>
  </r>
  <r>
    <x v="63"/>
    <s v="일"/>
    <x v="3"/>
    <m/>
    <m/>
    <m/>
    <x v="1"/>
    <m/>
    <m/>
    <n v="170"/>
    <m/>
    <m/>
    <m/>
    <m/>
    <m/>
  </r>
  <r>
    <x v="64"/>
    <s v="월"/>
    <x v="3"/>
    <m/>
    <m/>
    <m/>
    <x v="1"/>
    <m/>
    <m/>
    <n v="170"/>
    <m/>
    <m/>
    <m/>
    <m/>
    <m/>
  </r>
  <r>
    <x v="65"/>
    <s v="화"/>
    <x v="3"/>
    <m/>
    <m/>
    <m/>
    <x v="1"/>
    <m/>
    <m/>
    <n v="4270"/>
    <m/>
    <m/>
    <m/>
    <m/>
    <m/>
  </r>
  <r>
    <x v="66"/>
    <s v="수"/>
    <x v="3"/>
    <m/>
    <m/>
    <m/>
    <x v="1"/>
    <m/>
    <m/>
    <n v="2340"/>
    <m/>
    <m/>
    <m/>
    <m/>
    <m/>
  </r>
  <r>
    <x v="67"/>
    <s v="목"/>
    <x v="3"/>
    <m/>
    <m/>
    <m/>
    <x v="1"/>
    <m/>
    <m/>
    <n v="350"/>
    <m/>
    <m/>
    <m/>
    <m/>
    <m/>
  </r>
  <r>
    <x v="68"/>
    <s v="금"/>
    <x v="3"/>
    <m/>
    <m/>
    <m/>
    <x v="1"/>
    <m/>
    <m/>
    <n v="959.9999999999999"/>
    <m/>
    <m/>
    <m/>
    <m/>
    <m/>
  </r>
  <r>
    <x v="69"/>
    <s v="토"/>
    <x v="3"/>
    <m/>
    <m/>
    <m/>
    <x v="1"/>
    <m/>
    <m/>
    <n v="1600"/>
    <m/>
    <m/>
    <m/>
    <m/>
    <m/>
  </r>
  <r>
    <x v="70"/>
    <s v="일"/>
    <x v="3"/>
    <m/>
    <m/>
    <m/>
    <x v="1"/>
    <m/>
    <m/>
    <n v="1140"/>
    <m/>
    <m/>
    <m/>
    <m/>
    <m/>
  </r>
  <r>
    <x v="71"/>
    <s v="월"/>
    <x v="3"/>
    <m/>
    <m/>
    <m/>
    <x v="1"/>
    <m/>
    <m/>
    <n v="1560"/>
    <m/>
    <m/>
    <m/>
    <m/>
    <m/>
  </r>
  <r>
    <x v="72"/>
    <s v="화"/>
    <x v="3"/>
    <m/>
    <m/>
    <m/>
    <x v="1"/>
    <m/>
    <m/>
    <n v="1560"/>
    <m/>
    <m/>
    <m/>
    <m/>
    <m/>
  </r>
  <r>
    <x v="73"/>
    <s v="수"/>
    <x v="3"/>
    <m/>
    <m/>
    <m/>
    <x v="1"/>
    <m/>
    <m/>
    <n v="4010"/>
    <m/>
    <m/>
    <m/>
    <m/>
    <m/>
  </r>
  <r>
    <x v="74"/>
    <s v="목"/>
    <x v="3"/>
    <m/>
    <m/>
    <m/>
    <x v="1"/>
    <m/>
    <m/>
    <n v="1940"/>
    <m/>
    <m/>
    <m/>
    <m/>
    <m/>
  </r>
  <r>
    <x v="75"/>
    <s v="금"/>
    <x v="3"/>
    <m/>
    <m/>
    <m/>
    <x v="1"/>
    <m/>
    <m/>
    <n v="0"/>
    <m/>
    <m/>
    <m/>
    <m/>
    <m/>
  </r>
  <r>
    <x v="76"/>
    <s v="토"/>
    <x v="3"/>
    <m/>
    <m/>
    <m/>
    <x v="1"/>
    <m/>
    <m/>
    <n v="200"/>
    <m/>
    <m/>
    <m/>
    <m/>
    <m/>
  </r>
  <r>
    <x v="77"/>
    <s v="일"/>
    <x v="3"/>
    <m/>
    <m/>
    <m/>
    <x v="1"/>
    <m/>
    <m/>
    <n v="0"/>
    <m/>
    <m/>
    <m/>
    <m/>
    <m/>
  </r>
  <r>
    <x v="78"/>
    <s v="월"/>
    <x v="3"/>
    <m/>
    <m/>
    <m/>
    <x v="1"/>
    <m/>
    <m/>
    <n v="0"/>
    <m/>
    <m/>
    <m/>
    <m/>
    <m/>
  </r>
  <r>
    <x v="79"/>
    <s v="화"/>
    <x v="3"/>
    <m/>
    <m/>
    <m/>
    <x v="1"/>
    <m/>
    <m/>
    <n v="3170"/>
    <m/>
    <m/>
    <m/>
    <m/>
    <m/>
  </r>
  <r>
    <x v="80"/>
    <s v="수"/>
    <x v="3"/>
    <m/>
    <m/>
    <m/>
    <x v="1"/>
    <m/>
    <m/>
    <n v="5080"/>
    <m/>
    <m/>
    <m/>
    <m/>
    <m/>
  </r>
  <r>
    <x v="81"/>
    <s v="목"/>
    <x v="3"/>
    <m/>
    <m/>
    <m/>
    <x v="1"/>
    <m/>
    <m/>
    <n v="2350"/>
    <m/>
    <m/>
    <m/>
    <m/>
    <m/>
  </r>
  <r>
    <x v="82"/>
    <s v="금"/>
    <x v="3"/>
    <m/>
    <m/>
    <m/>
    <x v="1"/>
    <m/>
    <m/>
    <n v="330"/>
    <m/>
    <m/>
    <m/>
    <m/>
    <m/>
  </r>
  <r>
    <x v="83"/>
    <s v="토"/>
    <x v="3"/>
    <m/>
    <m/>
    <m/>
    <x v="1"/>
    <m/>
    <m/>
    <n v="2870"/>
    <m/>
    <m/>
    <m/>
    <m/>
    <m/>
  </r>
  <r>
    <x v="84"/>
    <s v="일"/>
    <x v="3"/>
    <m/>
    <m/>
    <m/>
    <x v="1"/>
    <m/>
    <m/>
    <n v="620"/>
    <m/>
    <m/>
    <m/>
    <m/>
    <m/>
  </r>
  <r>
    <x v="85"/>
    <s v="월"/>
    <x v="3"/>
    <m/>
    <m/>
    <m/>
    <x v="1"/>
    <m/>
    <m/>
    <n v="1770"/>
    <m/>
    <m/>
    <m/>
    <m/>
    <m/>
  </r>
  <r>
    <x v="86"/>
    <s v="화"/>
    <x v="3"/>
    <m/>
    <m/>
    <m/>
    <x v="1"/>
    <m/>
    <m/>
    <n v="1590"/>
    <m/>
    <m/>
    <m/>
    <m/>
    <m/>
  </r>
  <r>
    <x v="87"/>
    <s v="수"/>
    <x v="3"/>
    <m/>
    <m/>
    <m/>
    <x v="1"/>
    <m/>
    <m/>
    <n v="2610"/>
    <m/>
    <m/>
    <m/>
    <m/>
    <m/>
  </r>
  <r>
    <x v="88"/>
    <s v="목"/>
    <x v="3"/>
    <m/>
    <m/>
    <m/>
    <x v="1"/>
    <m/>
    <m/>
    <n v="3010"/>
    <m/>
    <m/>
    <m/>
    <m/>
    <m/>
  </r>
  <r>
    <x v="89"/>
    <s v="금"/>
    <x v="3"/>
    <m/>
    <m/>
    <m/>
    <x v="1"/>
    <m/>
    <m/>
    <n v="3480"/>
    <m/>
    <m/>
    <m/>
    <m/>
    <m/>
  </r>
  <r>
    <x v="90"/>
    <s v="토"/>
    <x v="3"/>
    <m/>
    <m/>
    <m/>
    <x v="1"/>
    <m/>
    <m/>
    <n v="1630"/>
    <m/>
    <m/>
    <m/>
    <m/>
    <m/>
  </r>
  <r>
    <x v="91"/>
    <s v="일"/>
    <x v="3"/>
    <m/>
    <m/>
    <m/>
    <x v="1"/>
    <m/>
    <m/>
    <n v="2030"/>
    <m/>
    <m/>
    <m/>
    <m/>
    <m/>
  </r>
  <r>
    <x v="92"/>
    <s v="월"/>
    <x v="3"/>
    <m/>
    <m/>
    <m/>
    <x v="1"/>
    <m/>
    <m/>
    <n v="1540"/>
    <m/>
    <m/>
    <m/>
    <m/>
    <m/>
  </r>
  <r>
    <x v="93"/>
    <s v="화"/>
    <x v="3"/>
    <m/>
    <m/>
    <m/>
    <x v="1"/>
    <m/>
    <m/>
    <n v="1560"/>
    <m/>
    <m/>
    <m/>
    <m/>
    <m/>
  </r>
  <r>
    <x v="94"/>
    <s v="수"/>
    <x v="3"/>
    <m/>
    <m/>
    <m/>
    <x v="1"/>
    <m/>
    <m/>
    <n v="3470"/>
    <m/>
    <m/>
    <m/>
    <m/>
    <m/>
  </r>
  <r>
    <x v="95"/>
    <s v="목"/>
    <x v="3"/>
    <m/>
    <m/>
    <m/>
    <x v="1"/>
    <m/>
    <m/>
    <n v="5270"/>
    <m/>
    <m/>
    <m/>
    <m/>
    <m/>
  </r>
  <r>
    <x v="96"/>
    <s v="금"/>
    <x v="3"/>
    <m/>
    <m/>
    <m/>
    <x v="1"/>
    <m/>
    <m/>
    <n v="2640"/>
    <m/>
    <m/>
    <m/>
    <m/>
    <m/>
  </r>
  <r>
    <x v="97"/>
    <s v="토"/>
    <x v="3"/>
    <m/>
    <m/>
    <m/>
    <x v="1"/>
    <m/>
    <m/>
    <n v="1920"/>
    <m/>
    <m/>
    <m/>
    <m/>
    <m/>
  </r>
  <r>
    <x v="98"/>
    <s v="일"/>
    <x v="3"/>
    <m/>
    <m/>
    <m/>
    <x v="1"/>
    <m/>
    <m/>
    <n v="3180"/>
    <m/>
    <m/>
    <m/>
    <m/>
    <m/>
  </r>
  <r>
    <x v="99"/>
    <s v="월"/>
    <x v="3"/>
    <m/>
    <m/>
    <m/>
    <x v="1"/>
    <m/>
    <m/>
    <n v="1290"/>
    <m/>
    <m/>
    <m/>
    <m/>
    <m/>
  </r>
  <r>
    <x v="100"/>
    <s v="화"/>
    <x v="3"/>
    <m/>
    <m/>
    <m/>
    <x v="1"/>
    <m/>
    <m/>
    <n v="6010"/>
    <m/>
    <m/>
    <m/>
    <m/>
    <m/>
  </r>
  <r>
    <x v="101"/>
    <s v="수"/>
    <x v="3"/>
    <m/>
    <m/>
    <m/>
    <x v="1"/>
    <m/>
    <m/>
    <n v="5600"/>
    <m/>
    <m/>
    <m/>
    <m/>
    <m/>
  </r>
  <r>
    <x v="102"/>
    <s v="목"/>
    <x v="3"/>
    <m/>
    <m/>
    <m/>
    <x v="1"/>
    <m/>
    <m/>
    <n v="5600"/>
    <m/>
    <m/>
    <m/>
    <m/>
    <m/>
  </r>
  <r>
    <x v="103"/>
    <s v="금"/>
    <x v="3"/>
    <m/>
    <m/>
    <m/>
    <x v="1"/>
    <m/>
    <m/>
    <n v="3690"/>
    <m/>
    <m/>
    <m/>
    <m/>
    <m/>
  </r>
  <r>
    <x v="104"/>
    <s v="토"/>
    <x v="3"/>
    <m/>
    <m/>
    <m/>
    <x v="1"/>
    <m/>
    <m/>
    <n v="1870"/>
    <m/>
    <m/>
    <m/>
    <m/>
    <m/>
  </r>
  <r>
    <x v="105"/>
    <s v="일"/>
    <x v="3"/>
    <m/>
    <m/>
    <m/>
    <x v="1"/>
    <m/>
    <m/>
    <n v="3320"/>
    <m/>
    <m/>
    <m/>
    <m/>
    <m/>
  </r>
  <r>
    <x v="106"/>
    <s v="월"/>
    <x v="3"/>
    <m/>
    <m/>
    <m/>
    <x v="1"/>
    <m/>
    <m/>
    <n v="3110"/>
    <m/>
    <m/>
    <m/>
    <m/>
    <m/>
  </r>
  <r>
    <x v="107"/>
    <s v="화"/>
    <x v="3"/>
    <m/>
    <m/>
    <m/>
    <x v="1"/>
    <m/>
    <m/>
    <n v="4390"/>
    <m/>
    <m/>
    <m/>
    <m/>
    <m/>
  </r>
  <r>
    <x v="108"/>
    <s v="수"/>
    <x v="3"/>
    <m/>
    <m/>
    <m/>
    <x v="1"/>
    <m/>
    <m/>
    <n v="1770"/>
    <m/>
    <m/>
    <m/>
    <m/>
    <m/>
  </r>
  <r>
    <x v="109"/>
    <s v="목"/>
    <x v="3"/>
    <m/>
    <m/>
    <m/>
    <x v="1"/>
    <m/>
    <m/>
    <n v="1450"/>
    <m/>
    <m/>
    <m/>
    <m/>
    <m/>
  </r>
  <r>
    <x v="110"/>
    <s v="금"/>
    <x v="3"/>
    <m/>
    <m/>
    <m/>
    <x v="1"/>
    <m/>
    <m/>
    <n v="1510"/>
    <m/>
    <m/>
    <m/>
    <m/>
    <m/>
  </r>
  <r>
    <x v="111"/>
    <s v="토"/>
    <x v="3"/>
    <m/>
    <m/>
    <m/>
    <x v="1"/>
    <m/>
    <m/>
    <n v="1450"/>
    <m/>
    <m/>
    <m/>
    <m/>
    <m/>
  </r>
  <r>
    <x v="112"/>
    <s v="일"/>
    <x v="3"/>
    <m/>
    <m/>
    <m/>
    <x v="1"/>
    <m/>
    <m/>
    <n v="5090"/>
    <m/>
    <m/>
    <m/>
    <m/>
    <m/>
  </r>
  <r>
    <x v="113"/>
    <s v="월"/>
    <x v="3"/>
    <m/>
    <m/>
    <m/>
    <x v="1"/>
    <m/>
    <m/>
    <n v="2680"/>
    <m/>
    <m/>
    <m/>
    <m/>
    <m/>
  </r>
  <r>
    <x v="114"/>
    <s v="화"/>
    <x v="3"/>
    <m/>
    <m/>
    <m/>
    <x v="1"/>
    <m/>
    <m/>
    <n v="1890"/>
    <m/>
    <m/>
    <m/>
    <m/>
    <m/>
  </r>
  <r>
    <x v="115"/>
    <s v="수"/>
    <x v="3"/>
    <m/>
    <m/>
    <m/>
    <x v="1"/>
    <m/>
    <m/>
    <n v="1100"/>
    <m/>
    <m/>
    <m/>
    <m/>
    <m/>
  </r>
  <r>
    <x v="116"/>
    <s v="목"/>
    <x v="3"/>
    <m/>
    <m/>
    <m/>
    <x v="1"/>
    <m/>
    <m/>
    <n v="2120"/>
    <m/>
    <m/>
    <m/>
    <m/>
    <m/>
  </r>
  <r>
    <x v="117"/>
    <s v="금"/>
    <x v="3"/>
    <m/>
    <m/>
    <m/>
    <x v="1"/>
    <m/>
    <m/>
    <n v="420"/>
    <m/>
    <m/>
    <m/>
    <m/>
    <m/>
  </r>
  <r>
    <x v="118"/>
    <s v="토"/>
    <x v="3"/>
    <m/>
    <m/>
    <m/>
    <x v="1"/>
    <m/>
    <m/>
    <n v="2610"/>
    <m/>
    <m/>
    <m/>
    <m/>
    <m/>
  </r>
  <r>
    <x v="119"/>
    <s v="일"/>
    <x v="3"/>
    <m/>
    <m/>
    <m/>
    <x v="1"/>
    <m/>
    <m/>
    <n v="2770"/>
    <m/>
    <m/>
    <m/>
    <m/>
    <m/>
  </r>
  <r>
    <x v="120"/>
    <s v="월"/>
    <x v="3"/>
    <m/>
    <m/>
    <m/>
    <x v="1"/>
    <m/>
    <m/>
    <n v="4610"/>
    <m/>
    <m/>
    <m/>
    <m/>
    <m/>
  </r>
  <r>
    <x v="121"/>
    <s v="화"/>
    <x v="3"/>
    <m/>
    <m/>
    <m/>
    <x v="1"/>
    <m/>
    <m/>
    <n v="4320"/>
    <m/>
    <m/>
    <m/>
    <m/>
    <m/>
  </r>
  <r>
    <x v="122"/>
    <s v="수"/>
    <x v="3"/>
    <m/>
    <m/>
    <m/>
    <x v="1"/>
    <m/>
    <m/>
    <n v="2670"/>
    <m/>
    <m/>
    <m/>
    <m/>
    <m/>
  </r>
  <r>
    <x v="123"/>
    <s v="목"/>
    <x v="3"/>
    <m/>
    <m/>
    <m/>
    <x v="1"/>
    <m/>
    <m/>
    <n v="3010"/>
    <m/>
    <m/>
    <m/>
    <m/>
    <m/>
  </r>
  <r>
    <x v="124"/>
    <s v="금"/>
    <x v="3"/>
    <m/>
    <m/>
    <m/>
    <x v="1"/>
    <m/>
    <m/>
    <n v="3090"/>
    <m/>
    <m/>
    <m/>
    <m/>
    <m/>
  </r>
  <r>
    <x v="125"/>
    <s v="토"/>
    <x v="3"/>
    <m/>
    <m/>
    <m/>
    <x v="1"/>
    <m/>
    <m/>
    <n v="2180"/>
    <m/>
    <m/>
    <m/>
    <m/>
    <m/>
  </r>
  <r>
    <x v="126"/>
    <s v="일"/>
    <x v="3"/>
    <m/>
    <m/>
    <m/>
    <x v="1"/>
    <m/>
    <m/>
    <n v="4320"/>
    <m/>
    <m/>
    <m/>
    <m/>
    <m/>
  </r>
  <r>
    <x v="127"/>
    <s v="월"/>
    <x v="3"/>
    <m/>
    <m/>
    <m/>
    <x v="1"/>
    <m/>
    <m/>
    <n v="2860"/>
    <m/>
    <m/>
    <m/>
    <m/>
    <m/>
  </r>
  <r>
    <x v="128"/>
    <s v="화"/>
    <x v="3"/>
    <m/>
    <m/>
    <m/>
    <x v="1"/>
    <m/>
    <m/>
    <n v="6550"/>
    <m/>
    <m/>
    <m/>
    <m/>
    <m/>
  </r>
  <r>
    <x v="129"/>
    <s v="수"/>
    <x v="3"/>
    <m/>
    <m/>
    <m/>
    <x v="1"/>
    <m/>
    <m/>
    <n v="2880"/>
    <m/>
    <m/>
    <m/>
    <m/>
    <m/>
  </r>
  <r>
    <x v="130"/>
    <s v="목"/>
    <x v="3"/>
    <m/>
    <m/>
    <m/>
    <x v="1"/>
    <m/>
    <m/>
    <n v="7030"/>
    <m/>
    <m/>
    <m/>
    <m/>
    <m/>
  </r>
  <r>
    <x v="131"/>
    <s v="금"/>
    <x v="3"/>
    <m/>
    <m/>
    <m/>
    <x v="1"/>
    <m/>
    <m/>
    <n v="4360"/>
    <m/>
    <m/>
    <m/>
    <m/>
    <m/>
  </r>
  <r>
    <x v="132"/>
    <s v="토"/>
    <x v="3"/>
    <m/>
    <m/>
    <m/>
    <x v="1"/>
    <m/>
    <m/>
    <n v="13770"/>
    <m/>
    <m/>
    <m/>
    <m/>
    <m/>
  </r>
  <r>
    <x v="133"/>
    <s v="일"/>
    <x v="3"/>
    <m/>
    <m/>
    <m/>
    <x v="1"/>
    <m/>
    <m/>
    <n v="8750"/>
    <m/>
    <m/>
    <m/>
    <m/>
    <m/>
  </r>
  <r>
    <x v="134"/>
    <s v="월"/>
    <x v="3"/>
    <m/>
    <m/>
    <m/>
    <x v="1"/>
    <m/>
    <m/>
    <n v="9780"/>
    <m/>
    <m/>
    <m/>
    <m/>
    <m/>
  </r>
  <r>
    <x v="135"/>
    <s v="화"/>
    <x v="3"/>
    <m/>
    <m/>
    <m/>
    <x v="1"/>
    <m/>
    <m/>
    <n v="5870"/>
    <m/>
    <m/>
    <m/>
    <m/>
    <m/>
  </r>
  <r>
    <x v="136"/>
    <s v="수"/>
    <x v="3"/>
    <m/>
    <m/>
    <m/>
    <x v="1"/>
    <m/>
    <m/>
    <n v="5560"/>
    <m/>
    <m/>
    <m/>
    <m/>
    <m/>
  </r>
  <r>
    <x v="137"/>
    <s v="목"/>
    <x v="3"/>
    <m/>
    <m/>
    <m/>
    <x v="1"/>
    <m/>
    <m/>
    <n v="8670"/>
    <m/>
    <m/>
    <m/>
    <m/>
    <m/>
  </r>
  <r>
    <x v="138"/>
    <s v="금"/>
    <x v="3"/>
    <m/>
    <m/>
    <m/>
    <x v="1"/>
    <m/>
    <m/>
    <n v="7260"/>
    <m/>
    <m/>
    <m/>
    <m/>
    <m/>
  </r>
  <r>
    <x v="139"/>
    <s v="토"/>
    <x v="3"/>
    <m/>
    <m/>
    <m/>
    <x v="1"/>
    <m/>
    <m/>
    <n v="12680"/>
    <m/>
    <m/>
    <m/>
    <m/>
    <m/>
  </r>
  <r>
    <x v="140"/>
    <s v="일"/>
    <x v="3"/>
    <m/>
    <m/>
    <m/>
    <x v="1"/>
    <m/>
    <m/>
    <n v="14480"/>
    <m/>
    <m/>
    <m/>
    <m/>
    <m/>
  </r>
  <r>
    <x v="141"/>
    <s v="월"/>
    <x v="3"/>
    <m/>
    <m/>
    <m/>
    <x v="1"/>
    <m/>
    <m/>
    <n v="7040"/>
    <m/>
    <m/>
    <m/>
    <m/>
    <m/>
  </r>
  <r>
    <x v="142"/>
    <s v="화"/>
    <x v="3"/>
    <m/>
    <m/>
    <m/>
    <x v="1"/>
    <m/>
    <m/>
    <n v="12770"/>
    <m/>
    <m/>
    <m/>
    <m/>
    <m/>
  </r>
  <r>
    <x v="143"/>
    <s v="수"/>
    <x v="3"/>
    <m/>
    <m/>
    <m/>
    <x v="1"/>
    <m/>
    <m/>
    <n v="11740"/>
    <m/>
    <m/>
    <m/>
    <m/>
    <m/>
  </r>
  <r>
    <x v="144"/>
    <s v="목"/>
    <x v="3"/>
    <m/>
    <m/>
    <m/>
    <x v="1"/>
    <m/>
    <m/>
    <n v="12460"/>
    <m/>
    <m/>
    <m/>
    <m/>
    <m/>
  </r>
  <r>
    <x v="145"/>
    <s v="금"/>
    <x v="3"/>
    <m/>
    <m/>
    <m/>
    <x v="1"/>
    <m/>
    <m/>
    <n v="7990"/>
    <m/>
    <m/>
    <m/>
    <m/>
    <m/>
  </r>
  <r>
    <x v="146"/>
    <s v="토"/>
    <x v="3"/>
    <m/>
    <m/>
    <m/>
    <x v="1"/>
    <m/>
    <m/>
    <n v="11070"/>
    <m/>
    <m/>
    <m/>
    <m/>
    <m/>
  </r>
  <r>
    <x v="147"/>
    <s v="일"/>
    <x v="3"/>
    <m/>
    <m/>
    <m/>
    <x v="1"/>
    <m/>
    <m/>
    <n v="12730"/>
    <m/>
    <m/>
    <m/>
    <m/>
    <m/>
  </r>
  <r>
    <x v="148"/>
    <s v="월"/>
    <x v="3"/>
    <m/>
    <m/>
    <m/>
    <x v="1"/>
    <m/>
    <m/>
    <n v="7840"/>
    <m/>
    <m/>
    <m/>
    <m/>
    <m/>
  </r>
  <r>
    <x v="149"/>
    <s v="화"/>
    <x v="3"/>
    <m/>
    <m/>
    <m/>
    <x v="1"/>
    <m/>
    <m/>
    <n v="7650"/>
    <m/>
    <m/>
    <m/>
    <m/>
    <m/>
  </r>
  <r>
    <x v="150"/>
    <s v="수"/>
    <x v="3"/>
    <m/>
    <m/>
    <m/>
    <x v="1"/>
    <m/>
    <m/>
    <n v="13600"/>
    <m/>
    <m/>
    <m/>
    <m/>
    <m/>
  </r>
  <r>
    <x v="151"/>
    <s v="목"/>
    <x v="3"/>
    <m/>
    <m/>
    <m/>
    <x v="1"/>
    <m/>
    <m/>
    <n v="11370"/>
    <m/>
    <m/>
    <m/>
    <m/>
    <m/>
  </r>
  <r>
    <x v="152"/>
    <s v="금"/>
    <x v="3"/>
    <m/>
    <m/>
    <m/>
    <x v="1"/>
    <m/>
    <m/>
    <n v="7930"/>
    <m/>
    <m/>
    <m/>
    <m/>
    <m/>
  </r>
  <r>
    <x v="153"/>
    <s v="토"/>
    <x v="3"/>
    <m/>
    <m/>
    <m/>
    <x v="1"/>
    <m/>
    <m/>
    <n v="2940"/>
    <m/>
    <m/>
    <m/>
    <m/>
    <m/>
  </r>
  <r>
    <x v="154"/>
    <s v="일"/>
    <x v="3"/>
    <m/>
    <m/>
    <m/>
    <x v="1"/>
    <m/>
    <m/>
    <n v="15270"/>
    <m/>
    <m/>
    <m/>
    <m/>
    <m/>
  </r>
  <r>
    <x v="155"/>
    <s v="월"/>
    <x v="3"/>
    <m/>
    <m/>
    <m/>
    <x v="1"/>
    <m/>
    <m/>
    <n v="9190"/>
    <m/>
    <m/>
    <m/>
    <m/>
    <m/>
  </r>
  <r>
    <x v="156"/>
    <s v="화"/>
    <x v="3"/>
    <m/>
    <m/>
    <m/>
    <x v="1"/>
    <m/>
    <m/>
    <n v="18700"/>
    <m/>
    <m/>
    <m/>
    <m/>
    <m/>
  </r>
  <r>
    <x v="157"/>
    <s v="수"/>
    <x v="3"/>
    <m/>
    <m/>
    <m/>
    <x v="1"/>
    <m/>
    <m/>
    <n v="10690"/>
    <m/>
    <m/>
    <m/>
    <m/>
    <m/>
  </r>
  <r>
    <x v="158"/>
    <s v="목"/>
    <x v="3"/>
    <m/>
    <m/>
    <m/>
    <x v="1"/>
    <m/>
    <m/>
    <n v="9710"/>
    <m/>
    <m/>
    <m/>
    <m/>
    <m/>
  </r>
  <r>
    <x v="159"/>
    <s v="금"/>
    <x v="3"/>
    <m/>
    <m/>
    <m/>
    <x v="1"/>
    <m/>
    <m/>
    <n v="4160"/>
    <m/>
    <m/>
    <m/>
    <m/>
    <m/>
  </r>
  <r>
    <x v="160"/>
    <s v="토"/>
    <x v="3"/>
    <m/>
    <m/>
    <m/>
    <x v="1"/>
    <m/>
    <m/>
    <n v="5959.999999999999"/>
    <m/>
    <m/>
    <m/>
    <m/>
    <m/>
  </r>
  <r>
    <x v="161"/>
    <s v="일"/>
    <x v="3"/>
    <m/>
    <m/>
    <m/>
    <x v="1"/>
    <m/>
    <m/>
    <n v="8560"/>
    <m/>
    <m/>
    <m/>
    <m/>
    <m/>
  </r>
  <r>
    <x v="162"/>
    <s v="월"/>
    <x v="3"/>
    <m/>
    <m/>
    <m/>
    <x v="1"/>
    <m/>
    <m/>
    <n v="10150"/>
    <m/>
    <m/>
    <m/>
    <m/>
    <m/>
  </r>
  <r>
    <x v="163"/>
    <s v="화"/>
    <x v="3"/>
    <m/>
    <m/>
    <m/>
    <x v="1"/>
    <m/>
    <m/>
    <n v="10040"/>
    <m/>
    <m/>
    <m/>
    <m/>
    <m/>
  </r>
  <r>
    <x v="164"/>
    <s v="수"/>
    <x v="3"/>
    <m/>
    <m/>
    <m/>
    <x v="1"/>
    <m/>
    <m/>
    <n v="3230"/>
    <m/>
    <m/>
    <m/>
    <m/>
    <m/>
  </r>
  <r>
    <x v="165"/>
    <s v="목"/>
    <x v="3"/>
    <m/>
    <m/>
    <m/>
    <x v="1"/>
    <m/>
    <m/>
    <n v="5130"/>
    <m/>
    <m/>
    <m/>
    <m/>
    <m/>
  </r>
  <r>
    <x v="166"/>
    <s v="금"/>
    <x v="3"/>
    <m/>
    <m/>
    <m/>
    <x v="1"/>
    <m/>
    <m/>
    <n v="4460"/>
    <m/>
    <m/>
    <m/>
    <m/>
    <m/>
  </r>
  <r>
    <x v="167"/>
    <s v="토"/>
    <x v="3"/>
    <m/>
    <m/>
    <m/>
    <x v="1"/>
    <m/>
    <m/>
    <n v="8960"/>
    <m/>
    <m/>
    <m/>
    <m/>
    <m/>
  </r>
  <r>
    <x v="168"/>
    <s v="일"/>
    <x v="3"/>
    <m/>
    <m/>
    <m/>
    <x v="1"/>
    <m/>
    <m/>
    <n v="11210"/>
    <m/>
    <m/>
    <m/>
    <m/>
    <m/>
  </r>
  <r>
    <x v="169"/>
    <s v="월"/>
    <x v="3"/>
    <m/>
    <m/>
    <m/>
    <x v="1"/>
    <m/>
    <m/>
    <n v="7059.999999999999"/>
    <m/>
    <m/>
    <m/>
    <m/>
    <m/>
  </r>
  <r>
    <x v="170"/>
    <s v="화"/>
    <x v="3"/>
    <m/>
    <m/>
    <m/>
    <x v="1"/>
    <m/>
    <m/>
    <n v="6679.999999999999"/>
    <m/>
    <m/>
    <m/>
    <m/>
    <m/>
  </r>
  <r>
    <x v="171"/>
    <s v="수"/>
    <x v="3"/>
    <m/>
    <m/>
    <m/>
    <x v="1"/>
    <m/>
    <m/>
    <n v="2380"/>
    <m/>
    <m/>
    <m/>
    <m/>
    <m/>
  </r>
  <r>
    <x v="172"/>
    <s v="목"/>
    <x v="3"/>
    <m/>
    <m/>
    <m/>
    <x v="1"/>
    <m/>
    <m/>
    <n v="6529.999999999999"/>
    <m/>
    <m/>
    <m/>
    <m/>
    <m/>
  </r>
  <r>
    <x v="173"/>
    <s v="금"/>
    <x v="3"/>
    <m/>
    <m/>
    <m/>
    <x v="1"/>
    <m/>
    <m/>
    <n v="13600"/>
    <m/>
    <m/>
    <m/>
    <m/>
    <m/>
  </r>
  <r>
    <x v="174"/>
    <s v="토"/>
    <x v="3"/>
    <m/>
    <m/>
    <m/>
    <x v="1"/>
    <m/>
    <m/>
    <n v="15870"/>
    <m/>
    <m/>
    <m/>
    <m/>
    <m/>
  </r>
  <r>
    <x v="175"/>
    <s v="일"/>
    <x v="3"/>
    <m/>
    <m/>
    <m/>
    <x v="1"/>
    <m/>
    <m/>
    <n v="19100"/>
    <m/>
    <m/>
    <m/>
    <m/>
    <m/>
  </r>
  <r>
    <x v="176"/>
    <s v="월"/>
    <x v="3"/>
    <m/>
    <m/>
    <m/>
    <x v="1"/>
    <m/>
    <m/>
    <n v="10890"/>
    <m/>
    <m/>
    <m/>
    <m/>
    <m/>
  </r>
  <r>
    <x v="177"/>
    <s v="화"/>
    <x v="3"/>
    <m/>
    <m/>
    <m/>
    <x v="1"/>
    <m/>
    <m/>
    <n v="16430"/>
    <m/>
    <m/>
    <m/>
    <m/>
    <m/>
  </r>
  <r>
    <x v="178"/>
    <s v="수"/>
    <x v="3"/>
    <m/>
    <m/>
    <m/>
    <x v="1"/>
    <m/>
    <m/>
    <n v="20510"/>
    <m/>
    <m/>
    <m/>
    <m/>
    <m/>
  </r>
  <r>
    <x v="179"/>
    <s v="목"/>
    <x v="3"/>
    <m/>
    <m/>
    <m/>
    <x v="1"/>
    <m/>
    <m/>
    <n v="27750"/>
    <m/>
    <m/>
    <m/>
    <m/>
    <m/>
  </r>
  <r>
    <x v="180"/>
    <s v="금"/>
    <x v="3"/>
    <m/>
    <m/>
    <m/>
    <x v="1"/>
    <m/>
    <m/>
    <n v="19510"/>
    <m/>
    <m/>
    <m/>
    <m/>
    <m/>
  </r>
  <r>
    <x v="181"/>
    <s v="토"/>
    <x v="3"/>
    <m/>
    <m/>
    <m/>
    <x v="1"/>
    <m/>
    <m/>
    <n v="17860"/>
    <m/>
    <m/>
    <m/>
    <m/>
    <m/>
  </r>
  <r>
    <x v="182"/>
    <s v="일"/>
    <x v="3"/>
    <m/>
    <m/>
    <m/>
    <x v="1"/>
    <m/>
    <m/>
    <n v="24280"/>
    <m/>
    <m/>
    <m/>
    <m/>
    <m/>
  </r>
  <r>
    <x v="183"/>
    <s v="월"/>
    <x v="3"/>
    <m/>
    <m/>
    <m/>
    <x v="1"/>
    <m/>
    <m/>
    <n v="17150"/>
    <m/>
    <m/>
    <m/>
    <m/>
    <m/>
  </r>
  <r>
    <x v="184"/>
    <s v="화"/>
    <x v="3"/>
    <m/>
    <m/>
    <m/>
    <x v="1"/>
    <m/>
    <m/>
    <n v="19640"/>
    <m/>
    <m/>
    <m/>
    <m/>
    <m/>
  </r>
  <r>
    <x v="185"/>
    <s v="수"/>
    <x v="3"/>
    <m/>
    <m/>
    <m/>
    <x v="1"/>
    <m/>
    <m/>
    <n v="22660"/>
    <m/>
    <m/>
    <m/>
    <m/>
    <m/>
  </r>
  <r>
    <x v="186"/>
    <s v="목"/>
    <x v="3"/>
    <m/>
    <m/>
    <m/>
    <x v="1"/>
    <m/>
    <m/>
    <n v="14240"/>
    <m/>
    <m/>
    <m/>
    <m/>
    <m/>
  </r>
  <r>
    <x v="187"/>
    <s v="금"/>
    <x v="3"/>
    <m/>
    <m/>
    <m/>
    <x v="1"/>
    <m/>
    <m/>
    <n v="22870"/>
    <m/>
    <m/>
    <m/>
    <m/>
    <m/>
  </r>
  <r>
    <x v="188"/>
    <s v="토"/>
    <x v="3"/>
    <m/>
    <m/>
    <m/>
    <x v="1"/>
    <m/>
    <m/>
    <n v="27210"/>
    <m/>
    <m/>
    <m/>
    <m/>
    <m/>
  </r>
  <r>
    <x v="189"/>
    <s v="일"/>
    <x v="3"/>
    <m/>
    <m/>
    <m/>
    <x v="1"/>
    <m/>
    <m/>
    <n v="40860"/>
    <m/>
    <m/>
    <m/>
    <m/>
    <m/>
  </r>
  <r>
    <x v="190"/>
    <s v="월"/>
    <x v="3"/>
    <m/>
    <m/>
    <m/>
    <x v="1"/>
    <m/>
    <m/>
    <n v="26380"/>
    <m/>
    <m/>
    <m/>
    <m/>
    <m/>
  </r>
  <r>
    <x v="191"/>
    <s v="화"/>
    <x v="3"/>
    <m/>
    <m/>
    <m/>
    <x v="1"/>
    <m/>
    <m/>
    <n v="31990"/>
    <m/>
    <m/>
    <m/>
    <m/>
    <m/>
  </r>
  <r>
    <x v="192"/>
    <s v="수"/>
    <x v="3"/>
    <m/>
    <m/>
    <m/>
    <x v="1"/>
    <m/>
    <m/>
    <n v="42700"/>
    <m/>
    <m/>
    <m/>
    <m/>
    <m/>
  </r>
  <r>
    <x v="193"/>
    <s v="목"/>
    <x v="3"/>
    <m/>
    <m/>
    <m/>
    <x v="1"/>
    <m/>
    <m/>
    <n v="33000"/>
    <m/>
    <m/>
    <m/>
    <m/>
    <m/>
  </r>
  <r>
    <x v="194"/>
    <s v="금"/>
    <x v="3"/>
    <m/>
    <m/>
    <m/>
    <x v="1"/>
    <m/>
    <m/>
    <n v="38450"/>
    <m/>
    <m/>
    <m/>
    <m/>
    <m/>
  </r>
  <r>
    <x v="195"/>
    <s v="토"/>
    <x v="3"/>
    <m/>
    <m/>
    <m/>
    <x v="1"/>
    <m/>
    <m/>
    <n v="35250"/>
    <m/>
    <m/>
    <m/>
    <m/>
    <m/>
  </r>
  <r>
    <x v="196"/>
    <s v="일"/>
    <x v="3"/>
    <m/>
    <m/>
    <m/>
    <x v="1"/>
    <m/>
    <m/>
    <n v="52359.99999999999"/>
    <m/>
    <m/>
    <m/>
    <m/>
    <m/>
  </r>
  <r>
    <x v="197"/>
    <s v="월"/>
    <x v="3"/>
    <m/>
    <m/>
    <m/>
    <x v="1"/>
    <m/>
    <m/>
    <n v="48269.99999999999"/>
    <m/>
    <m/>
    <m/>
    <m/>
    <m/>
  </r>
  <r>
    <x v="198"/>
    <s v="화"/>
    <x v="3"/>
    <m/>
    <m/>
    <m/>
    <x v="1"/>
    <m/>
    <m/>
    <n v="50669.99999999999"/>
    <m/>
    <m/>
    <m/>
    <m/>
    <m/>
  </r>
  <r>
    <x v="199"/>
    <s v="수"/>
    <x v="3"/>
    <m/>
    <m/>
    <m/>
    <x v="1"/>
    <m/>
    <m/>
    <n v="66140"/>
    <m/>
    <m/>
    <m/>
    <m/>
    <m/>
  </r>
  <r>
    <x v="200"/>
    <s v="목"/>
    <x v="3"/>
    <m/>
    <m/>
    <m/>
    <x v="1"/>
    <m/>
    <m/>
    <n v="63049.99999999999"/>
    <m/>
    <m/>
    <m/>
    <m/>
    <m/>
  </r>
  <r>
    <x v="201"/>
    <s v="금"/>
    <x v="3"/>
    <m/>
    <m/>
    <m/>
    <x v="1"/>
    <m/>
    <m/>
    <n v="60979.99999999999"/>
    <m/>
    <m/>
    <m/>
    <m/>
    <m/>
  </r>
  <r>
    <x v="202"/>
    <s v="토"/>
    <x v="3"/>
    <m/>
    <m/>
    <m/>
    <x v="1"/>
    <m/>
    <m/>
    <n v="68000"/>
    <m/>
    <m/>
    <m/>
    <m/>
    <m/>
  </r>
  <r>
    <x v="203"/>
    <s v="일"/>
    <x v="3"/>
    <m/>
    <m/>
    <m/>
    <x v="1"/>
    <m/>
    <m/>
    <n v="70450"/>
    <m/>
    <m/>
    <m/>
    <m/>
    <m/>
  </r>
  <r>
    <x v="204"/>
    <s v="월"/>
    <x v="3"/>
    <m/>
    <m/>
    <m/>
    <x v="1"/>
    <m/>
    <m/>
    <n v="59889.99999999999"/>
    <m/>
    <m/>
    <m/>
    <m/>
    <m/>
  </r>
  <r>
    <x v="205"/>
    <s v="화"/>
    <x v="3"/>
    <m/>
    <m/>
    <m/>
    <x v="1"/>
    <m/>
    <m/>
    <n v="27470"/>
    <m/>
    <m/>
    <m/>
    <m/>
    <m/>
  </r>
  <r>
    <x v="206"/>
    <s v="수"/>
    <x v="3"/>
    <m/>
    <m/>
    <m/>
    <x v="1"/>
    <m/>
    <m/>
    <n v="14630"/>
    <m/>
    <m/>
    <m/>
    <m/>
    <m/>
  </r>
  <r>
    <x v="207"/>
    <s v="목"/>
    <x v="3"/>
    <m/>
    <m/>
    <m/>
    <x v="1"/>
    <m/>
    <m/>
    <n v="14700"/>
    <m/>
    <m/>
    <m/>
    <m/>
    <m/>
  </r>
  <r>
    <x v="208"/>
    <s v="금"/>
    <x v="3"/>
    <m/>
    <m/>
    <m/>
    <x v="1"/>
    <m/>
    <m/>
    <n v="16750"/>
    <m/>
    <m/>
    <m/>
    <m/>
    <m/>
  </r>
  <r>
    <x v="209"/>
    <s v="토"/>
    <x v="3"/>
    <m/>
    <m/>
    <m/>
    <x v="1"/>
    <m/>
    <m/>
    <n v="16250"/>
    <m/>
    <m/>
    <m/>
    <m/>
    <m/>
  </r>
  <r>
    <x v="210"/>
    <s v="일"/>
    <x v="3"/>
    <m/>
    <m/>
    <m/>
    <x v="1"/>
    <m/>
    <m/>
    <n v="26560"/>
    <m/>
    <m/>
    <m/>
    <m/>
    <m/>
  </r>
  <r>
    <x v="211"/>
    <s v="월"/>
    <x v="3"/>
    <m/>
    <m/>
    <m/>
    <x v="1"/>
    <m/>
    <m/>
    <n v="13670"/>
    <m/>
    <m/>
    <m/>
    <m/>
    <m/>
  </r>
  <r>
    <x v="212"/>
    <s v="화"/>
    <x v="3"/>
    <m/>
    <m/>
    <m/>
    <x v="1"/>
    <m/>
    <m/>
    <n v="9240"/>
    <m/>
    <m/>
    <m/>
    <m/>
    <m/>
  </r>
  <r>
    <x v="213"/>
    <s v="수"/>
    <x v="3"/>
    <m/>
    <m/>
    <m/>
    <x v="1"/>
    <m/>
    <m/>
    <n v="13410"/>
    <m/>
    <m/>
    <m/>
    <m/>
    <m/>
  </r>
  <r>
    <x v="214"/>
    <s v="목"/>
    <x v="3"/>
    <m/>
    <m/>
    <m/>
    <x v="1"/>
    <m/>
    <m/>
    <n v="10620"/>
    <m/>
    <m/>
    <m/>
    <m/>
    <m/>
  </r>
  <r>
    <x v="215"/>
    <s v="금"/>
    <x v="3"/>
    <m/>
    <m/>
    <m/>
    <x v="1"/>
    <m/>
    <m/>
    <n v="25060"/>
    <m/>
    <m/>
    <m/>
    <m/>
    <m/>
  </r>
  <r>
    <x v="216"/>
    <s v="토"/>
    <x v="3"/>
    <m/>
    <m/>
    <m/>
    <x v="1"/>
    <m/>
    <m/>
    <n v="32280"/>
    <m/>
    <m/>
    <m/>
    <m/>
    <m/>
  </r>
  <r>
    <x v="217"/>
    <s v="일"/>
    <x v="3"/>
    <m/>
    <m/>
    <m/>
    <x v="1"/>
    <m/>
    <m/>
    <n v="32090"/>
    <m/>
    <m/>
    <m/>
    <m/>
    <m/>
  </r>
  <r>
    <x v="218"/>
    <s v="월"/>
    <x v="3"/>
    <m/>
    <m/>
    <m/>
    <x v="1"/>
    <m/>
    <m/>
    <n v="28870"/>
    <m/>
    <m/>
    <m/>
    <m/>
    <m/>
  </r>
  <r>
    <x v="219"/>
    <s v="화"/>
    <x v="3"/>
    <m/>
    <m/>
    <m/>
    <x v="1"/>
    <m/>
    <m/>
    <n v="24800"/>
    <m/>
    <m/>
    <m/>
    <m/>
    <m/>
  </r>
  <r>
    <x v="220"/>
    <s v="수"/>
    <x v="3"/>
    <m/>
    <m/>
    <m/>
    <x v="1"/>
    <m/>
    <m/>
    <n v="30510"/>
    <m/>
    <m/>
    <m/>
    <m/>
    <m/>
  </r>
  <r>
    <x v="221"/>
    <s v="목"/>
    <x v="3"/>
    <m/>
    <m/>
    <m/>
    <x v="1"/>
    <m/>
    <m/>
    <n v="25410"/>
    <m/>
    <m/>
    <m/>
    <m/>
    <m/>
  </r>
  <r>
    <x v="222"/>
    <s v="금"/>
    <x v="3"/>
    <m/>
    <m/>
    <m/>
    <x v="1"/>
    <m/>
    <m/>
    <n v="31670"/>
    <m/>
    <m/>
    <m/>
    <m/>
    <m/>
  </r>
  <r>
    <x v="223"/>
    <s v="토"/>
    <x v="3"/>
    <m/>
    <m/>
    <m/>
    <x v="1"/>
    <m/>
    <m/>
    <n v="31490"/>
    <m/>
    <m/>
    <m/>
    <m/>
    <m/>
  </r>
  <r>
    <x v="224"/>
    <s v="일"/>
    <x v="3"/>
    <m/>
    <m/>
    <m/>
    <x v="1"/>
    <m/>
    <m/>
    <n v="32720"/>
    <m/>
    <m/>
    <m/>
    <m/>
    <m/>
  </r>
  <r>
    <x v="225"/>
    <s v="월"/>
    <x v="3"/>
    <m/>
    <m/>
    <m/>
    <x v="1"/>
    <m/>
    <m/>
    <n v="80300"/>
    <m/>
    <m/>
    <m/>
    <m/>
    <m/>
  </r>
  <r>
    <x v="226"/>
    <s v="화"/>
    <x v="3"/>
    <m/>
    <m/>
    <m/>
    <x v="1"/>
    <m/>
    <m/>
    <n v="119700"/>
    <m/>
    <m/>
    <m/>
    <m/>
    <m/>
  </r>
  <r>
    <x v="227"/>
    <s v="수"/>
    <x v="3"/>
    <m/>
    <m/>
    <m/>
    <x v="1"/>
    <m/>
    <m/>
    <n v="56279.99999999999"/>
    <m/>
    <m/>
    <m/>
    <m/>
    <m/>
  </r>
  <r>
    <x v="228"/>
    <s v="목"/>
    <x v="3"/>
    <m/>
    <m/>
    <m/>
    <x v="1"/>
    <m/>
    <m/>
    <n v="31650"/>
    <m/>
    <m/>
    <m/>
    <m/>
    <m/>
  </r>
  <r>
    <x v="229"/>
    <s v="금"/>
    <x v="3"/>
    <m/>
    <m/>
    <m/>
    <x v="1"/>
    <m/>
    <m/>
    <n v="31740"/>
    <m/>
    <m/>
    <m/>
    <m/>
    <m/>
  </r>
  <r>
    <x v="230"/>
    <s v="토"/>
    <x v="3"/>
    <m/>
    <m/>
    <m/>
    <x v="1"/>
    <m/>
    <m/>
    <n v="31930"/>
    <m/>
    <m/>
    <m/>
    <m/>
    <m/>
  </r>
  <r>
    <x v="231"/>
    <s v="일"/>
    <x v="3"/>
    <m/>
    <m/>
    <m/>
    <x v="1"/>
    <m/>
    <m/>
    <n v="32040"/>
    <m/>
    <m/>
    <m/>
    <m/>
    <m/>
  </r>
  <r>
    <x v="232"/>
    <s v="월"/>
    <x v="3"/>
    <m/>
    <m/>
    <m/>
    <x v="1"/>
    <m/>
    <m/>
    <n v="32530"/>
    <m/>
    <m/>
    <m/>
    <m/>
    <m/>
  </r>
  <r>
    <x v="233"/>
    <s v="화"/>
    <x v="3"/>
    <m/>
    <m/>
    <m/>
    <x v="1"/>
    <m/>
    <m/>
    <n v="31550"/>
    <m/>
    <m/>
    <m/>
    <m/>
    <m/>
  </r>
  <r>
    <x v="234"/>
    <s v="수"/>
    <x v="3"/>
    <m/>
    <m/>
    <m/>
    <x v="1"/>
    <m/>
    <m/>
    <n v="31770"/>
    <m/>
    <m/>
    <m/>
    <m/>
    <m/>
  </r>
  <r>
    <x v="235"/>
    <s v="목"/>
    <x v="3"/>
    <m/>
    <m/>
    <m/>
    <x v="1"/>
    <m/>
    <m/>
    <n v="31760"/>
    <m/>
    <m/>
    <m/>
    <m/>
    <m/>
  </r>
  <r>
    <x v="236"/>
    <s v="금"/>
    <x v="3"/>
    <m/>
    <m/>
    <m/>
    <x v="1"/>
    <m/>
    <m/>
    <n v="31600"/>
    <m/>
    <m/>
    <m/>
    <m/>
    <m/>
  </r>
  <r>
    <x v="237"/>
    <s v="토"/>
    <x v="3"/>
    <m/>
    <m/>
    <m/>
    <x v="1"/>
    <m/>
    <m/>
    <n v="31980"/>
    <m/>
    <m/>
    <m/>
    <m/>
    <m/>
  </r>
  <r>
    <x v="238"/>
    <s v="일"/>
    <x v="3"/>
    <m/>
    <m/>
    <m/>
    <x v="1"/>
    <m/>
    <m/>
    <n v="32020"/>
    <m/>
    <m/>
    <m/>
    <m/>
    <m/>
  </r>
  <r>
    <x v="239"/>
    <s v="월"/>
    <x v="3"/>
    <m/>
    <m/>
    <m/>
    <x v="1"/>
    <m/>
    <m/>
    <n v="31450"/>
    <m/>
    <m/>
    <m/>
    <m/>
    <m/>
  </r>
  <r>
    <x v="240"/>
    <s v="화"/>
    <x v="3"/>
    <m/>
    <m/>
    <m/>
    <x v="1"/>
    <m/>
    <m/>
    <n v="31700"/>
    <m/>
    <m/>
    <m/>
    <m/>
    <m/>
  </r>
  <r>
    <x v="241"/>
    <s v="수"/>
    <x v="3"/>
    <m/>
    <m/>
    <m/>
    <x v="1"/>
    <m/>
    <m/>
    <n v="31760"/>
    <m/>
    <m/>
    <m/>
    <m/>
    <m/>
  </r>
  <r>
    <x v="242"/>
    <s v="목"/>
    <x v="3"/>
    <m/>
    <m/>
    <m/>
    <x v="1"/>
    <m/>
    <m/>
    <n v="31700"/>
    <m/>
    <m/>
    <m/>
    <m/>
    <m/>
  </r>
  <r>
    <x v="243"/>
    <s v="금"/>
    <x v="3"/>
    <m/>
    <m/>
    <m/>
    <x v="1"/>
    <m/>
    <m/>
    <n v="32120"/>
    <m/>
    <m/>
    <m/>
    <m/>
    <m/>
  </r>
  <r>
    <x v="244"/>
    <s v="토"/>
    <x v="3"/>
    <m/>
    <m/>
    <m/>
    <x v="1"/>
    <m/>
    <m/>
    <n v="32110"/>
    <m/>
    <m/>
    <m/>
    <m/>
    <m/>
  </r>
  <r>
    <x v="245"/>
    <s v="일"/>
    <x v="3"/>
    <m/>
    <m/>
    <m/>
    <x v="1"/>
    <m/>
    <m/>
    <n v="32400"/>
    <m/>
    <m/>
    <m/>
    <m/>
    <m/>
  </r>
  <r>
    <x v="246"/>
    <s v="월"/>
    <x v="3"/>
    <m/>
    <m/>
    <m/>
    <x v="1"/>
    <m/>
    <m/>
    <n v="31560"/>
    <m/>
    <m/>
    <m/>
    <m/>
    <m/>
  </r>
  <r>
    <x v="247"/>
    <s v="화"/>
    <x v="3"/>
    <m/>
    <m/>
    <m/>
    <x v="1"/>
    <m/>
    <m/>
    <n v="31510"/>
    <m/>
    <m/>
    <m/>
    <m/>
    <m/>
  </r>
  <r>
    <x v="248"/>
    <s v="수"/>
    <x v="3"/>
    <m/>
    <m/>
    <m/>
    <x v="1"/>
    <m/>
    <m/>
    <n v="31860"/>
    <m/>
    <m/>
    <m/>
    <m/>
    <m/>
  </r>
  <r>
    <x v="249"/>
    <s v="목"/>
    <x v="3"/>
    <m/>
    <m/>
    <m/>
    <x v="1"/>
    <m/>
    <m/>
    <n v="32190"/>
    <m/>
    <m/>
    <m/>
    <m/>
    <m/>
  </r>
  <r>
    <x v="250"/>
    <s v="금"/>
    <x v="3"/>
    <m/>
    <m/>
    <m/>
    <x v="1"/>
    <m/>
    <m/>
    <n v="31590"/>
    <m/>
    <m/>
    <m/>
    <m/>
    <m/>
  </r>
  <r>
    <x v="251"/>
    <s v="토"/>
    <x v="3"/>
    <m/>
    <m/>
    <m/>
    <x v="1"/>
    <m/>
    <m/>
    <n v="31530"/>
    <m/>
    <m/>
    <m/>
    <m/>
    <m/>
  </r>
  <r>
    <x v="252"/>
    <s v="일"/>
    <x v="3"/>
    <m/>
    <m/>
    <m/>
    <x v="1"/>
    <m/>
    <m/>
    <n v="31600"/>
    <m/>
    <m/>
    <m/>
    <m/>
    <m/>
  </r>
  <r>
    <x v="253"/>
    <s v="월"/>
    <x v="3"/>
    <m/>
    <m/>
    <m/>
    <x v="1"/>
    <m/>
    <m/>
    <n v="31660"/>
    <m/>
    <m/>
    <m/>
    <m/>
    <m/>
  </r>
  <r>
    <x v="254"/>
    <s v="화"/>
    <x v="3"/>
    <m/>
    <m/>
    <m/>
    <x v="1"/>
    <m/>
    <m/>
    <n v="31860"/>
    <m/>
    <m/>
    <m/>
    <m/>
    <m/>
  </r>
  <r>
    <x v="255"/>
    <s v="수"/>
    <x v="3"/>
    <m/>
    <m/>
    <m/>
    <x v="1"/>
    <m/>
    <m/>
    <n v="31930"/>
    <m/>
    <m/>
    <m/>
    <m/>
    <m/>
  </r>
  <r>
    <x v="256"/>
    <s v="목"/>
    <x v="3"/>
    <m/>
    <m/>
    <m/>
    <x v="1"/>
    <m/>
    <m/>
    <n v="32080"/>
    <m/>
    <m/>
    <m/>
    <m/>
    <m/>
  </r>
  <r>
    <x v="257"/>
    <s v="금"/>
    <x v="3"/>
    <m/>
    <m/>
    <m/>
    <x v="1"/>
    <m/>
    <m/>
    <n v="31930"/>
    <m/>
    <m/>
    <m/>
    <m/>
    <m/>
  </r>
  <r>
    <x v="258"/>
    <s v="토"/>
    <x v="3"/>
    <m/>
    <m/>
    <m/>
    <x v="1"/>
    <m/>
    <m/>
    <n v="32210"/>
    <m/>
    <m/>
    <m/>
    <m/>
    <m/>
  </r>
  <r>
    <x v="259"/>
    <s v="일"/>
    <x v="3"/>
    <m/>
    <m/>
    <m/>
    <x v="1"/>
    <m/>
    <m/>
    <n v="32780"/>
    <m/>
    <m/>
    <m/>
    <m/>
    <m/>
  </r>
  <r>
    <x v="260"/>
    <s v="월"/>
    <x v="3"/>
    <m/>
    <m/>
    <m/>
    <x v="1"/>
    <m/>
    <m/>
    <n v="31650"/>
    <m/>
    <m/>
    <m/>
    <m/>
    <m/>
  </r>
  <r>
    <x v="261"/>
    <s v="화"/>
    <x v="3"/>
    <m/>
    <m/>
    <m/>
    <x v="1"/>
    <m/>
    <m/>
    <n v="31580"/>
    <m/>
    <m/>
    <m/>
    <m/>
    <m/>
  </r>
  <r>
    <x v="58"/>
    <s v="화"/>
    <x v="4"/>
    <m/>
    <m/>
    <m/>
    <x v="1"/>
    <m/>
    <m/>
    <n v="140"/>
    <m/>
    <m/>
    <m/>
    <m/>
    <m/>
  </r>
  <r>
    <x v="59"/>
    <s v="수"/>
    <x v="4"/>
    <m/>
    <m/>
    <m/>
    <x v="1"/>
    <m/>
    <m/>
    <n v="70"/>
    <m/>
    <m/>
    <m/>
    <m/>
    <m/>
  </r>
  <r>
    <x v="60"/>
    <s v="목"/>
    <x v="4"/>
    <m/>
    <m/>
    <m/>
    <x v="1"/>
    <m/>
    <m/>
    <n v="140"/>
    <m/>
    <m/>
    <m/>
    <m/>
    <m/>
  </r>
  <r>
    <x v="61"/>
    <s v="금"/>
    <x v="4"/>
    <m/>
    <m/>
    <m/>
    <x v="1"/>
    <m/>
    <m/>
    <n v="140"/>
    <m/>
    <m/>
    <m/>
    <m/>
    <m/>
  </r>
  <r>
    <x v="62"/>
    <s v="토"/>
    <x v="4"/>
    <m/>
    <m/>
    <m/>
    <x v="1"/>
    <m/>
    <m/>
    <n v="0"/>
    <m/>
    <m/>
    <m/>
    <m/>
    <m/>
  </r>
  <r>
    <x v="63"/>
    <s v="일"/>
    <x v="4"/>
    <m/>
    <m/>
    <m/>
    <x v="1"/>
    <m/>
    <m/>
    <n v="70"/>
    <m/>
    <m/>
    <m/>
    <m/>
    <m/>
  </r>
  <r>
    <x v="64"/>
    <s v="월"/>
    <x v="4"/>
    <m/>
    <m/>
    <m/>
    <x v="1"/>
    <m/>
    <m/>
    <n v="70"/>
    <m/>
    <m/>
    <m/>
    <m/>
    <m/>
  </r>
  <r>
    <x v="65"/>
    <s v="화"/>
    <x v="4"/>
    <m/>
    <m/>
    <m/>
    <x v="1"/>
    <m/>
    <m/>
    <n v="70"/>
    <m/>
    <m/>
    <m/>
    <m/>
    <m/>
  </r>
  <r>
    <x v="66"/>
    <s v="수"/>
    <x v="4"/>
    <m/>
    <m/>
    <m/>
    <x v="1"/>
    <m/>
    <m/>
    <n v="0"/>
    <m/>
    <m/>
    <m/>
    <m/>
    <m/>
  </r>
  <r>
    <x v="67"/>
    <s v="목"/>
    <x v="4"/>
    <m/>
    <m/>
    <m/>
    <x v="1"/>
    <m/>
    <m/>
    <n v="140"/>
    <m/>
    <m/>
    <m/>
    <m/>
    <m/>
  </r>
  <r>
    <x v="68"/>
    <s v="금"/>
    <x v="4"/>
    <m/>
    <m/>
    <m/>
    <x v="1"/>
    <m/>
    <m/>
    <n v="0"/>
    <m/>
    <m/>
    <m/>
    <m/>
    <m/>
  </r>
  <r>
    <x v="69"/>
    <s v="토"/>
    <x v="4"/>
    <m/>
    <m/>
    <m/>
    <x v="1"/>
    <m/>
    <m/>
    <n v="0"/>
    <m/>
    <m/>
    <m/>
    <m/>
    <m/>
  </r>
  <r>
    <x v="70"/>
    <s v="일"/>
    <x v="4"/>
    <m/>
    <m/>
    <m/>
    <x v="1"/>
    <m/>
    <m/>
    <n v="70"/>
    <m/>
    <m/>
    <m/>
    <m/>
    <m/>
  </r>
  <r>
    <x v="71"/>
    <s v="월"/>
    <x v="4"/>
    <m/>
    <m/>
    <m/>
    <x v="1"/>
    <m/>
    <m/>
    <n v="70"/>
    <m/>
    <m/>
    <m/>
    <m/>
    <m/>
  </r>
  <r>
    <x v="72"/>
    <s v="화"/>
    <x v="4"/>
    <m/>
    <m/>
    <m/>
    <x v="1"/>
    <m/>
    <m/>
    <n v="0"/>
    <m/>
    <m/>
    <m/>
    <m/>
    <m/>
  </r>
  <r>
    <x v="73"/>
    <s v="수"/>
    <x v="4"/>
    <m/>
    <m/>
    <m/>
    <x v="1"/>
    <m/>
    <m/>
    <n v="70"/>
    <m/>
    <m/>
    <m/>
    <m/>
    <m/>
  </r>
  <r>
    <x v="74"/>
    <s v="목"/>
    <x v="4"/>
    <m/>
    <m/>
    <m/>
    <x v="1"/>
    <m/>
    <m/>
    <n v="70"/>
    <m/>
    <m/>
    <m/>
    <m/>
    <m/>
  </r>
  <r>
    <x v="75"/>
    <s v="금"/>
    <x v="4"/>
    <m/>
    <m/>
    <m/>
    <x v="1"/>
    <m/>
    <m/>
    <n v="70"/>
    <m/>
    <m/>
    <m/>
    <m/>
    <m/>
  </r>
  <r>
    <x v="76"/>
    <s v="토"/>
    <x v="4"/>
    <m/>
    <m/>
    <m/>
    <x v="1"/>
    <m/>
    <m/>
    <n v="0"/>
    <m/>
    <m/>
    <m/>
    <m/>
    <m/>
  </r>
  <r>
    <x v="77"/>
    <s v="일"/>
    <x v="4"/>
    <m/>
    <m/>
    <m/>
    <x v="1"/>
    <m/>
    <m/>
    <n v="140"/>
    <m/>
    <m/>
    <m/>
    <m/>
    <m/>
  </r>
  <r>
    <x v="78"/>
    <s v="월"/>
    <x v="4"/>
    <m/>
    <m/>
    <m/>
    <x v="1"/>
    <m/>
    <m/>
    <n v="0"/>
    <m/>
    <m/>
    <m/>
    <m/>
    <m/>
  </r>
  <r>
    <x v="79"/>
    <s v="화"/>
    <x v="4"/>
    <m/>
    <m/>
    <m/>
    <x v="1"/>
    <m/>
    <m/>
    <n v="210"/>
    <m/>
    <m/>
    <m/>
    <m/>
    <m/>
  </r>
  <r>
    <x v="80"/>
    <s v="수"/>
    <x v="4"/>
    <m/>
    <m/>
    <m/>
    <x v="1"/>
    <m/>
    <m/>
    <n v="0"/>
    <m/>
    <m/>
    <m/>
    <m/>
    <m/>
  </r>
  <r>
    <x v="81"/>
    <s v="목"/>
    <x v="4"/>
    <m/>
    <m/>
    <m/>
    <x v="1"/>
    <m/>
    <m/>
    <n v="0"/>
    <m/>
    <m/>
    <m/>
    <m/>
    <m/>
  </r>
  <r>
    <x v="82"/>
    <s v="금"/>
    <x v="4"/>
    <m/>
    <m/>
    <m/>
    <x v="1"/>
    <m/>
    <m/>
    <n v="140"/>
    <m/>
    <m/>
    <m/>
    <m/>
    <m/>
  </r>
  <r>
    <x v="83"/>
    <s v="토"/>
    <x v="4"/>
    <m/>
    <m/>
    <m/>
    <x v="1"/>
    <m/>
    <m/>
    <n v="0"/>
    <m/>
    <m/>
    <m/>
    <m/>
    <m/>
  </r>
  <r>
    <x v="84"/>
    <s v="일"/>
    <x v="4"/>
    <m/>
    <m/>
    <m/>
    <x v="1"/>
    <m/>
    <m/>
    <n v="0"/>
    <m/>
    <m/>
    <m/>
    <m/>
    <m/>
  </r>
  <r>
    <x v="85"/>
    <s v="월"/>
    <x v="4"/>
    <m/>
    <m/>
    <m/>
    <x v="1"/>
    <m/>
    <m/>
    <n v="0"/>
    <m/>
    <m/>
    <m/>
    <m/>
    <m/>
  </r>
  <r>
    <x v="86"/>
    <s v="화"/>
    <x v="4"/>
    <m/>
    <m/>
    <m/>
    <x v="1"/>
    <m/>
    <m/>
    <n v="210"/>
    <m/>
    <m/>
    <m/>
    <m/>
    <m/>
  </r>
  <r>
    <x v="87"/>
    <s v="수"/>
    <x v="4"/>
    <m/>
    <m/>
    <m/>
    <x v="1"/>
    <m/>
    <m/>
    <n v="70"/>
    <m/>
    <m/>
    <m/>
    <m/>
    <m/>
  </r>
  <r>
    <x v="88"/>
    <s v="목"/>
    <x v="4"/>
    <m/>
    <m/>
    <m/>
    <x v="1"/>
    <m/>
    <m/>
    <n v="70"/>
    <m/>
    <m/>
    <m/>
    <m/>
    <m/>
  </r>
  <r>
    <x v="89"/>
    <s v="금"/>
    <x v="4"/>
    <m/>
    <m/>
    <m/>
    <x v="1"/>
    <m/>
    <m/>
    <n v="0"/>
    <m/>
    <m/>
    <m/>
    <m/>
    <m/>
  </r>
  <r>
    <x v="90"/>
    <s v="토"/>
    <x v="4"/>
    <m/>
    <m/>
    <m/>
    <x v="1"/>
    <m/>
    <m/>
    <n v="70"/>
    <m/>
    <m/>
    <m/>
    <m/>
    <m/>
  </r>
  <r>
    <x v="91"/>
    <s v="일"/>
    <x v="4"/>
    <m/>
    <m/>
    <m/>
    <x v="1"/>
    <m/>
    <m/>
    <n v="0"/>
    <m/>
    <m/>
    <m/>
    <m/>
    <m/>
  </r>
  <r>
    <x v="92"/>
    <s v="월"/>
    <x v="4"/>
    <m/>
    <m/>
    <m/>
    <x v="1"/>
    <m/>
    <m/>
    <n v="70"/>
    <m/>
    <m/>
    <m/>
    <m/>
    <m/>
  </r>
  <r>
    <x v="93"/>
    <s v="화"/>
    <x v="4"/>
    <m/>
    <m/>
    <m/>
    <x v="1"/>
    <m/>
    <m/>
    <n v="0"/>
    <m/>
    <m/>
    <m/>
    <m/>
    <m/>
  </r>
  <r>
    <x v="94"/>
    <s v="수"/>
    <x v="4"/>
    <m/>
    <m/>
    <m/>
    <x v="1"/>
    <m/>
    <m/>
    <n v="0"/>
    <m/>
    <m/>
    <m/>
    <m/>
    <m/>
  </r>
  <r>
    <x v="95"/>
    <s v="목"/>
    <x v="4"/>
    <m/>
    <m/>
    <m/>
    <x v="1"/>
    <m/>
    <m/>
    <n v="0"/>
    <m/>
    <m/>
    <m/>
    <m/>
    <m/>
  </r>
  <r>
    <x v="96"/>
    <s v="금"/>
    <x v="4"/>
    <m/>
    <m/>
    <m/>
    <x v="1"/>
    <m/>
    <m/>
    <n v="210"/>
    <m/>
    <m/>
    <m/>
    <m/>
    <m/>
  </r>
  <r>
    <x v="97"/>
    <s v="토"/>
    <x v="4"/>
    <m/>
    <m/>
    <m/>
    <x v="1"/>
    <m/>
    <m/>
    <n v="70"/>
    <m/>
    <m/>
    <m/>
    <m/>
    <m/>
  </r>
  <r>
    <x v="98"/>
    <s v="일"/>
    <x v="4"/>
    <m/>
    <m/>
    <m/>
    <x v="1"/>
    <m/>
    <m/>
    <n v="70"/>
    <m/>
    <m/>
    <m/>
    <m/>
    <m/>
  </r>
  <r>
    <x v="99"/>
    <s v="월"/>
    <x v="4"/>
    <m/>
    <m/>
    <m/>
    <x v="1"/>
    <m/>
    <m/>
    <n v="0"/>
    <m/>
    <m/>
    <m/>
    <m/>
    <m/>
  </r>
  <r>
    <x v="100"/>
    <s v="화"/>
    <x v="4"/>
    <m/>
    <m/>
    <m/>
    <x v="1"/>
    <m/>
    <m/>
    <n v="210"/>
    <m/>
    <m/>
    <m/>
    <m/>
    <m/>
  </r>
  <r>
    <x v="101"/>
    <s v="수"/>
    <x v="4"/>
    <m/>
    <m/>
    <m/>
    <x v="1"/>
    <m/>
    <m/>
    <n v="70"/>
    <m/>
    <m/>
    <m/>
    <m/>
    <m/>
  </r>
  <r>
    <x v="102"/>
    <s v="목"/>
    <x v="4"/>
    <m/>
    <m/>
    <m/>
    <x v="1"/>
    <m/>
    <m/>
    <n v="70"/>
    <m/>
    <m/>
    <m/>
    <m/>
    <m/>
  </r>
  <r>
    <x v="103"/>
    <s v="금"/>
    <x v="4"/>
    <m/>
    <m/>
    <m/>
    <x v="1"/>
    <m/>
    <m/>
    <n v="0"/>
    <m/>
    <m/>
    <m/>
    <m/>
    <m/>
  </r>
  <r>
    <x v="104"/>
    <s v="토"/>
    <x v="4"/>
    <m/>
    <m/>
    <m/>
    <x v="1"/>
    <m/>
    <m/>
    <n v="140"/>
    <m/>
    <m/>
    <m/>
    <m/>
    <m/>
  </r>
  <r>
    <x v="105"/>
    <s v="일"/>
    <x v="4"/>
    <m/>
    <m/>
    <m/>
    <x v="1"/>
    <m/>
    <m/>
    <n v="70"/>
    <m/>
    <m/>
    <m/>
    <m/>
    <m/>
  </r>
  <r>
    <x v="106"/>
    <s v="월"/>
    <x v="4"/>
    <m/>
    <m/>
    <m/>
    <x v="1"/>
    <m/>
    <m/>
    <n v="0"/>
    <m/>
    <m/>
    <m/>
    <m/>
    <m/>
  </r>
  <r>
    <x v="107"/>
    <s v="화"/>
    <x v="4"/>
    <m/>
    <m/>
    <m/>
    <x v="1"/>
    <m/>
    <m/>
    <n v="0"/>
    <m/>
    <m/>
    <m/>
    <m/>
    <m/>
  </r>
  <r>
    <x v="108"/>
    <s v="수"/>
    <x v="4"/>
    <m/>
    <m/>
    <m/>
    <x v="1"/>
    <m/>
    <m/>
    <n v="70"/>
    <m/>
    <m/>
    <m/>
    <m/>
    <m/>
  </r>
  <r>
    <x v="109"/>
    <s v="목"/>
    <x v="4"/>
    <m/>
    <m/>
    <m/>
    <x v="1"/>
    <m/>
    <m/>
    <n v="70"/>
    <m/>
    <m/>
    <m/>
    <m/>
    <m/>
  </r>
  <r>
    <x v="110"/>
    <s v="금"/>
    <x v="4"/>
    <m/>
    <m/>
    <m/>
    <x v="1"/>
    <m/>
    <m/>
    <n v="0"/>
    <m/>
    <m/>
    <m/>
    <m/>
    <m/>
  </r>
  <r>
    <x v="111"/>
    <s v="토"/>
    <x v="4"/>
    <m/>
    <m/>
    <m/>
    <x v="1"/>
    <m/>
    <m/>
    <n v="140"/>
    <m/>
    <m/>
    <m/>
    <m/>
    <m/>
  </r>
  <r>
    <x v="112"/>
    <s v="일"/>
    <x v="4"/>
    <m/>
    <m/>
    <m/>
    <x v="1"/>
    <m/>
    <m/>
    <n v="140"/>
    <m/>
    <m/>
    <m/>
    <m/>
    <m/>
  </r>
  <r>
    <x v="113"/>
    <s v="월"/>
    <x v="4"/>
    <m/>
    <m/>
    <m/>
    <x v="1"/>
    <m/>
    <m/>
    <n v="0"/>
    <m/>
    <m/>
    <m/>
    <m/>
    <m/>
  </r>
  <r>
    <x v="114"/>
    <s v="화"/>
    <x v="4"/>
    <m/>
    <m/>
    <m/>
    <x v="1"/>
    <m/>
    <m/>
    <n v="70"/>
    <m/>
    <m/>
    <m/>
    <m/>
    <m/>
  </r>
  <r>
    <x v="115"/>
    <s v="수"/>
    <x v="4"/>
    <m/>
    <m/>
    <m/>
    <x v="1"/>
    <m/>
    <m/>
    <n v="0"/>
    <m/>
    <m/>
    <m/>
    <m/>
    <m/>
  </r>
  <r>
    <x v="116"/>
    <s v="목"/>
    <x v="4"/>
    <m/>
    <m/>
    <m/>
    <x v="1"/>
    <m/>
    <m/>
    <n v="70"/>
    <m/>
    <m/>
    <m/>
    <m/>
    <m/>
  </r>
  <r>
    <x v="117"/>
    <s v="금"/>
    <x v="4"/>
    <m/>
    <m/>
    <m/>
    <x v="1"/>
    <m/>
    <m/>
    <n v="70"/>
    <m/>
    <m/>
    <m/>
    <m/>
    <m/>
  </r>
  <r>
    <x v="118"/>
    <s v="토"/>
    <x v="4"/>
    <m/>
    <m/>
    <m/>
    <x v="1"/>
    <m/>
    <m/>
    <n v="140"/>
    <m/>
    <m/>
    <m/>
    <m/>
    <m/>
  </r>
  <r>
    <x v="119"/>
    <s v="일"/>
    <x v="4"/>
    <m/>
    <m/>
    <m/>
    <x v="1"/>
    <m/>
    <m/>
    <n v="70"/>
    <m/>
    <m/>
    <m/>
    <m/>
    <m/>
  </r>
  <r>
    <x v="120"/>
    <s v="월"/>
    <x v="4"/>
    <m/>
    <m/>
    <m/>
    <x v="1"/>
    <m/>
    <m/>
    <n v="70"/>
    <m/>
    <m/>
    <m/>
    <m/>
    <m/>
  </r>
  <r>
    <x v="121"/>
    <s v="화"/>
    <x v="4"/>
    <m/>
    <m/>
    <m/>
    <x v="1"/>
    <m/>
    <m/>
    <n v="70"/>
    <m/>
    <m/>
    <m/>
    <m/>
    <m/>
  </r>
  <r>
    <x v="122"/>
    <s v="수"/>
    <x v="4"/>
    <m/>
    <m/>
    <m/>
    <x v="1"/>
    <m/>
    <m/>
    <n v="140"/>
    <m/>
    <m/>
    <m/>
    <m/>
    <m/>
  </r>
  <r>
    <x v="123"/>
    <s v="목"/>
    <x v="4"/>
    <m/>
    <m/>
    <m/>
    <x v="1"/>
    <m/>
    <m/>
    <n v="0"/>
    <m/>
    <m/>
    <m/>
    <m/>
    <m/>
  </r>
  <r>
    <x v="124"/>
    <s v="금"/>
    <x v="4"/>
    <m/>
    <m/>
    <m/>
    <x v="1"/>
    <m/>
    <m/>
    <n v="0"/>
    <m/>
    <m/>
    <m/>
    <m/>
    <m/>
  </r>
  <r>
    <x v="125"/>
    <s v="토"/>
    <x v="4"/>
    <m/>
    <m/>
    <m/>
    <x v="1"/>
    <m/>
    <m/>
    <n v="70"/>
    <m/>
    <m/>
    <m/>
    <m/>
    <m/>
  </r>
  <r>
    <x v="126"/>
    <s v="일"/>
    <x v="4"/>
    <m/>
    <m/>
    <m/>
    <x v="1"/>
    <m/>
    <m/>
    <n v="0"/>
    <m/>
    <m/>
    <m/>
    <m/>
    <m/>
  </r>
  <r>
    <x v="127"/>
    <s v="월"/>
    <x v="4"/>
    <m/>
    <m/>
    <m/>
    <x v="1"/>
    <m/>
    <m/>
    <n v="140"/>
    <m/>
    <m/>
    <m/>
    <m/>
    <m/>
  </r>
  <r>
    <x v="128"/>
    <s v="화"/>
    <x v="4"/>
    <m/>
    <m/>
    <m/>
    <x v="1"/>
    <m/>
    <m/>
    <n v="0"/>
    <m/>
    <m/>
    <m/>
    <m/>
    <m/>
  </r>
  <r>
    <x v="129"/>
    <s v="수"/>
    <x v="4"/>
    <m/>
    <m/>
    <m/>
    <x v="1"/>
    <m/>
    <m/>
    <n v="140"/>
    <m/>
    <m/>
    <m/>
    <m/>
    <m/>
  </r>
  <r>
    <x v="130"/>
    <s v="목"/>
    <x v="4"/>
    <m/>
    <m/>
    <m/>
    <x v="1"/>
    <m/>
    <m/>
    <n v="0"/>
    <m/>
    <m/>
    <m/>
    <m/>
    <m/>
  </r>
  <r>
    <x v="131"/>
    <s v="금"/>
    <x v="4"/>
    <m/>
    <m/>
    <m/>
    <x v="1"/>
    <m/>
    <m/>
    <n v="0"/>
    <m/>
    <m/>
    <m/>
    <m/>
    <m/>
  </r>
  <r>
    <x v="132"/>
    <s v="토"/>
    <x v="4"/>
    <m/>
    <m/>
    <m/>
    <x v="1"/>
    <m/>
    <m/>
    <n v="140"/>
    <m/>
    <m/>
    <m/>
    <m/>
    <m/>
  </r>
  <r>
    <x v="133"/>
    <s v="일"/>
    <x v="4"/>
    <m/>
    <m/>
    <m/>
    <x v="1"/>
    <m/>
    <m/>
    <n v="3690"/>
    <m/>
    <m/>
    <m/>
    <m/>
    <m/>
  </r>
  <r>
    <x v="134"/>
    <s v="월"/>
    <x v="4"/>
    <m/>
    <m/>
    <m/>
    <x v="1"/>
    <m/>
    <m/>
    <n v="13340"/>
    <m/>
    <m/>
    <m/>
    <m/>
    <m/>
  </r>
  <r>
    <x v="135"/>
    <s v="화"/>
    <x v="4"/>
    <m/>
    <m/>
    <m/>
    <x v="1"/>
    <m/>
    <m/>
    <n v="740"/>
    <m/>
    <m/>
    <m/>
    <m/>
    <m/>
  </r>
  <r>
    <x v="136"/>
    <s v="수"/>
    <x v="4"/>
    <m/>
    <m/>
    <m/>
    <x v="1"/>
    <m/>
    <m/>
    <n v="0"/>
    <m/>
    <m/>
    <m/>
    <m/>
    <m/>
  </r>
  <r>
    <x v="137"/>
    <s v="목"/>
    <x v="4"/>
    <m/>
    <m/>
    <m/>
    <x v="1"/>
    <m/>
    <m/>
    <n v="0"/>
    <m/>
    <m/>
    <m/>
    <m/>
    <m/>
  </r>
  <r>
    <x v="138"/>
    <s v="금"/>
    <x v="4"/>
    <m/>
    <m/>
    <m/>
    <x v="1"/>
    <m/>
    <m/>
    <n v="0"/>
    <m/>
    <m/>
    <m/>
    <m/>
    <m/>
  </r>
  <r>
    <x v="139"/>
    <s v="토"/>
    <x v="4"/>
    <m/>
    <m/>
    <m/>
    <x v="1"/>
    <m/>
    <m/>
    <n v="0"/>
    <m/>
    <m/>
    <m/>
    <m/>
    <m/>
  </r>
  <r>
    <x v="140"/>
    <s v="일"/>
    <x v="4"/>
    <m/>
    <m/>
    <m/>
    <x v="1"/>
    <m/>
    <m/>
    <n v="0"/>
    <m/>
    <m/>
    <m/>
    <m/>
    <m/>
  </r>
  <r>
    <x v="141"/>
    <s v="월"/>
    <x v="4"/>
    <m/>
    <m/>
    <m/>
    <x v="1"/>
    <m/>
    <m/>
    <n v="0"/>
    <m/>
    <m/>
    <m/>
    <m/>
    <m/>
  </r>
  <r>
    <x v="142"/>
    <s v="화"/>
    <x v="4"/>
    <m/>
    <m/>
    <m/>
    <x v="1"/>
    <m/>
    <m/>
    <n v="0"/>
    <m/>
    <m/>
    <m/>
    <m/>
    <m/>
  </r>
  <r>
    <x v="143"/>
    <s v="수"/>
    <x v="4"/>
    <m/>
    <m/>
    <m/>
    <x v="1"/>
    <m/>
    <m/>
    <n v="4930"/>
    <m/>
    <m/>
    <m/>
    <m/>
    <m/>
  </r>
  <r>
    <x v="144"/>
    <s v="목"/>
    <x v="4"/>
    <m/>
    <m/>
    <m/>
    <x v="1"/>
    <m/>
    <m/>
    <n v="17470"/>
    <m/>
    <m/>
    <m/>
    <m/>
    <m/>
  </r>
  <r>
    <x v="145"/>
    <s v="금"/>
    <x v="4"/>
    <m/>
    <m/>
    <m/>
    <x v="1"/>
    <m/>
    <m/>
    <n v="11880"/>
    <m/>
    <m/>
    <m/>
    <m/>
    <m/>
  </r>
  <r>
    <x v="146"/>
    <s v="토"/>
    <x v="4"/>
    <m/>
    <m/>
    <m/>
    <x v="1"/>
    <m/>
    <m/>
    <n v="11040"/>
    <m/>
    <m/>
    <m/>
    <m/>
    <m/>
  </r>
  <r>
    <x v="147"/>
    <s v="일"/>
    <x v="4"/>
    <m/>
    <m/>
    <m/>
    <x v="1"/>
    <m/>
    <m/>
    <n v="9410"/>
    <m/>
    <m/>
    <m/>
    <m/>
    <m/>
  </r>
  <r>
    <x v="148"/>
    <s v="월"/>
    <x v="4"/>
    <m/>
    <m/>
    <m/>
    <x v="1"/>
    <m/>
    <m/>
    <n v="16380"/>
    <m/>
    <m/>
    <m/>
    <m/>
    <m/>
  </r>
  <r>
    <x v="149"/>
    <s v="화"/>
    <x v="4"/>
    <m/>
    <m/>
    <m/>
    <x v="1"/>
    <m/>
    <m/>
    <n v="9130"/>
    <m/>
    <m/>
    <m/>
    <m/>
    <m/>
  </r>
  <r>
    <x v="150"/>
    <s v="수"/>
    <x v="4"/>
    <m/>
    <m/>
    <m/>
    <x v="1"/>
    <m/>
    <m/>
    <n v="19310"/>
    <m/>
    <m/>
    <m/>
    <m/>
    <m/>
  </r>
  <r>
    <x v="151"/>
    <s v="목"/>
    <x v="4"/>
    <m/>
    <m/>
    <m/>
    <x v="1"/>
    <m/>
    <m/>
    <n v="38670"/>
    <m/>
    <m/>
    <m/>
    <m/>
    <m/>
  </r>
  <r>
    <x v="152"/>
    <s v="금"/>
    <x v="4"/>
    <m/>
    <m/>
    <m/>
    <x v="1"/>
    <m/>
    <m/>
    <n v="45680"/>
    <m/>
    <m/>
    <m/>
    <m/>
    <m/>
  </r>
  <r>
    <x v="153"/>
    <s v="토"/>
    <x v="4"/>
    <m/>
    <m/>
    <m/>
    <x v="1"/>
    <m/>
    <m/>
    <n v="48380"/>
    <m/>
    <m/>
    <m/>
    <m/>
    <m/>
  </r>
  <r>
    <x v="154"/>
    <s v="일"/>
    <x v="4"/>
    <m/>
    <m/>
    <m/>
    <x v="1"/>
    <m/>
    <m/>
    <n v="61550"/>
    <m/>
    <m/>
    <m/>
    <m/>
    <m/>
  </r>
  <r>
    <x v="155"/>
    <s v="월"/>
    <x v="4"/>
    <m/>
    <m/>
    <m/>
    <x v="1"/>
    <m/>
    <m/>
    <n v="63190"/>
    <m/>
    <m/>
    <m/>
    <m/>
    <m/>
  </r>
  <r>
    <x v="156"/>
    <s v="화"/>
    <x v="4"/>
    <m/>
    <m/>
    <m/>
    <x v="1"/>
    <m/>
    <m/>
    <n v="31360"/>
    <m/>
    <m/>
    <m/>
    <m/>
    <m/>
  </r>
  <r>
    <x v="157"/>
    <s v="수"/>
    <x v="4"/>
    <m/>
    <m/>
    <m/>
    <x v="1"/>
    <m/>
    <m/>
    <n v="5890"/>
    <m/>
    <m/>
    <m/>
    <m/>
    <m/>
  </r>
  <r>
    <x v="158"/>
    <s v="목"/>
    <x v="4"/>
    <m/>
    <m/>
    <m/>
    <x v="1"/>
    <m/>
    <m/>
    <n v="3970"/>
    <m/>
    <m/>
    <m/>
    <m/>
    <m/>
  </r>
  <r>
    <x v="159"/>
    <s v="금"/>
    <x v="4"/>
    <m/>
    <m/>
    <m/>
    <x v="1"/>
    <m/>
    <m/>
    <n v="7439.999999999999"/>
    <m/>
    <m/>
    <m/>
    <m/>
    <m/>
  </r>
  <r>
    <x v="160"/>
    <s v="토"/>
    <x v="4"/>
    <m/>
    <m/>
    <m/>
    <x v="1"/>
    <m/>
    <m/>
    <n v="5320"/>
    <m/>
    <m/>
    <m/>
    <m/>
    <m/>
  </r>
  <r>
    <x v="161"/>
    <s v="일"/>
    <x v="4"/>
    <m/>
    <m/>
    <m/>
    <x v="1"/>
    <m/>
    <m/>
    <n v="8099.999999999999"/>
    <m/>
    <m/>
    <m/>
    <m/>
    <m/>
  </r>
  <r>
    <x v="162"/>
    <s v="월"/>
    <x v="4"/>
    <m/>
    <m/>
    <m/>
    <x v="1"/>
    <m/>
    <m/>
    <n v="9220"/>
    <m/>
    <m/>
    <m/>
    <m/>
    <m/>
  </r>
  <r>
    <x v="163"/>
    <s v="화"/>
    <x v="4"/>
    <m/>
    <m/>
    <m/>
    <x v="1"/>
    <m/>
    <m/>
    <n v="4210"/>
    <m/>
    <m/>
    <m/>
    <m/>
    <m/>
  </r>
  <r>
    <x v="164"/>
    <s v="수"/>
    <x v="4"/>
    <m/>
    <m/>
    <m/>
    <x v="1"/>
    <m/>
    <m/>
    <n v="7099.999999999999"/>
    <m/>
    <m/>
    <m/>
    <m/>
    <m/>
  </r>
  <r>
    <x v="165"/>
    <s v="목"/>
    <x v="4"/>
    <m/>
    <m/>
    <m/>
    <x v="1"/>
    <m/>
    <m/>
    <n v="2250"/>
    <m/>
    <m/>
    <m/>
    <m/>
    <m/>
  </r>
  <r>
    <x v="166"/>
    <s v="금"/>
    <x v="4"/>
    <m/>
    <m/>
    <m/>
    <x v="1"/>
    <m/>
    <m/>
    <n v="9290"/>
    <m/>
    <m/>
    <m/>
    <m/>
    <m/>
  </r>
  <r>
    <x v="167"/>
    <s v="토"/>
    <x v="4"/>
    <m/>
    <m/>
    <m/>
    <x v="1"/>
    <m/>
    <m/>
    <n v="2530"/>
    <m/>
    <m/>
    <m/>
    <m/>
    <m/>
  </r>
  <r>
    <x v="168"/>
    <s v="일"/>
    <x v="4"/>
    <m/>
    <m/>
    <m/>
    <x v="1"/>
    <m/>
    <m/>
    <n v="4080"/>
    <m/>
    <m/>
    <m/>
    <m/>
    <m/>
  </r>
  <r>
    <x v="169"/>
    <s v="월"/>
    <x v="4"/>
    <m/>
    <m/>
    <m/>
    <x v="1"/>
    <m/>
    <m/>
    <n v="4010"/>
    <m/>
    <m/>
    <m/>
    <m/>
    <m/>
  </r>
  <r>
    <x v="170"/>
    <s v="화"/>
    <x v="4"/>
    <m/>
    <m/>
    <m/>
    <x v="1"/>
    <m/>
    <m/>
    <n v="6149.999999999999"/>
    <m/>
    <m/>
    <m/>
    <m/>
    <m/>
  </r>
  <r>
    <x v="171"/>
    <s v="수"/>
    <x v="4"/>
    <m/>
    <m/>
    <m/>
    <x v="1"/>
    <m/>
    <m/>
    <n v="2870"/>
    <m/>
    <m/>
    <m/>
    <m/>
    <m/>
  </r>
  <r>
    <x v="172"/>
    <s v="목"/>
    <x v="4"/>
    <m/>
    <m/>
    <m/>
    <x v="1"/>
    <m/>
    <m/>
    <n v="8260"/>
    <m/>
    <m/>
    <m/>
    <m/>
    <m/>
  </r>
  <r>
    <x v="173"/>
    <s v="금"/>
    <x v="4"/>
    <m/>
    <m/>
    <m/>
    <x v="1"/>
    <m/>
    <m/>
    <n v="3080"/>
    <m/>
    <m/>
    <m/>
    <m/>
    <m/>
  </r>
  <r>
    <x v="174"/>
    <s v="토"/>
    <x v="4"/>
    <m/>
    <m/>
    <m/>
    <x v="1"/>
    <m/>
    <m/>
    <n v="4010"/>
    <m/>
    <m/>
    <m/>
    <m/>
    <m/>
  </r>
  <r>
    <x v="175"/>
    <s v="일"/>
    <x v="4"/>
    <m/>
    <m/>
    <m/>
    <x v="1"/>
    <m/>
    <m/>
    <n v="6869.999999999999"/>
    <m/>
    <m/>
    <m/>
    <m/>
    <m/>
  </r>
  <r>
    <x v="176"/>
    <s v="월"/>
    <x v="4"/>
    <m/>
    <m/>
    <m/>
    <x v="1"/>
    <m/>
    <m/>
    <n v="3070"/>
    <m/>
    <m/>
    <m/>
    <m/>
    <m/>
  </r>
  <r>
    <x v="177"/>
    <s v="화"/>
    <x v="4"/>
    <m/>
    <m/>
    <m/>
    <x v="1"/>
    <m/>
    <m/>
    <n v="10730"/>
    <m/>
    <m/>
    <m/>
    <m/>
    <m/>
  </r>
  <r>
    <x v="178"/>
    <s v="수"/>
    <x v="4"/>
    <m/>
    <m/>
    <m/>
    <x v="1"/>
    <m/>
    <m/>
    <n v="4410"/>
    <m/>
    <m/>
    <m/>
    <m/>
    <m/>
  </r>
  <r>
    <x v="179"/>
    <s v="목"/>
    <x v="4"/>
    <m/>
    <m/>
    <m/>
    <x v="1"/>
    <m/>
    <m/>
    <n v="8980"/>
    <m/>
    <m/>
    <m/>
    <m/>
    <m/>
  </r>
  <r>
    <x v="180"/>
    <s v="금"/>
    <x v="4"/>
    <m/>
    <m/>
    <m/>
    <x v="1"/>
    <m/>
    <m/>
    <n v="2350"/>
    <m/>
    <m/>
    <m/>
    <m/>
    <m/>
  </r>
  <r>
    <x v="181"/>
    <s v="토"/>
    <x v="4"/>
    <m/>
    <m/>
    <m/>
    <x v="1"/>
    <m/>
    <m/>
    <n v="6289.999999999999"/>
    <m/>
    <m/>
    <m/>
    <m/>
    <m/>
  </r>
  <r>
    <x v="182"/>
    <s v="일"/>
    <x v="4"/>
    <m/>
    <m/>
    <m/>
    <x v="1"/>
    <m/>
    <m/>
    <n v="7129.999999999999"/>
    <m/>
    <m/>
    <m/>
    <m/>
    <m/>
  </r>
  <r>
    <x v="183"/>
    <s v="월"/>
    <x v="4"/>
    <m/>
    <m/>
    <m/>
    <x v="1"/>
    <m/>
    <m/>
    <n v="11970"/>
    <m/>
    <m/>
    <m/>
    <m/>
    <m/>
  </r>
  <r>
    <x v="184"/>
    <s v="화"/>
    <x v="4"/>
    <m/>
    <m/>
    <m/>
    <x v="1"/>
    <m/>
    <m/>
    <n v="8079.999999999999"/>
    <m/>
    <m/>
    <m/>
    <m/>
    <m/>
  </r>
  <r>
    <x v="185"/>
    <s v="수"/>
    <x v="4"/>
    <m/>
    <m/>
    <m/>
    <x v="1"/>
    <m/>
    <m/>
    <n v="9570"/>
    <m/>
    <m/>
    <m/>
    <m/>
    <m/>
  </r>
  <r>
    <x v="186"/>
    <s v="목"/>
    <x v="4"/>
    <m/>
    <m/>
    <m/>
    <x v="1"/>
    <m/>
    <m/>
    <n v="4420"/>
    <m/>
    <m/>
    <m/>
    <m/>
    <m/>
  </r>
  <r>
    <x v="187"/>
    <s v="금"/>
    <x v="4"/>
    <m/>
    <m/>
    <m/>
    <x v="1"/>
    <m/>
    <m/>
    <n v="5480"/>
    <m/>
    <m/>
    <m/>
    <m/>
    <m/>
  </r>
  <r>
    <x v="188"/>
    <s v="토"/>
    <x v="4"/>
    <m/>
    <m/>
    <m/>
    <x v="1"/>
    <m/>
    <m/>
    <n v="3940"/>
    <m/>
    <m/>
    <m/>
    <m/>
    <m/>
  </r>
  <r>
    <x v="189"/>
    <s v="일"/>
    <x v="4"/>
    <m/>
    <m/>
    <m/>
    <x v="1"/>
    <m/>
    <m/>
    <n v="2320"/>
    <m/>
    <m/>
    <m/>
    <m/>
    <m/>
  </r>
  <r>
    <x v="190"/>
    <s v="월"/>
    <x v="4"/>
    <m/>
    <m/>
    <m/>
    <x v="1"/>
    <m/>
    <m/>
    <n v="8500"/>
    <m/>
    <m/>
    <m/>
    <m/>
    <m/>
  </r>
  <r>
    <x v="191"/>
    <s v="화"/>
    <x v="4"/>
    <m/>
    <m/>
    <m/>
    <x v="1"/>
    <m/>
    <m/>
    <n v="8900"/>
    <m/>
    <m/>
    <m/>
    <m/>
    <m/>
  </r>
  <r>
    <x v="192"/>
    <s v="수"/>
    <x v="4"/>
    <m/>
    <m/>
    <m/>
    <x v="1"/>
    <m/>
    <m/>
    <n v="6989.999999999999"/>
    <m/>
    <m/>
    <m/>
    <m/>
    <m/>
  </r>
  <r>
    <x v="193"/>
    <s v="목"/>
    <x v="4"/>
    <m/>
    <m/>
    <m/>
    <x v="1"/>
    <m/>
    <m/>
    <n v="8630"/>
    <m/>
    <m/>
    <m/>
    <m/>
    <m/>
  </r>
  <r>
    <x v="194"/>
    <s v="금"/>
    <x v="4"/>
    <m/>
    <m/>
    <m/>
    <x v="1"/>
    <m/>
    <m/>
    <n v="7609.999999999999"/>
    <m/>
    <m/>
    <m/>
    <m/>
    <m/>
  </r>
  <r>
    <x v="195"/>
    <s v="토"/>
    <x v="4"/>
    <m/>
    <m/>
    <m/>
    <x v="1"/>
    <m/>
    <m/>
    <n v="13190"/>
    <m/>
    <m/>
    <m/>
    <m/>
    <m/>
  </r>
  <r>
    <x v="196"/>
    <s v="일"/>
    <x v="4"/>
    <m/>
    <m/>
    <m/>
    <x v="1"/>
    <m/>
    <m/>
    <n v="11770"/>
    <m/>
    <m/>
    <m/>
    <m/>
    <m/>
  </r>
  <r>
    <x v="197"/>
    <s v="월"/>
    <x v="4"/>
    <m/>
    <m/>
    <m/>
    <x v="1"/>
    <m/>
    <m/>
    <n v="10740"/>
    <m/>
    <m/>
    <m/>
    <m/>
    <m/>
  </r>
  <r>
    <x v="198"/>
    <s v="화"/>
    <x v="4"/>
    <m/>
    <m/>
    <m/>
    <x v="1"/>
    <m/>
    <m/>
    <n v="10970"/>
    <m/>
    <m/>
    <m/>
    <m/>
    <m/>
  </r>
  <r>
    <x v="199"/>
    <s v="수"/>
    <x v="4"/>
    <m/>
    <m/>
    <m/>
    <x v="1"/>
    <m/>
    <m/>
    <n v="9000"/>
    <m/>
    <m/>
    <m/>
    <m/>
    <m/>
  </r>
  <r>
    <x v="200"/>
    <s v="목"/>
    <x v="4"/>
    <m/>
    <m/>
    <m/>
    <x v="1"/>
    <m/>
    <m/>
    <n v="7279.999999999999"/>
    <m/>
    <m/>
    <m/>
    <m/>
    <m/>
  </r>
  <r>
    <x v="201"/>
    <s v="금"/>
    <x v="4"/>
    <m/>
    <m/>
    <m/>
    <x v="1"/>
    <m/>
    <m/>
    <n v="5669.999999999999"/>
    <m/>
    <m/>
    <m/>
    <m/>
    <m/>
  </r>
  <r>
    <x v="202"/>
    <s v="토"/>
    <x v="4"/>
    <m/>
    <m/>
    <m/>
    <x v="1"/>
    <m/>
    <m/>
    <n v="979.9999999999999"/>
    <m/>
    <m/>
    <m/>
    <m/>
    <m/>
  </r>
  <r>
    <x v="203"/>
    <s v="일"/>
    <x v="4"/>
    <m/>
    <m/>
    <m/>
    <x v="1"/>
    <m/>
    <m/>
    <n v="8690"/>
    <m/>
    <m/>
    <m/>
    <m/>
    <m/>
  </r>
  <r>
    <x v="204"/>
    <s v="월"/>
    <x v="4"/>
    <m/>
    <m/>
    <m/>
    <x v="1"/>
    <m/>
    <m/>
    <n v="9350"/>
    <m/>
    <m/>
    <m/>
    <m/>
    <m/>
  </r>
  <r>
    <x v="205"/>
    <s v="화"/>
    <x v="4"/>
    <m/>
    <m/>
    <m/>
    <x v="1"/>
    <m/>
    <m/>
    <n v="3470"/>
    <m/>
    <m/>
    <m/>
    <m/>
    <m/>
  </r>
  <r>
    <x v="206"/>
    <s v="수"/>
    <x v="4"/>
    <m/>
    <m/>
    <m/>
    <x v="1"/>
    <m/>
    <m/>
    <n v="0"/>
    <m/>
    <m/>
    <m/>
    <m/>
    <m/>
  </r>
  <r>
    <x v="207"/>
    <s v="목"/>
    <x v="4"/>
    <m/>
    <m/>
    <m/>
    <x v="1"/>
    <m/>
    <m/>
    <n v="0"/>
    <m/>
    <m/>
    <m/>
    <m/>
    <m/>
  </r>
  <r>
    <x v="208"/>
    <s v="금"/>
    <x v="4"/>
    <m/>
    <m/>
    <m/>
    <x v="1"/>
    <m/>
    <m/>
    <n v="0"/>
    <m/>
    <m/>
    <m/>
    <m/>
    <m/>
  </r>
  <r>
    <x v="209"/>
    <s v="토"/>
    <x v="4"/>
    <m/>
    <m/>
    <m/>
    <x v="1"/>
    <m/>
    <m/>
    <n v="0"/>
    <m/>
    <m/>
    <m/>
    <m/>
    <m/>
  </r>
  <r>
    <x v="210"/>
    <s v="일"/>
    <x v="4"/>
    <m/>
    <m/>
    <m/>
    <x v="1"/>
    <m/>
    <m/>
    <n v="0"/>
    <m/>
    <m/>
    <m/>
    <m/>
    <m/>
  </r>
  <r>
    <x v="211"/>
    <s v="월"/>
    <x v="4"/>
    <m/>
    <m/>
    <m/>
    <x v="1"/>
    <m/>
    <m/>
    <n v="27420"/>
    <m/>
    <m/>
    <m/>
    <m/>
    <m/>
  </r>
  <r>
    <x v="212"/>
    <s v="화"/>
    <x v="4"/>
    <m/>
    <m/>
    <m/>
    <x v="1"/>
    <m/>
    <m/>
    <n v="39310"/>
    <m/>
    <m/>
    <m/>
    <m/>
    <m/>
  </r>
  <r>
    <x v="213"/>
    <s v="수"/>
    <x v="4"/>
    <m/>
    <m/>
    <m/>
    <x v="1"/>
    <m/>
    <m/>
    <n v="33100"/>
    <m/>
    <m/>
    <m/>
    <m/>
    <m/>
  </r>
  <r>
    <x v="214"/>
    <s v="목"/>
    <x v="4"/>
    <m/>
    <m/>
    <m/>
    <x v="1"/>
    <m/>
    <m/>
    <n v="33280"/>
    <m/>
    <m/>
    <m/>
    <m/>
    <m/>
  </r>
  <r>
    <x v="215"/>
    <s v="금"/>
    <x v="4"/>
    <m/>
    <m/>
    <m/>
    <x v="1"/>
    <m/>
    <m/>
    <n v="46069.99999999999"/>
    <m/>
    <m/>
    <m/>
    <m/>
    <m/>
  </r>
  <r>
    <x v="216"/>
    <s v="토"/>
    <x v="4"/>
    <m/>
    <m/>
    <m/>
    <x v="1"/>
    <m/>
    <m/>
    <n v="59419.99999999999"/>
    <m/>
    <m/>
    <m/>
    <m/>
    <m/>
  </r>
  <r>
    <x v="217"/>
    <s v="일"/>
    <x v="4"/>
    <m/>
    <m/>
    <m/>
    <x v="1"/>
    <m/>
    <m/>
    <n v="65409.99999999999"/>
    <m/>
    <m/>
    <m/>
    <m/>
    <m/>
  </r>
  <r>
    <x v="218"/>
    <s v="월"/>
    <x v="4"/>
    <m/>
    <m/>
    <m/>
    <x v="1"/>
    <m/>
    <m/>
    <n v="36550"/>
    <m/>
    <m/>
    <m/>
    <m/>
    <m/>
  </r>
  <r>
    <x v="219"/>
    <s v="화"/>
    <x v="4"/>
    <m/>
    <m/>
    <m/>
    <x v="1"/>
    <m/>
    <m/>
    <n v="104360"/>
    <m/>
    <m/>
    <m/>
    <m/>
    <m/>
  </r>
  <r>
    <x v="220"/>
    <s v="수"/>
    <x v="4"/>
    <m/>
    <m/>
    <m/>
    <x v="1"/>
    <m/>
    <m/>
    <n v="69570"/>
    <m/>
    <m/>
    <m/>
    <m/>
    <m/>
  </r>
  <r>
    <x v="221"/>
    <s v="목"/>
    <x v="4"/>
    <m/>
    <m/>
    <m/>
    <x v="1"/>
    <m/>
    <m/>
    <n v="82180"/>
    <m/>
    <m/>
    <m/>
    <m/>
    <m/>
  </r>
  <r>
    <x v="222"/>
    <s v="금"/>
    <x v="4"/>
    <m/>
    <m/>
    <m/>
    <x v="1"/>
    <m/>
    <m/>
    <n v="124320"/>
    <m/>
    <m/>
    <m/>
    <m/>
    <m/>
  </r>
  <r>
    <x v="223"/>
    <s v="토"/>
    <x v="4"/>
    <m/>
    <m/>
    <m/>
    <x v="1"/>
    <m/>
    <m/>
    <n v="169150"/>
    <m/>
    <m/>
    <m/>
    <m/>
    <m/>
  </r>
  <r>
    <x v="224"/>
    <s v="일"/>
    <x v="4"/>
    <m/>
    <m/>
    <m/>
    <x v="1"/>
    <m/>
    <m/>
    <n v="176000"/>
    <m/>
    <m/>
    <m/>
    <m/>
    <m/>
  </r>
  <r>
    <x v="225"/>
    <s v="월"/>
    <x v="4"/>
    <m/>
    <m/>
    <m/>
    <x v="1"/>
    <m/>
    <m/>
    <n v="102160"/>
    <m/>
    <m/>
    <m/>
    <m/>
    <m/>
  </r>
  <r>
    <x v="226"/>
    <s v="화"/>
    <x v="4"/>
    <m/>
    <m/>
    <m/>
    <x v="1"/>
    <m/>
    <m/>
    <n v="90070"/>
    <m/>
    <m/>
    <m/>
    <m/>
    <m/>
  </r>
  <r>
    <x v="227"/>
    <s v="수"/>
    <x v="4"/>
    <m/>
    <m/>
    <m/>
    <x v="1"/>
    <m/>
    <m/>
    <n v="141470"/>
    <m/>
    <m/>
    <m/>
    <m/>
    <m/>
  </r>
  <r>
    <x v="228"/>
    <s v="목"/>
    <x v="4"/>
    <m/>
    <m/>
    <m/>
    <x v="1"/>
    <m/>
    <m/>
    <n v="90050"/>
    <m/>
    <m/>
    <m/>
    <m/>
    <m/>
  </r>
  <r>
    <x v="229"/>
    <s v="금"/>
    <x v="4"/>
    <m/>
    <m/>
    <m/>
    <x v="1"/>
    <m/>
    <m/>
    <n v="34830"/>
    <m/>
    <m/>
    <m/>
    <m/>
    <m/>
  </r>
  <r>
    <x v="230"/>
    <s v="토"/>
    <x v="4"/>
    <m/>
    <m/>
    <m/>
    <x v="1"/>
    <m/>
    <m/>
    <n v="7999.999999999999"/>
    <m/>
    <m/>
    <m/>
    <m/>
    <m/>
  </r>
  <r>
    <x v="231"/>
    <s v="일"/>
    <x v="4"/>
    <m/>
    <m/>
    <m/>
    <x v="1"/>
    <m/>
    <m/>
    <n v="11330"/>
    <m/>
    <m/>
    <m/>
    <m/>
    <m/>
  </r>
  <r>
    <x v="232"/>
    <s v="월"/>
    <x v="4"/>
    <m/>
    <m/>
    <m/>
    <x v="1"/>
    <m/>
    <m/>
    <n v="9900"/>
    <m/>
    <m/>
    <m/>
    <m/>
    <m/>
  </r>
  <r>
    <x v="233"/>
    <s v="화"/>
    <x v="4"/>
    <m/>
    <m/>
    <m/>
    <x v="1"/>
    <m/>
    <m/>
    <n v="8350"/>
    <m/>
    <m/>
    <m/>
    <m/>
    <m/>
  </r>
  <r>
    <x v="234"/>
    <s v="수"/>
    <x v="4"/>
    <m/>
    <m/>
    <m/>
    <x v="1"/>
    <m/>
    <m/>
    <n v="8860"/>
    <m/>
    <m/>
    <m/>
    <m/>
    <m/>
  </r>
  <r>
    <x v="235"/>
    <s v="목"/>
    <x v="4"/>
    <m/>
    <m/>
    <m/>
    <x v="1"/>
    <m/>
    <m/>
    <n v="9340"/>
    <m/>
    <m/>
    <m/>
    <m/>
    <m/>
  </r>
  <r>
    <x v="236"/>
    <s v="금"/>
    <x v="4"/>
    <m/>
    <m/>
    <m/>
    <x v="1"/>
    <m/>
    <m/>
    <n v="8069.999999999999"/>
    <m/>
    <m/>
    <m/>
    <m/>
    <m/>
  </r>
  <r>
    <x v="237"/>
    <s v="토"/>
    <x v="4"/>
    <m/>
    <m/>
    <m/>
    <x v="1"/>
    <m/>
    <m/>
    <n v="8189.999999999999"/>
    <m/>
    <m/>
    <m/>
    <m/>
    <m/>
  </r>
  <r>
    <x v="238"/>
    <s v="일"/>
    <x v="4"/>
    <m/>
    <m/>
    <m/>
    <x v="1"/>
    <m/>
    <m/>
    <n v="8360"/>
    <m/>
    <m/>
    <m/>
    <m/>
    <m/>
  </r>
  <r>
    <x v="239"/>
    <s v="월"/>
    <x v="4"/>
    <m/>
    <m/>
    <m/>
    <x v="1"/>
    <m/>
    <m/>
    <n v="9080"/>
    <m/>
    <m/>
    <m/>
    <m/>
    <m/>
  </r>
  <r>
    <x v="240"/>
    <s v="화"/>
    <x v="4"/>
    <m/>
    <m/>
    <m/>
    <x v="1"/>
    <m/>
    <m/>
    <n v="8179.999999999999"/>
    <m/>
    <m/>
    <m/>
    <m/>
    <m/>
  </r>
  <r>
    <x v="241"/>
    <s v="수"/>
    <x v="4"/>
    <m/>
    <m/>
    <m/>
    <x v="1"/>
    <m/>
    <m/>
    <n v="9590"/>
    <m/>
    <m/>
    <m/>
    <m/>
    <m/>
  </r>
  <r>
    <x v="242"/>
    <s v="목"/>
    <x v="4"/>
    <m/>
    <m/>
    <m/>
    <x v="1"/>
    <m/>
    <m/>
    <n v="11470"/>
    <m/>
    <m/>
    <m/>
    <m/>
    <m/>
  </r>
  <r>
    <x v="243"/>
    <s v="금"/>
    <x v="4"/>
    <m/>
    <m/>
    <m/>
    <x v="1"/>
    <m/>
    <m/>
    <n v="8400"/>
    <m/>
    <m/>
    <m/>
    <m/>
    <m/>
  </r>
  <r>
    <x v="244"/>
    <s v="토"/>
    <x v="4"/>
    <m/>
    <m/>
    <m/>
    <x v="1"/>
    <m/>
    <m/>
    <n v="8139.999999999999"/>
    <m/>
    <m/>
    <m/>
    <m/>
    <m/>
  </r>
  <r>
    <x v="245"/>
    <s v="일"/>
    <x v="4"/>
    <m/>
    <m/>
    <m/>
    <x v="1"/>
    <m/>
    <m/>
    <n v="9040"/>
    <m/>
    <m/>
    <m/>
    <m/>
    <m/>
  </r>
  <r>
    <x v="246"/>
    <s v="월"/>
    <x v="4"/>
    <m/>
    <m/>
    <m/>
    <x v="1"/>
    <m/>
    <m/>
    <n v="9880"/>
    <m/>
    <m/>
    <m/>
    <m/>
    <m/>
  </r>
  <r>
    <x v="247"/>
    <s v="화"/>
    <x v="4"/>
    <m/>
    <m/>
    <m/>
    <x v="1"/>
    <m/>
    <m/>
    <n v="9150"/>
    <m/>
    <m/>
    <m/>
    <m/>
    <m/>
  </r>
  <r>
    <x v="248"/>
    <s v="수"/>
    <x v="4"/>
    <m/>
    <m/>
    <m/>
    <x v="1"/>
    <m/>
    <m/>
    <n v="9960"/>
    <m/>
    <m/>
    <m/>
    <m/>
    <m/>
  </r>
  <r>
    <x v="249"/>
    <s v="목"/>
    <x v="4"/>
    <m/>
    <m/>
    <m/>
    <x v="1"/>
    <m/>
    <m/>
    <n v="8420"/>
    <m/>
    <m/>
    <m/>
    <m/>
    <m/>
  </r>
  <r>
    <x v="250"/>
    <s v="금"/>
    <x v="4"/>
    <m/>
    <m/>
    <m/>
    <x v="1"/>
    <m/>
    <m/>
    <n v="8049.999999999999"/>
    <m/>
    <m/>
    <m/>
    <m/>
    <m/>
  </r>
  <r>
    <x v="251"/>
    <s v="토"/>
    <x v="4"/>
    <m/>
    <m/>
    <m/>
    <x v="1"/>
    <m/>
    <m/>
    <n v="8630"/>
    <m/>
    <m/>
    <m/>
    <m/>
    <m/>
  </r>
  <r>
    <x v="252"/>
    <s v="일"/>
    <x v="4"/>
    <m/>
    <m/>
    <m/>
    <x v="1"/>
    <m/>
    <m/>
    <n v="8189.999999999999"/>
    <m/>
    <m/>
    <m/>
    <m/>
    <m/>
  </r>
  <r>
    <x v="253"/>
    <s v="월"/>
    <x v="4"/>
    <m/>
    <m/>
    <m/>
    <x v="1"/>
    <m/>
    <m/>
    <n v="8370"/>
    <m/>
    <m/>
    <m/>
    <m/>
    <m/>
  </r>
  <r>
    <x v="254"/>
    <s v="화"/>
    <x v="4"/>
    <m/>
    <m/>
    <m/>
    <x v="1"/>
    <m/>
    <m/>
    <n v="9940"/>
    <m/>
    <m/>
    <m/>
    <m/>
    <m/>
  </r>
  <r>
    <x v="255"/>
    <s v="수"/>
    <x v="4"/>
    <m/>
    <m/>
    <m/>
    <x v="1"/>
    <m/>
    <m/>
    <n v="8880"/>
    <m/>
    <m/>
    <m/>
    <m/>
    <m/>
  </r>
  <r>
    <x v="256"/>
    <s v="목"/>
    <x v="4"/>
    <m/>
    <m/>
    <m/>
    <x v="1"/>
    <m/>
    <m/>
    <n v="10100"/>
    <m/>
    <m/>
    <m/>
    <m/>
    <m/>
  </r>
  <r>
    <x v="257"/>
    <s v="금"/>
    <x v="4"/>
    <m/>
    <m/>
    <m/>
    <x v="1"/>
    <m/>
    <m/>
    <n v="8640"/>
    <m/>
    <m/>
    <m/>
    <m/>
    <m/>
  </r>
  <r>
    <x v="258"/>
    <s v="토"/>
    <x v="4"/>
    <m/>
    <m/>
    <m/>
    <x v="1"/>
    <m/>
    <m/>
    <n v="8009.999999999999"/>
    <m/>
    <m/>
    <m/>
    <m/>
    <m/>
  </r>
  <r>
    <x v="259"/>
    <s v="일"/>
    <x v="4"/>
    <m/>
    <m/>
    <m/>
    <x v="1"/>
    <m/>
    <m/>
    <n v="0"/>
    <m/>
    <m/>
    <m/>
    <m/>
    <m/>
  </r>
  <r>
    <x v="260"/>
    <s v="월"/>
    <x v="4"/>
    <m/>
    <m/>
    <m/>
    <x v="1"/>
    <m/>
    <m/>
    <n v="0"/>
    <m/>
    <m/>
    <m/>
    <m/>
    <m/>
  </r>
  <r>
    <x v="261"/>
    <s v="화"/>
    <x v="4"/>
    <m/>
    <m/>
    <m/>
    <x v="1"/>
    <m/>
    <m/>
    <n v="0"/>
    <m/>
    <m/>
    <m/>
    <m/>
    <m/>
  </r>
  <r>
    <x v="58"/>
    <s v="화"/>
    <x v="1"/>
    <m/>
    <m/>
    <m/>
    <x v="1"/>
    <m/>
    <m/>
    <n v="20000"/>
    <m/>
    <m/>
    <m/>
    <m/>
    <m/>
  </r>
  <r>
    <x v="59"/>
    <s v="수"/>
    <x v="1"/>
    <m/>
    <m/>
    <m/>
    <x v="1"/>
    <m/>
    <m/>
    <n v="20000"/>
    <m/>
    <m/>
    <m/>
    <m/>
    <m/>
  </r>
  <r>
    <x v="60"/>
    <s v="목"/>
    <x v="1"/>
    <m/>
    <m/>
    <m/>
    <x v="1"/>
    <m/>
    <m/>
    <n v="20000"/>
    <m/>
    <m/>
    <m/>
    <m/>
    <m/>
  </r>
  <r>
    <x v="61"/>
    <s v="금"/>
    <x v="1"/>
    <m/>
    <m/>
    <m/>
    <x v="1"/>
    <m/>
    <m/>
    <n v="20000"/>
    <m/>
    <m/>
    <m/>
    <m/>
    <m/>
  </r>
  <r>
    <x v="62"/>
    <s v="토"/>
    <x v="1"/>
    <m/>
    <m/>
    <m/>
    <x v="1"/>
    <m/>
    <m/>
    <n v="20000"/>
    <m/>
    <m/>
    <m/>
    <m/>
    <m/>
  </r>
  <r>
    <x v="63"/>
    <s v="일"/>
    <x v="1"/>
    <m/>
    <m/>
    <m/>
    <x v="1"/>
    <m/>
    <m/>
    <n v="20000"/>
    <m/>
    <m/>
    <m/>
    <m/>
    <m/>
  </r>
  <r>
    <x v="64"/>
    <s v="월"/>
    <x v="1"/>
    <m/>
    <m/>
    <m/>
    <x v="1"/>
    <m/>
    <m/>
    <n v="20000"/>
    <m/>
    <m/>
    <m/>
    <m/>
    <m/>
  </r>
  <r>
    <x v="65"/>
    <s v="화"/>
    <x v="1"/>
    <m/>
    <m/>
    <m/>
    <x v="1"/>
    <m/>
    <m/>
    <n v="20000"/>
    <m/>
    <m/>
    <m/>
    <m/>
    <m/>
  </r>
  <r>
    <x v="66"/>
    <s v="수"/>
    <x v="1"/>
    <m/>
    <m/>
    <m/>
    <x v="1"/>
    <m/>
    <m/>
    <n v="20000"/>
    <m/>
    <m/>
    <m/>
    <m/>
    <m/>
  </r>
  <r>
    <x v="67"/>
    <s v="목"/>
    <x v="1"/>
    <m/>
    <m/>
    <m/>
    <x v="1"/>
    <m/>
    <m/>
    <n v="20000"/>
    <m/>
    <m/>
    <m/>
    <m/>
    <m/>
  </r>
  <r>
    <x v="68"/>
    <s v="금"/>
    <x v="1"/>
    <m/>
    <m/>
    <m/>
    <x v="1"/>
    <m/>
    <m/>
    <n v="20000"/>
    <m/>
    <m/>
    <m/>
    <m/>
    <m/>
  </r>
  <r>
    <x v="69"/>
    <s v="토"/>
    <x v="1"/>
    <m/>
    <m/>
    <m/>
    <x v="1"/>
    <m/>
    <m/>
    <n v="20000"/>
    <m/>
    <m/>
    <m/>
    <m/>
    <m/>
  </r>
  <r>
    <x v="70"/>
    <s v="일"/>
    <x v="1"/>
    <m/>
    <m/>
    <m/>
    <x v="1"/>
    <m/>
    <m/>
    <n v="20000"/>
    <m/>
    <m/>
    <m/>
    <m/>
    <m/>
  </r>
  <r>
    <x v="71"/>
    <s v="월"/>
    <x v="1"/>
    <m/>
    <m/>
    <m/>
    <x v="1"/>
    <m/>
    <m/>
    <n v="20000"/>
    <m/>
    <m/>
    <m/>
    <m/>
    <m/>
  </r>
  <r>
    <x v="72"/>
    <s v="화"/>
    <x v="1"/>
    <m/>
    <m/>
    <m/>
    <x v="1"/>
    <m/>
    <m/>
    <n v="20000"/>
    <m/>
    <m/>
    <m/>
    <m/>
    <m/>
  </r>
  <r>
    <x v="73"/>
    <s v="수"/>
    <x v="1"/>
    <m/>
    <m/>
    <m/>
    <x v="1"/>
    <m/>
    <m/>
    <n v="20000"/>
    <m/>
    <m/>
    <m/>
    <m/>
    <m/>
  </r>
  <r>
    <x v="74"/>
    <s v="목"/>
    <x v="1"/>
    <m/>
    <m/>
    <m/>
    <x v="1"/>
    <m/>
    <m/>
    <n v="20000"/>
    <m/>
    <m/>
    <m/>
    <m/>
    <m/>
  </r>
  <r>
    <x v="75"/>
    <s v="금"/>
    <x v="1"/>
    <m/>
    <m/>
    <m/>
    <x v="1"/>
    <m/>
    <m/>
    <n v="20000"/>
    <m/>
    <m/>
    <m/>
    <m/>
    <m/>
  </r>
  <r>
    <x v="76"/>
    <s v="토"/>
    <x v="1"/>
    <m/>
    <m/>
    <m/>
    <x v="1"/>
    <m/>
    <m/>
    <n v="20000"/>
    <m/>
    <m/>
    <m/>
    <m/>
    <m/>
  </r>
  <r>
    <x v="77"/>
    <s v="일"/>
    <x v="1"/>
    <m/>
    <m/>
    <m/>
    <x v="1"/>
    <m/>
    <m/>
    <n v="20000"/>
    <m/>
    <m/>
    <m/>
    <m/>
    <m/>
  </r>
  <r>
    <x v="78"/>
    <s v="월"/>
    <x v="1"/>
    <m/>
    <m/>
    <m/>
    <x v="1"/>
    <m/>
    <m/>
    <n v="20000"/>
    <m/>
    <m/>
    <m/>
    <m/>
    <m/>
  </r>
  <r>
    <x v="79"/>
    <s v="화"/>
    <x v="1"/>
    <m/>
    <m/>
    <m/>
    <x v="1"/>
    <m/>
    <m/>
    <n v="20000"/>
    <m/>
    <m/>
    <m/>
    <m/>
    <m/>
  </r>
  <r>
    <x v="80"/>
    <s v="수"/>
    <x v="1"/>
    <m/>
    <m/>
    <m/>
    <x v="1"/>
    <m/>
    <m/>
    <n v="20000"/>
    <m/>
    <m/>
    <m/>
    <m/>
    <m/>
  </r>
  <r>
    <x v="81"/>
    <s v="목"/>
    <x v="1"/>
    <m/>
    <m/>
    <m/>
    <x v="1"/>
    <m/>
    <m/>
    <n v="20000"/>
    <m/>
    <m/>
    <m/>
    <m/>
    <m/>
  </r>
  <r>
    <x v="82"/>
    <s v="금"/>
    <x v="1"/>
    <m/>
    <m/>
    <m/>
    <x v="1"/>
    <m/>
    <m/>
    <n v="20000"/>
    <m/>
    <m/>
    <m/>
    <m/>
    <m/>
  </r>
  <r>
    <x v="83"/>
    <s v="토"/>
    <x v="1"/>
    <m/>
    <m/>
    <m/>
    <x v="1"/>
    <m/>
    <m/>
    <n v="20000"/>
    <m/>
    <m/>
    <m/>
    <m/>
    <m/>
  </r>
  <r>
    <x v="84"/>
    <s v="일"/>
    <x v="1"/>
    <m/>
    <m/>
    <m/>
    <x v="1"/>
    <m/>
    <m/>
    <n v="20000"/>
    <m/>
    <m/>
    <m/>
    <m/>
    <m/>
  </r>
  <r>
    <x v="85"/>
    <s v="월"/>
    <x v="1"/>
    <m/>
    <m/>
    <m/>
    <x v="1"/>
    <m/>
    <m/>
    <n v="20000"/>
    <m/>
    <m/>
    <m/>
    <m/>
    <m/>
  </r>
  <r>
    <x v="86"/>
    <s v="화"/>
    <x v="1"/>
    <m/>
    <m/>
    <m/>
    <x v="1"/>
    <m/>
    <m/>
    <n v="20000"/>
    <m/>
    <m/>
    <m/>
    <m/>
    <m/>
  </r>
  <r>
    <x v="87"/>
    <s v="수"/>
    <x v="1"/>
    <m/>
    <m/>
    <m/>
    <x v="1"/>
    <m/>
    <m/>
    <n v="20000"/>
    <m/>
    <m/>
    <m/>
    <m/>
    <m/>
  </r>
  <r>
    <x v="88"/>
    <s v="목"/>
    <x v="1"/>
    <m/>
    <m/>
    <m/>
    <x v="1"/>
    <m/>
    <m/>
    <n v="20000"/>
    <m/>
    <m/>
    <m/>
    <m/>
    <m/>
  </r>
  <r>
    <x v="89"/>
    <s v="금"/>
    <x v="1"/>
    <m/>
    <m/>
    <m/>
    <x v="1"/>
    <m/>
    <m/>
    <n v="20000"/>
    <m/>
    <m/>
    <m/>
    <m/>
    <m/>
  </r>
  <r>
    <x v="90"/>
    <s v="토"/>
    <x v="1"/>
    <m/>
    <m/>
    <m/>
    <x v="1"/>
    <m/>
    <m/>
    <n v="20000"/>
    <m/>
    <m/>
    <m/>
    <m/>
    <m/>
  </r>
  <r>
    <x v="91"/>
    <s v="일"/>
    <x v="1"/>
    <m/>
    <m/>
    <m/>
    <x v="1"/>
    <m/>
    <m/>
    <n v="20000"/>
    <m/>
    <m/>
    <m/>
    <m/>
    <m/>
  </r>
  <r>
    <x v="92"/>
    <s v="월"/>
    <x v="1"/>
    <m/>
    <m/>
    <m/>
    <x v="1"/>
    <m/>
    <m/>
    <n v="20000"/>
    <m/>
    <m/>
    <m/>
    <m/>
    <m/>
  </r>
  <r>
    <x v="93"/>
    <s v="화"/>
    <x v="1"/>
    <m/>
    <m/>
    <m/>
    <x v="1"/>
    <m/>
    <m/>
    <n v="20000"/>
    <m/>
    <m/>
    <m/>
    <m/>
    <m/>
  </r>
  <r>
    <x v="94"/>
    <s v="수"/>
    <x v="1"/>
    <m/>
    <m/>
    <m/>
    <x v="1"/>
    <m/>
    <m/>
    <n v="20000"/>
    <m/>
    <m/>
    <m/>
    <m/>
    <m/>
  </r>
  <r>
    <x v="95"/>
    <s v="목"/>
    <x v="1"/>
    <m/>
    <m/>
    <m/>
    <x v="1"/>
    <m/>
    <m/>
    <n v="20000"/>
    <m/>
    <m/>
    <m/>
    <m/>
    <m/>
  </r>
  <r>
    <x v="96"/>
    <s v="금"/>
    <x v="1"/>
    <m/>
    <m/>
    <m/>
    <x v="1"/>
    <m/>
    <m/>
    <n v="20000"/>
    <m/>
    <m/>
    <m/>
    <m/>
    <m/>
  </r>
  <r>
    <x v="97"/>
    <s v="토"/>
    <x v="1"/>
    <m/>
    <m/>
    <m/>
    <x v="1"/>
    <m/>
    <m/>
    <n v="20000"/>
    <m/>
    <m/>
    <m/>
    <m/>
    <m/>
  </r>
  <r>
    <x v="98"/>
    <s v="일"/>
    <x v="1"/>
    <m/>
    <m/>
    <m/>
    <x v="1"/>
    <m/>
    <m/>
    <n v="20000"/>
    <m/>
    <m/>
    <m/>
    <m/>
    <m/>
  </r>
  <r>
    <x v="99"/>
    <s v="월"/>
    <x v="1"/>
    <m/>
    <m/>
    <m/>
    <x v="1"/>
    <m/>
    <m/>
    <n v="20000"/>
    <m/>
    <m/>
    <m/>
    <m/>
    <m/>
  </r>
  <r>
    <x v="100"/>
    <s v="화"/>
    <x v="1"/>
    <m/>
    <m/>
    <m/>
    <x v="1"/>
    <m/>
    <m/>
    <n v="20000"/>
    <m/>
    <m/>
    <m/>
    <m/>
    <m/>
  </r>
  <r>
    <x v="101"/>
    <s v="수"/>
    <x v="1"/>
    <m/>
    <m/>
    <m/>
    <x v="1"/>
    <m/>
    <m/>
    <n v="20000"/>
    <m/>
    <m/>
    <m/>
    <m/>
    <m/>
  </r>
  <r>
    <x v="102"/>
    <s v="목"/>
    <x v="1"/>
    <m/>
    <m/>
    <m/>
    <x v="1"/>
    <m/>
    <m/>
    <n v="20000"/>
    <m/>
    <m/>
    <m/>
    <m/>
    <m/>
  </r>
  <r>
    <x v="103"/>
    <s v="금"/>
    <x v="1"/>
    <m/>
    <m/>
    <m/>
    <x v="1"/>
    <m/>
    <m/>
    <n v="20000"/>
    <m/>
    <m/>
    <m/>
    <m/>
    <m/>
  </r>
  <r>
    <x v="104"/>
    <s v="토"/>
    <x v="1"/>
    <m/>
    <m/>
    <m/>
    <x v="1"/>
    <m/>
    <m/>
    <n v="20000"/>
    <m/>
    <m/>
    <m/>
    <m/>
    <m/>
  </r>
  <r>
    <x v="105"/>
    <s v="일"/>
    <x v="1"/>
    <m/>
    <m/>
    <m/>
    <x v="1"/>
    <m/>
    <m/>
    <n v="20000"/>
    <m/>
    <m/>
    <m/>
    <m/>
    <m/>
  </r>
  <r>
    <x v="106"/>
    <s v="월"/>
    <x v="1"/>
    <m/>
    <m/>
    <m/>
    <x v="1"/>
    <m/>
    <m/>
    <n v="20000"/>
    <m/>
    <m/>
    <m/>
    <m/>
    <m/>
  </r>
  <r>
    <x v="107"/>
    <s v="화"/>
    <x v="1"/>
    <m/>
    <m/>
    <m/>
    <x v="1"/>
    <m/>
    <m/>
    <n v="20000"/>
    <m/>
    <m/>
    <m/>
    <m/>
    <m/>
  </r>
  <r>
    <x v="108"/>
    <s v="수"/>
    <x v="1"/>
    <m/>
    <m/>
    <m/>
    <x v="1"/>
    <m/>
    <m/>
    <n v="20000"/>
    <m/>
    <m/>
    <m/>
    <m/>
    <m/>
  </r>
  <r>
    <x v="109"/>
    <s v="목"/>
    <x v="1"/>
    <m/>
    <m/>
    <m/>
    <x v="1"/>
    <m/>
    <m/>
    <n v="20000"/>
    <m/>
    <m/>
    <m/>
    <m/>
    <m/>
  </r>
  <r>
    <x v="110"/>
    <s v="금"/>
    <x v="1"/>
    <m/>
    <m/>
    <m/>
    <x v="1"/>
    <m/>
    <m/>
    <n v="20000"/>
    <m/>
    <m/>
    <m/>
    <m/>
    <m/>
  </r>
  <r>
    <x v="111"/>
    <s v="토"/>
    <x v="1"/>
    <m/>
    <m/>
    <m/>
    <x v="1"/>
    <m/>
    <m/>
    <n v="20000"/>
    <m/>
    <m/>
    <m/>
    <m/>
    <m/>
  </r>
  <r>
    <x v="112"/>
    <s v="일"/>
    <x v="1"/>
    <m/>
    <m/>
    <m/>
    <x v="1"/>
    <m/>
    <m/>
    <n v="20000"/>
    <m/>
    <m/>
    <m/>
    <m/>
    <m/>
  </r>
  <r>
    <x v="113"/>
    <s v="월"/>
    <x v="1"/>
    <m/>
    <m/>
    <m/>
    <x v="1"/>
    <m/>
    <m/>
    <n v="20000"/>
    <m/>
    <m/>
    <m/>
    <m/>
    <m/>
  </r>
  <r>
    <x v="114"/>
    <s v="화"/>
    <x v="1"/>
    <m/>
    <m/>
    <m/>
    <x v="1"/>
    <m/>
    <m/>
    <n v="20000"/>
    <m/>
    <m/>
    <m/>
    <m/>
    <m/>
  </r>
  <r>
    <x v="115"/>
    <s v="수"/>
    <x v="1"/>
    <m/>
    <m/>
    <m/>
    <x v="1"/>
    <m/>
    <m/>
    <n v="20000"/>
    <m/>
    <m/>
    <m/>
    <m/>
    <m/>
  </r>
  <r>
    <x v="116"/>
    <s v="목"/>
    <x v="1"/>
    <m/>
    <m/>
    <m/>
    <x v="1"/>
    <m/>
    <m/>
    <n v="20000"/>
    <m/>
    <m/>
    <m/>
    <m/>
    <m/>
  </r>
  <r>
    <x v="117"/>
    <s v="금"/>
    <x v="1"/>
    <m/>
    <m/>
    <m/>
    <x v="1"/>
    <m/>
    <m/>
    <n v="20000"/>
    <m/>
    <m/>
    <m/>
    <m/>
    <m/>
  </r>
  <r>
    <x v="118"/>
    <s v="토"/>
    <x v="1"/>
    <m/>
    <m/>
    <m/>
    <x v="1"/>
    <m/>
    <m/>
    <n v="20000"/>
    <m/>
    <m/>
    <m/>
    <m/>
    <m/>
  </r>
  <r>
    <x v="119"/>
    <s v="일"/>
    <x v="1"/>
    <m/>
    <m/>
    <m/>
    <x v="1"/>
    <m/>
    <m/>
    <n v="20000"/>
    <m/>
    <m/>
    <m/>
    <m/>
    <m/>
  </r>
  <r>
    <x v="120"/>
    <s v="월"/>
    <x v="1"/>
    <m/>
    <m/>
    <m/>
    <x v="1"/>
    <m/>
    <m/>
    <n v="20000"/>
    <m/>
    <m/>
    <m/>
    <m/>
    <m/>
  </r>
  <r>
    <x v="121"/>
    <s v="화"/>
    <x v="1"/>
    <m/>
    <m/>
    <m/>
    <x v="1"/>
    <m/>
    <m/>
    <n v="20000"/>
    <m/>
    <m/>
    <m/>
    <m/>
    <m/>
  </r>
  <r>
    <x v="122"/>
    <s v="수"/>
    <x v="1"/>
    <m/>
    <m/>
    <m/>
    <x v="1"/>
    <m/>
    <m/>
    <n v="20000"/>
    <m/>
    <m/>
    <m/>
    <m/>
    <m/>
  </r>
  <r>
    <x v="123"/>
    <s v="목"/>
    <x v="1"/>
    <m/>
    <m/>
    <m/>
    <x v="1"/>
    <m/>
    <m/>
    <n v="20000"/>
    <m/>
    <m/>
    <m/>
    <m/>
    <m/>
  </r>
  <r>
    <x v="124"/>
    <s v="금"/>
    <x v="1"/>
    <m/>
    <m/>
    <m/>
    <x v="1"/>
    <m/>
    <m/>
    <n v="20000"/>
    <m/>
    <m/>
    <m/>
    <m/>
    <m/>
  </r>
  <r>
    <x v="125"/>
    <s v="토"/>
    <x v="1"/>
    <m/>
    <m/>
    <m/>
    <x v="1"/>
    <m/>
    <m/>
    <n v="20000"/>
    <m/>
    <m/>
    <m/>
    <m/>
    <m/>
  </r>
  <r>
    <x v="126"/>
    <s v="일"/>
    <x v="1"/>
    <m/>
    <m/>
    <m/>
    <x v="1"/>
    <m/>
    <m/>
    <n v="20000"/>
    <m/>
    <m/>
    <m/>
    <m/>
    <m/>
  </r>
  <r>
    <x v="127"/>
    <s v="월"/>
    <x v="1"/>
    <m/>
    <m/>
    <m/>
    <x v="1"/>
    <m/>
    <m/>
    <n v="20000"/>
    <m/>
    <m/>
    <m/>
    <m/>
    <m/>
  </r>
  <r>
    <x v="128"/>
    <s v="화"/>
    <x v="1"/>
    <m/>
    <m/>
    <m/>
    <x v="1"/>
    <m/>
    <m/>
    <n v="20000"/>
    <m/>
    <m/>
    <m/>
    <m/>
    <m/>
  </r>
  <r>
    <x v="129"/>
    <s v="수"/>
    <x v="1"/>
    <m/>
    <m/>
    <m/>
    <x v="1"/>
    <m/>
    <m/>
    <n v="20000"/>
    <m/>
    <m/>
    <m/>
    <m/>
    <m/>
  </r>
  <r>
    <x v="130"/>
    <s v="목"/>
    <x v="1"/>
    <m/>
    <m/>
    <m/>
    <x v="1"/>
    <m/>
    <m/>
    <n v="20000"/>
    <m/>
    <m/>
    <m/>
    <m/>
    <m/>
  </r>
  <r>
    <x v="131"/>
    <s v="금"/>
    <x v="1"/>
    <m/>
    <m/>
    <m/>
    <x v="1"/>
    <m/>
    <m/>
    <n v="20000"/>
    <m/>
    <m/>
    <m/>
    <m/>
    <m/>
  </r>
  <r>
    <x v="132"/>
    <s v="토"/>
    <x v="1"/>
    <m/>
    <m/>
    <m/>
    <x v="1"/>
    <m/>
    <m/>
    <n v="20000"/>
    <m/>
    <m/>
    <m/>
    <m/>
    <m/>
  </r>
  <r>
    <x v="133"/>
    <s v="일"/>
    <x v="1"/>
    <m/>
    <m/>
    <m/>
    <x v="1"/>
    <m/>
    <m/>
    <n v="20000"/>
    <m/>
    <m/>
    <m/>
    <m/>
    <m/>
  </r>
  <r>
    <x v="134"/>
    <s v="월"/>
    <x v="1"/>
    <m/>
    <m/>
    <m/>
    <x v="1"/>
    <m/>
    <m/>
    <n v="20000"/>
    <m/>
    <m/>
    <m/>
    <m/>
    <m/>
  </r>
  <r>
    <x v="135"/>
    <s v="화"/>
    <x v="1"/>
    <m/>
    <m/>
    <m/>
    <x v="1"/>
    <m/>
    <m/>
    <n v="20000"/>
    <m/>
    <m/>
    <m/>
    <m/>
    <m/>
  </r>
  <r>
    <x v="136"/>
    <s v="수"/>
    <x v="1"/>
    <m/>
    <m/>
    <m/>
    <x v="1"/>
    <m/>
    <m/>
    <n v="20000"/>
    <m/>
    <m/>
    <m/>
    <m/>
    <m/>
  </r>
  <r>
    <x v="137"/>
    <s v="목"/>
    <x v="1"/>
    <m/>
    <m/>
    <m/>
    <x v="1"/>
    <m/>
    <m/>
    <n v="20000"/>
    <m/>
    <m/>
    <m/>
    <m/>
    <m/>
  </r>
  <r>
    <x v="138"/>
    <s v="금"/>
    <x v="1"/>
    <m/>
    <m/>
    <m/>
    <x v="1"/>
    <m/>
    <m/>
    <n v="20000"/>
    <m/>
    <m/>
    <m/>
    <m/>
    <m/>
  </r>
  <r>
    <x v="139"/>
    <s v="토"/>
    <x v="1"/>
    <m/>
    <m/>
    <m/>
    <x v="1"/>
    <m/>
    <m/>
    <n v="20000"/>
    <m/>
    <m/>
    <m/>
    <m/>
    <m/>
  </r>
  <r>
    <x v="140"/>
    <s v="일"/>
    <x v="1"/>
    <m/>
    <m/>
    <m/>
    <x v="1"/>
    <m/>
    <m/>
    <n v="20000"/>
    <m/>
    <m/>
    <m/>
    <m/>
    <m/>
  </r>
  <r>
    <x v="141"/>
    <s v="월"/>
    <x v="1"/>
    <m/>
    <m/>
    <m/>
    <x v="1"/>
    <m/>
    <m/>
    <n v="20000"/>
    <m/>
    <m/>
    <m/>
    <m/>
    <m/>
  </r>
  <r>
    <x v="142"/>
    <s v="화"/>
    <x v="1"/>
    <m/>
    <m/>
    <m/>
    <x v="1"/>
    <m/>
    <m/>
    <n v="20000"/>
    <m/>
    <m/>
    <m/>
    <m/>
    <m/>
  </r>
  <r>
    <x v="143"/>
    <s v="수"/>
    <x v="1"/>
    <m/>
    <m/>
    <m/>
    <x v="1"/>
    <m/>
    <m/>
    <n v="20000"/>
    <m/>
    <m/>
    <m/>
    <m/>
    <m/>
  </r>
  <r>
    <x v="144"/>
    <s v="목"/>
    <x v="1"/>
    <m/>
    <m/>
    <m/>
    <x v="1"/>
    <m/>
    <m/>
    <n v="20000"/>
    <m/>
    <m/>
    <m/>
    <m/>
    <m/>
  </r>
  <r>
    <x v="145"/>
    <s v="금"/>
    <x v="1"/>
    <m/>
    <m/>
    <m/>
    <x v="1"/>
    <m/>
    <m/>
    <n v="20000"/>
    <m/>
    <m/>
    <m/>
    <m/>
    <m/>
  </r>
  <r>
    <x v="146"/>
    <s v="토"/>
    <x v="1"/>
    <m/>
    <m/>
    <m/>
    <x v="1"/>
    <m/>
    <m/>
    <n v="20000"/>
    <m/>
    <m/>
    <m/>
    <m/>
    <m/>
  </r>
  <r>
    <x v="147"/>
    <s v="일"/>
    <x v="1"/>
    <m/>
    <m/>
    <m/>
    <x v="1"/>
    <m/>
    <m/>
    <n v="20000"/>
    <m/>
    <m/>
    <m/>
    <m/>
    <m/>
  </r>
  <r>
    <x v="148"/>
    <s v="월"/>
    <x v="1"/>
    <m/>
    <m/>
    <m/>
    <x v="1"/>
    <m/>
    <m/>
    <n v="20000"/>
    <m/>
    <m/>
    <m/>
    <m/>
    <m/>
  </r>
  <r>
    <x v="149"/>
    <s v="화"/>
    <x v="1"/>
    <m/>
    <m/>
    <m/>
    <x v="1"/>
    <m/>
    <m/>
    <n v="20000"/>
    <m/>
    <m/>
    <m/>
    <m/>
    <m/>
  </r>
  <r>
    <x v="150"/>
    <s v="수"/>
    <x v="1"/>
    <m/>
    <m/>
    <m/>
    <x v="1"/>
    <m/>
    <m/>
    <n v="20000"/>
    <m/>
    <m/>
    <m/>
    <m/>
    <m/>
  </r>
  <r>
    <x v="151"/>
    <s v="목"/>
    <x v="1"/>
    <m/>
    <m/>
    <m/>
    <x v="1"/>
    <m/>
    <m/>
    <n v="60000"/>
    <m/>
    <m/>
    <m/>
    <m/>
    <m/>
  </r>
  <r>
    <x v="152"/>
    <s v="금"/>
    <x v="1"/>
    <m/>
    <m/>
    <m/>
    <x v="1"/>
    <m/>
    <m/>
    <n v="60000"/>
    <m/>
    <m/>
    <m/>
    <m/>
    <m/>
  </r>
  <r>
    <x v="153"/>
    <s v="토"/>
    <x v="1"/>
    <m/>
    <m/>
    <m/>
    <x v="1"/>
    <m/>
    <m/>
    <n v="60000"/>
    <m/>
    <m/>
    <m/>
    <m/>
    <m/>
  </r>
  <r>
    <x v="154"/>
    <s v="일"/>
    <x v="1"/>
    <m/>
    <m/>
    <m/>
    <x v="1"/>
    <m/>
    <m/>
    <n v="60000"/>
    <m/>
    <m/>
    <m/>
    <m/>
    <m/>
  </r>
  <r>
    <x v="155"/>
    <s v="월"/>
    <x v="1"/>
    <m/>
    <m/>
    <m/>
    <x v="1"/>
    <m/>
    <m/>
    <n v="60000"/>
    <m/>
    <m/>
    <m/>
    <m/>
    <m/>
  </r>
  <r>
    <x v="156"/>
    <s v="화"/>
    <x v="1"/>
    <m/>
    <m/>
    <m/>
    <x v="1"/>
    <m/>
    <m/>
    <n v="60000"/>
    <m/>
    <m/>
    <m/>
    <m/>
    <m/>
  </r>
  <r>
    <x v="157"/>
    <s v="수"/>
    <x v="1"/>
    <m/>
    <m/>
    <m/>
    <x v="1"/>
    <m/>
    <m/>
    <n v="60000"/>
    <m/>
    <m/>
    <m/>
    <m/>
    <m/>
  </r>
  <r>
    <x v="158"/>
    <s v="목"/>
    <x v="1"/>
    <m/>
    <m/>
    <m/>
    <x v="1"/>
    <m/>
    <m/>
    <n v="60000"/>
    <m/>
    <m/>
    <m/>
    <m/>
    <m/>
  </r>
  <r>
    <x v="159"/>
    <s v="금"/>
    <x v="1"/>
    <m/>
    <m/>
    <m/>
    <x v="1"/>
    <m/>
    <m/>
    <n v="60000"/>
    <m/>
    <m/>
    <m/>
    <m/>
    <m/>
  </r>
  <r>
    <x v="160"/>
    <s v="토"/>
    <x v="1"/>
    <m/>
    <m/>
    <m/>
    <x v="1"/>
    <m/>
    <m/>
    <n v="60000"/>
    <m/>
    <m/>
    <m/>
    <m/>
    <m/>
  </r>
  <r>
    <x v="161"/>
    <s v="일"/>
    <x v="1"/>
    <m/>
    <m/>
    <m/>
    <x v="1"/>
    <m/>
    <m/>
    <n v="60000"/>
    <m/>
    <m/>
    <m/>
    <m/>
    <m/>
  </r>
  <r>
    <x v="162"/>
    <s v="월"/>
    <x v="1"/>
    <m/>
    <m/>
    <m/>
    <x v="1"/>
    <m/>
    <m/>
    <n v="60000"/>
    <m/>
    <m/>
    <m/>
    <m/>
    <m/>
  </r>
  <r>
    <x v="163"/>
    <s v="화"/>
    <x v="1"/>
    <m/>
    <m/>
    <m/>
    <x v="1"/>
    <m/>
    <m/>
    <n v="60000"/>
    <m/>
    <m/>
    <m/>
    <m/>
    <m/>
  </r>
  <r>
    <x v="164"/>
    <s v="수"/>
    <x v="1"/>
    <m/>
    <m/>
    <m/>
    <x v="1"/>
    <m/>
    <m/>
    <n v="60000"/>
    <m/>
    <m/>
    <m/>
    <m/>
    <m/>
  </r>
  <r>
    <x v="165"/>
    <s v="목"/>
    <x v="1"/>
    <m/>
    <m/>
    <m/>
    <x v="1"/>
    <m/>
    <m/>
    <n v="60000"/>
    <m/>
    <m/>
    <m/>
    <m/>
    <m/>
  </r>
  <r>
    <x v="166"/>
    <s v="금"/>
    <x v="1"/>
    <m/>
    <m/>
    <m/>
    <x v="1"/>
    <m/>
    <m/>
    <n v="60000"/>
    <m/>
    <m/>
    <m/>
    <m/>
    <m/>
  </r>
  <r>
    <x v="167"/>
    <s v="토"/>
    <x v="1"/>
    <m/>
    <m/>
    <m/>
    <x v="1"/>
    <m/>
    <m/>
    <n v="60000"/>
    <m/>
    <m/>
    <m/>
    <m/>
    <m/>
  </r>
  <r>
    <x v="168"/>
    <s v="일"/>
    <x v="1"/>
    <m/>
    <m/>
    <m/>
    <x v="1"/>
    <m/>
    <m/>
    <n v="60000"/>
    <m/>
    <m/>
    <m/>
    <m/>
    <m/>
  </r>
  <r>
    <x v="169"/>
    <s v="월"/>
    <x v="1"/>
    <m/>
    <m/>
    <m/>
    <x v="1"/>
    <m/>
    <m/>
    <n v="60000"/>
    <m/>
    <m/>
    <m/>
    <m/>
    <m/>
  </r>
  <r>
    <x v="170"/>
    <s v="화"/>
    <x v="1"/>
    <m/>
    <m/>
    <m/>
    <x v="1"/>
    <m/>
    <m/>
    <n v="60000"/>
    <m/>
    <m/>
    <m/>
    <m/>
    <m/>
  </r>
  <r>
    <x v="171"/>
    <s v="수"/>
    <x v="1"/>
    <m/>
    <m/>
    <m/>
    <x v="1"/>
    <m/>
    <m/>
    <n v="60000"/>
    <m/>
    <m/>
    <m/>
    <m/>
    <m/>
  </r>
  <r>
    <x v="172"/>
    <s v="목"/>
    <x v="1"/>
    <m/>
    <m/>
    <m/>
    <x v="1"/>
    <m/>
    <m/>
    <n v="60000"/>
    <m/>
    <m/>
    <m/>
    <m/>
    <m/>
  </r>
  <r>
    <x v="173"/>
    <s v="금"/>
    <x v="1"/>
    <m/>
    <m/>
    <m/>
    <x v="1"/>
    <m/>
    <m/>
    <n v="60000"/>
    <m/>
    <m/>
    <m/>
    <m/>
    <m/>
  </r>
  <r>
    <x v="174"/>
    <s v="토"/>
    <x v="1"/>
    <m/>
    <m/>
    <m/>
    <x v="1"/>
    <m/>
    <m/>
    <n v="60000"/>
    <m/>
    <m/>
    <m/>
    <m/>
    <m/>
  </r>
  <r>
    <x v="175"/>
    <s v="일"/>
    <x v="1"/>
    <m/>
    <m/>
    <m/>
    <x v="1"/>
    <m/>
    <m/>
    <n v="60000"/>
    <m/>
    <m/>
    <m/>
    <m/>
    <m/>
  </r>
  <r>
    <x v="176"/>
    <s v="월"/>
    <x v="1"/>
    <m/>
    <m/>
    <m/>
    <x v="1"/>
    <m/>
    <m/>
    <n v="60000"/>
    <m/>
    <m/>
    <m/>
    <m/>
    <m/>
  </r>
  <r>
    <x v="177"/>
    <s v="화"/>
    <x v="1"/>
    <m/>
    <m/>
    <m/>
    <x v="1"/>
    <m/>
    <m/>
    <n v="60000"/>
    <m/>
    <m/>
    <m/>
    <m/>
    <m/>
  </r>
  <r>
    <x v="178"/>
    <s v="수"/>
    <x v="1"/>
    <m/>
    <m/>
    <m/>
    <x v="1"/>
    <m/>
    <m/>
    <n v="60000"/>
    <m/>
    <m/>
    <m/>
    <m/>
    <m/>
  </r>
  <r>
    <x v="179"/>
    <s v="목"/>
    <x v="1"/>
    <m/>
    <m/>
    <m/>
    <x v="1"/>
    <m/>
    <m/>
    <n v="60000"/>
    <m/>
    <m/>
    <m/>
    <m/>
    <m/>
  </r>
  <r>
    <x v="180"/>
    <s v="금"/>
    <x v="1"/>
    <m/>
    <m/>
    <m/>
    <x v="1"/>
    <m/>
    <m/>
    <n v="60000"/>
    <m/>
    <m/>
    <m/>
    <m/>
    <m/>
  </r>
  <r>
    <x v="181"/>
    <s v="토"/>
    <x v="1"/>
    <m/>
    <m/>
    <m/>
    <x v="1"/>
    <m/>
    <m/>
    <n v="60000"/>
    <m/>
    <m/>
    <m/>
    <m/>
    <m/>
  </r>
  <r>
    <x v="182"/>
    <s v="일"/>
    <x v="1"/>
    <m/>
    <m/>
    <m/>
    <x v="1"/>
    <m/>
    <m/>
    <n v="60000"/>
    <m/>
    <m/>
    <m/>
    <m/>
    <m/>
  </r>
  <r>
    <x v="183"/>
    <s v="월"/>
    <x v="1"/>
    <m/>
    <m/>
    <m/>
    <x v="1"/>
    <m/>
    <m/>
    <n v="60000"/>
    <m/>
    <m/>
    <m/>
    <m/>
    <m/>
  </r>
  <r>
    <x v="184"/>
    <s v="화"/>
    <x v="1"/>
    <m/>
    <m/>
    <m/>
    <x v="1"/>
    <m/>
    <m/>
    <n v="60000"/>
    <m/>
    <m/>
    <m/>
    <m/>
    <m/>
  </r>
  <r>
    <x v="185"/>
    <s v="수"/>
    <x v="1"/>
    <m/>
    <m/>
    <m/>
    <x v="1"/>
    <m/>
    <m/>
    <n v="60000"/>
    <m/>
    <m/>
    <m/>
    <m/>
    <m/>
  </r>
  <r>
    <x v="186"/>
    <s v="목"/>
    <x v="1"/>
    <m/>
    <m/>
    <m/>
    <x v="1"/>
    <m/>
    <m/>
    <n v="60000"/>
    <m/>
    <m/>
    <m/>
    <m/>
    <m/>
  </r>
  <r>
    <x v="187"/>
    <s v="금"/>
    <x v="1"/>
    <m/>
    <m/>
    <m/>
    <x v="1"/>
    <m/>
    <m/>
    <n v="60000"/>
    <m/>
    <m/>
    <m/>
    <m/>
    <m/>
  </r>
  <r>
    <x v="188"/>
    <s v="토"/>
    <x v="1"/>
    <m/>
    <m/>
    <m/>
    <x v="1"/>
    <m/>
    <m/>
    <n v="60000"/>
    <m/>
    <m/>
    <m/>
    <m/>
    <m/>
  </r>
  <r>
    <x v="189"/>
    <s v="일"/>
    <x v="1"/>
    <m/>
    <m/>
    <m/>
    <x v="1"/>
    <m/>
    <m/>
    <n v="60000"/>
    <m/>
    <m/>
    <m/>
    <m/>
    <m/>
  </r>
  <r>
    <x v="190"/>
    <s v="월"/>
    <x v="1"/>
    <m/>
    <m/>
    <m/>
    <x v="1"/>
    <m/>
    <m/>
    <n v="60000"/>
    <m/>
    <m/>
    <m/>
    <m/>
    <m/>
  </r>
  <r>
    <x v="191"/>
    <s v="화"/>
    <x v="1"/>
    <m/>
    <m/>
    <m/>
    <x v="1"/>
    <m/>
    <m/>
    <n v="60000"/>
    <m/>
    <m/>
    <m/>
    <m/>
    <m/>
  </r>
  <r>
    <x v="192"/>
    <s v="수"/>
    <x v="1"/>
    <m/>
    <m/>
    <m/>
    <x v="1"/>
    <m/>
    <m/>
    <n v="60000"/>
    <m/>
    <m/>
    <m/>
    <m/>
    <m/>
  </r>
  <r>
    <x v="193"/>
    <s v="목"/>
    <x v="1"/>
    <m/>
    <m/>
    <m/>
    <x v="1"/>
    <m/>
    <m/>
    <n v="60000"/>
    <m/>
    <m/>
    <m/>
    <m/>
    <m/>
  </r>
  <r>
    <x v="194"/>
    <s v="금"/>
    <x v="1"/>
    <m/>
    <m/>
    <m/>
    <x v="1"/>
    <m/>
    <m/>
    <n v="60000"/>
    <m/>
    <m/>
    <m/>
    <m/>
    <m/>
  </r>
  <r>
    <x v="195"/>
    <s v="토"/>
    <x v="1"/>
    <m/>
    <m/>
    <m/>
    <x v="1"/>
    <m/>
    <m/>
    <n v="60000"/>
    <m/>
    <m/>
    <m/>
    <m/>
    <m/>
  </r>
  <r>
    <x v="196"/>
    <s v="일"/>
    <x v="1"/>
    <m/>
    <m/>
    <m/>
    <x v="1"/>
    <m/>
    <m/>
    <n v="60000"/>
    <m/>
    <m/>
    <m/>
    <m/>
    <m/>
  </r>
  <r>
    <x v="197"/>
    <s v="월"/>
    <x v="1"/>
    <m/>
    <m/>
    <m/>
    <x v="1"/>
    <m/>
    <m/>
    <n v="60000"/>
    <m/>
    <m/>
    <m/>
    <m/>
    <m/>
  </r>
  <r>
    <x v="198"/>
    <s v="화"/>
    <x v="1"/>
    <m/>
    <m/>
    <m/>
    <x v="1"/>
    <m/>
    <m/>
    <n v="60000"/>
    <m/>
    <m/>
    <m/>
    <m/>
    <m/>
  </r>
  <r>
    <x v="199"/>
    <s v="수"/>
    <x v="1"/>
    <m/>
    <m/>
    <m/>
    <x v="1"/>
    <m/>
    <m/>
    <n v="60000"/>
    <m/>
    <m/>
    <m/>
    <m/>
    <m/>
  </r>
  <r>
    <x v="200"/>
    <s v="목"/>
    <x v="1"/>
    <m/>
    <m/>
    <m/>
    <x v="1"/>
    <m/>
    <m/>
    <n v="60000"/>
    <m/>
    <m/>
    <m/>
    <m/>
    <m/>
  </r>
  <r>
    <x v="201"/>
    <s v="금"/>
    <x v="1"/>
    <m/>
    <m/>
    <m/>
    <x v="1"/>
    <m/>
    <m/>
    <n v="60000"/>
    <m/>
    <m/>
    <m/>
    <m/>
    <m/>
  </r>
  <r>
    <x v="202"/>
    <s v="토"/>
    <x v="1"/>
    <m/>
    <m/>
    <m/>
    <x v="1"/>
    <m/>
    <m/>
    <n v="60000"/>
    <m/>
    <m/>
    <m/>
    <m/>
    <m/>
  </r>
  <r>
    <x v="203"/>
    <s v="일"/>
    <x v="1"/>
    <m/>
    <m/>
    <m/>
    <x v="1"/>
    <m/>
    <m/>
    <n v="60000"/>
    <m/>
    <m/>
    <m/>
    <m/>
    <m/>
  </r>
  <r>
    <x v="204"/>
    <s v="월"/>
    <x v="1"/>
    <m/>
    <m/>
    <m/>
    <x v="1"/>
    <m/>
    <m/>
    <n v="60000"/>
    <m/>
    <m/>
    <m/>
    <m/>
    <m/>
  </r>
  <r>
    <x v="205"/>
    <s v="화"/>
    <x v="1"/>
    <m/>
    <m/>
    <m/>
    <x v="1"/>
    <m/>
    <m/>
    <n v="60000"/>
    <m/>
    <m/>
    <m/>
    <m/>
    <m/>
  </r>
  <r>
    <x v="206"/>
    <s v="수"/>
    <x v="1"/>
    <m/>
    <m/>
    <m/>
    <x v="1"/>
    <m/>
    <m/>
    <n v="60000"/>
    <m/>
    <m/>
    <m/>
    <m/>
    <m/>
  </r>
  <r>
    <x v="207"/>
    <s v="목"/>
    <x v="1"/>
    <m/>
    <m/>
    <m/>
    <x v="1"/>
    <m/>
    <m/>
    <n v="60000"/>
    <m/>
    <m/>
    <m/>
    <m/>
    <m/>
  </r>
  <r>
    <x v="208"/>
    <s v="금"/>
    <x v="1"/>
    <m/>
    <m/>
    <m/>
    <x v="1"/>
    <m/>
    <m/>
    <n v="60000"/>
    <m/>
    <m/>
    <m/>
    <m/>
    <m/>
  </r>
  <r>
    <x v="209"/>
    <s v="토"/>
    <x v="1"/>
    <m/>
    <m/>
    <m/>
    <x v="1"/>
    <m/>
    <m/>
    <n v="60000"/>
    <m/>
    <m/>
    <m/>
    <m/>
    <m/>
  </r>
  <r>
    <x v="210"/>
    <s v="일"/>
    <x v="1"/>
    <m/>
    <m/>
    <m/>
    <x v="1"/>
    <m/>
    <m/>
    <n v="60000"/>
    <m/>
    <m/>
    <m/>
    <m/>
    <m/>
  </r>
  <r>
    <x v="211"/>
    <s v="월"/>
    <x v="1"/>
    <m/>
    <m/>
    <m/>
    <x v="1"/>
    <m/>
    <m/>
    <n v="60000"/>
    <m/>
    <m/>
    <m/>
    <m/>
    <m/>
  </r>
  <r>
    <x v="212"/>
    <s v="화"/>
    <x v="1"/>
    <m/>
    <m/>
    <m/>
    <x v="1"/>
    <m/>
    <m/>
    <n v="60000"/>
    <m/>
    <m/>
    <m/>
    <m/>
    <m/>
  </r>
  <r>
    <x v="213"/>
    <s v="수"/>
    <x v="1"/>
    <m/>
    <m/>
    <m/>
    <x v="1"/>
    <m/>
    <m/>
    <n v="60000"/>
    <m/>
    <m/>
    <m/>
    <m/>
    <m/>
  </r>
  <r>
    <x v="214"/>
    <s v="목"/>
    <x v="1"/>
    <m/>
    <m/>
    <m/>
    <x v="1"/>
    <m/>
    <m/>
    <n v="60000"/>
    <m/>
    <m/>
    <m/>
    <m/>
    <m/>
  </r>
  <r>
    <x v="215"/>
    <s v="금"/>
    <x v="1"/>
    <m/>
    <m/>
    <m/>
    <x v="1"/>
    <m/>
    <m/>
    <n v="60000"/>
    <m/>
    <m/>
    <m/>
    <m/>
    <m/>
  </r>
  <r>
    <x v="216"/>
    <s v="토"/>
    <x v="1"/>
    <m/>
    <m/>
    <m/>
    <x v="1"/>
    <m/>
    <m/>
    <n v="60000"/>
    <m/>
    <m/>
    <m/>
    <m/>
    <m/>
  </r>
  <r>
    <x v="217"/>
    <s v="일"/>
    <x v="1"/>
    <m/>
    <m/>
    <m/>
    <x v="1"/>
    <m/>
    <m/>
    <n v="60000"/>
    <m/>
    <m/>
    <m/>
    <m/>
    <m/>
  </r>
  <r>
    <x v="218"/>
    <s v="월"/>
    <x v="1"/>
    <m/>
    <m/>
    <m/>
    <x v="1"/>
    <m/>
    <m/>
    <n v="60000"/>
    <m/>
    <m/>
    <m/>
    <m/>
    <m/>
  </r>
  <r>
    <x v="219"/>
    <s v="화"/>
    <x v="1"/>
    <m/>
    <m/>
    <m/>
    <x v="1"/>
    <m/>
    <m/>
    <n v="60000"/>
    <m/>
    <m/>
    <m/>
    <m/>
    <m/>
  </r>
  <r>
    <x v="220"/>
    <s v="수"/>
    <x v="1"/>
    <m/>
    <m/>
    <m/>
    <x v="1"/>
    <m/>
    <m/>
    <n v="60000"/>
    <m/>
    <m/>
    <m/>
    <m/>
    <m/>
  </r>
  <r>
    <x v="221"/>
    <s v="목"/>
    <x v="1"/>
    <m/>
    <m/>
    <m/>
    <x v="1"/>
    <m/>
    <m/>
    <n v="60000"/>
    <m/>
    <m/>
    <m/>
    <m/>
    <m/>
  </r>
  <r>
    <x v="222"/>
    <s v="금"/>
    <x v="1"/>
    <m/>
    <m/>
    <m/>
    <x v="1"/>
    <m/>
    <m/>
    <n v="60000"/>
    <m/>
    <m/>
    <m/>
    <m/>
    <m/>
  </r>
  <r>
    <x v="223"/>
    <s v="토"/>
    <x v="1"/>
    <m/>
    <m/>
    <m/>
    <x v="1"/>
    <m/>
    <m/>
    <n v="60000"/>
    <m/>
    <m/>
    <m/>
    <m/>
    <m/>
  </r>
  <r>
    <x v="224"/>
    <s v="일"/>
    <x v="1"/>
    <m/>
    <m/>
    <m/>
    <x v="1"/>
    <m/>
    <m/>
    <n v="60000"/>
    <m/>
    <m/>
    <m/>
    <m/>
    <m/>
  </r>
  <r>
    <x v="225"/>
    <s v="월"/>
    <x v="1"/>
    <m/>
    <m/>
    <m/>
    <x v="1"/>
    <m/>
    <m/>
    <n v="60000"/>
    <m/>
    <m/>
    <m/>
    <m/>
    <m/>
  </r>
  <r>
    <x v="226"/>
    <s v="화"/>
    <x v="1"/>
    <m/>
    <m/>
    <m/>
    <x v="1"/>
    <m/>
    <m/>
    <n v="60000"/>
    <m/>
    <m/>
    <m/>
    <m/>
    <m/>
  </r>
  <r>
    <x v="227"/>
    <s v="수"/>
    <x v="1"/>
    <m/>
    <m/>
    <m/>
    <x v="1"/>
    <m/>
    <m/>
    <n v="60000"/>
    <m/>
    <m/>
    <m/>
    <m/>
    <m/>
  </r>
  <r>
    <x v="228"/>
    <s v="목"/>
    <x v="1"/>
    <m/>
    <m/>
    <m/>
    <x v="1"/>
    <m/>
    <m/>
    <n v="60000"/>
    <m/>
    <m/>
    <m/>
    <m/>
    <m/>
  </r>
  <r>
    <x v="229"/>
    <s v="금"/>
    <x v="1"/>
    <m/>
    <m/>
    <m/>
    <x v="1"/>
    <m/>
    <m/>
    <n v="60000"/>
    <m/>
    <m/>
    <m/>
    <m/>
    <m/>
  </r>
  <r>
    <x v="230"/>
    <s v="토"/>
    <x v="1"/>
    <m/>
    <m/>
    <m/>
    <x v="1"/>
    <m/>
    <m/>
    <n v="60000"/>
    <m/>
    <m/>
    <m/>
    <m/>
    <m/>
  </r>
  <r>
    <x v="231"/>
    <s v="일"/>
    <x v="1"/>
    <m/>
    <m/>
    <m/>
    <x v="1"/>
    <m/>
    <m/>
    <n v="60000"/>
    <m/>
    <m/>
    <m/>
    <m/>
    <m/>
  </r>
  <r>
    <x v="232"/>
    <s v="월"/>
    <x v="1"/>
    <m/>
    <m/>
    <m/>
    <x v="1"/>
    <m/>
    <m/>
    <n v="60000"/>
    <m/>
    <m/>
    <m/>
    <m/>
    <m/>
  </r>
  <r>
    <x v="233"/>
    <s v="화"/>
    <x v="1"/>
    <m/>
    <m/>
    <m/>
    <x v="1"/>
    <m/>
    <m/>
    <n v="60000"/>
    <m/>
    <m/>
    <m/>
    <m/>
    <m/>
  </r>
  <r>
    <x v="234"/>
    <s v="수"/>
    <x v="1"/>
    <m/>
    <m/>
    <m/>
    <x v="1"/>
    <m/>
    <m/>
    <n v="60000"/>
    <m/>
    <m/>
    <m/>
    <m/>
    <m/>
  </r>
  <r>
    <x v="235"/>
    <s v="목"/>
    <x v="1"/>
    <m/>
    <m/>
    <m/>
    <x v="1"/>
    <m/>
    <m/>
    <n v="60000"/>
    <m/>
    <m/>
    <m/>
    <m/>
    <m/>
  </r>
  <r>
    <x v="236"/>
    <s v="금"/>
    <x v="1"/>
    <m/>
    <m/>
    <m/>
    <x v="1"/>
    <m/>
    <m/>
    <n v="60000"/>
    <m/>
    <m/>
    <m/>
    <m/>
    <m/>
  </r>
  <r>
    <x v="237"/>
    <s v="토"/>
    <x v="1"/>
    <m/>
    <m/>
    <m/>
    <x v="1"/>
    <m/>
    <m/>
    <n v="60000"/>
    <m/>
    <m/>
    <m/>
    <m/>
    <m/>
  </r>
  <r>
    <x v="238"/>
    <s v="일"/>
    <x v="1"/>
    <m/>
    <m/>
    <m/>
    <x v="1"/>
    <m/>
    <m/>
    <n v="60000"/>
    <m/>
    <m/>
    <m/>
    <m/>
    <m/>
  </r>
  <r>
    <x v="239"/>
    <s v="월"/>
    <x v="1"/>
    <m/>
    <m/>
    <m/>
    <x v="1"/>
    <m/>
    <m/>
    <n v="60000"/>
    <m/>
    <m/>
    <m/>
    <m/>
    <m/>
  </r>
  <r>
    <x v="240"/>
    <s v="화"/>
    <x v="1"/>
    <m/>
    <m/>
    <m/>
    <x v="1"/>
    <m/>
    <m/>
    <n v="60000"/>
    <m/>
    <m/>
    <m/>
    <m/>
    <m/>
  </r>
  <r>
    <x v="241"/>
    <s v="수"/>
    <x v="1"/>
    <m/>
    <m/>
    <m/>
    <x v="1"/>
    <m/>
    <m/>
    <n v="60000"/>
    <m/>
    <m/>
    <m/>
    <m/>
    <m/>
  </r>
  <r>
    <x v="242"/>
    <s v="목"/>
    <x v="1"/>
    <m/>
    <m/>
    <m/>
    <x v="1"/>
    <m/>
    <m/>
    <n v="60000"/>
    <m/>
    <m/>
    <m/>
    <m/>
    <m/>
  </r>
  <r>
    <x v="243"/>
    <s v="금"/>
    <x v="1"/>
    <m/>
    <m/>
    <m/>
    <x v="1"/>
    <m/>
    <m/>
    <n v="140000"/>
    <m/>
    <m/>
    <m/>
    <m/>
    <m/>
  </r>
  <r>
    <x v="244"/>
    <s v="토"/>
    <x v="1"/>
    <m/>
    <m/>
    <m/>
    <x v="1"/>
    <m/>
    <m/>
    <n v="140000"/>
    <m/>
    <m/>
    <m/>
    <m/>
    <m/>
  </r>
  <r>
    <x v="245"/>
    <s v="일"/>
    <x v="1"/>
    <m/>
    <m/>
    <m/>
    <x v="1"/>
    <m/>
    <m/>
    <n v="140000"/>
    <m/>
    <m/>
    <m/>
    <m/>
    <m/>
  </r>
  <r>
    <x v="246"/>
    <s v="월"/>
    <x v="1"/>
    <m/>
    <m/>
    <m/>
    <x v="1"/>
    <m/>
    <m/>
    <n v="140000"/>
    <m/>
    <m/>
    <m/>
    <m/>
    <m/>
  </r>
  <r>
    <x v="247"/>
    <s v="화"/>
    <x v="1"/>
    <m/>
    <m/>
    <m/>
    <x v="1"/>
    <m/>
    <m/>
    <n v="140000"/>
    <m/>
    <m/>
    <m/>
    <m/>
    <m/>
  </r>
  <r>
    <x v="248"/>
    <s v="수"/>
    <x v="1"/>
    <m/>
    <m/>
    <m/>
    <x v="1"/>
    <m/>
    <m/>
    <n v="140000"/>
    <m/>
    <m/>
    <m/>
    <m/>
    <m/>
  </r>
  <r>
    <x v="249"/>
    <s v="목"/>
    <x v="1"/>
    <m/>
    <m/>
    <m/>
    <x v="1"/>
    <m/>
    <m/>
    <n v="140000"/>
    <m/>
    <m/>
    <m/>
    <m/>
    <m/>
  </r>
  <r>
    <x v="250"/>
    <s v="금"/>
    <x v="1"/>
    <m/>
    <m/>
    <m/>
    <x v="1"/>
    <m/>
    <m/>
    <n v="140000"/>
    <m/>
    <m/>
    <m/>
    <m/>
    <m/>
  </r>
  <r>
    <x v="251"/>
    <s v="토"/>
    <x v="1"/>
    <m/>
    <m/>
    <m/>
    <x v="1"/>
    <m/>
    <m/>
    <n v="140000"/>
    <m/>
    <m/>
    <m/>
    <m/>
    <m/>
  </r>
  <r>
    <x v="252"/>
    <s v="일"/>
    <x v="1"/>
    <m/>
    <m/>
    <m/>
    <x v="1"/>
    <m/>
    <m/>
    <n v="140000"/>
    <m/>
    <m/>
    <m/>
    <m/>
    <m/>
  </r>
  <r>
    <x v="253"/>
    <s v="월"/>
    <x v="1"/>
    <m/>
    <m/>
    <m/>
    <x v="1"/>
    <m/>
    <m/>
    <n v="140000"/>
    <m/>
    <m/>
    <m/>
    <m/>
    <m/>
  </r>
  <r>
    <x v="254"/>
    <s v="화"/>
    <x v="1"/>
    <m/>
    <m/>
    <m/>
    <x v="1"/>
    <m/>
    <m/>
    <n v="140000"/>
    <m/>
    <m/>
    <m/>
    <m/>
    <m/>
  </r>
  <r>
    <x v="255"/>
    <s v="수"/>
    <x v="1"/>
    <m/>
    <m/>
    <m/>
    <x v="1"/>
    <m/>
    <m/>
    <n v="140000"/>
    <m/>
    <m/>
    <m/>
    <m/>
    <m/>
  </r>
  <r>
    <x v="256"/>
    <s v="목"/>
    <x v="1"/>
    <m/>
    <m/>
    <m/>
    <x v="1"/>
    <m/>
    <m/>
    <n v="140000"/>
    <m/>
    <m/>
    <m/>
    <m/>
    <m/>
  </r>
  <r>
    <x v="257"/>
    <s v="금"/>
    <x v="1"/>
    <m/>
    <m/>
    <m/>
    <x v="1"/>
    <m/>
    <m/>
    <n v="140000"/>
    <m/>
    <m/>
    <m/>
    <m/>
    <m/>
  </r>
  <r>
    <x v="258"/>
    <s v="토"/>
    <x v="1"/>
    <m/>
    <m/>
    <m/>
    <x v="1"/>
    <m/>
    <m/>
    <n v="140000"/>
    <m/>
    <m/>
    <m/>
    <m/>
    <m/>
  </r>
  <r>
    <x v="259"/>
    <s v="일"/>
    <x v="1"/>
    <m/>
    <m/>
    <m/>
    <x v="1"/>
    <m/>
    <m/>
    <n v="140000"/>
    <m/>
    <m/>
    <m/>
    <m/>
    <m/>
  </r>
  <r>
    <x v="260"/>
    <s v="월"/>
    <x v="1"/>
    <m/>
    <m/>
    <m/>
    <x v="1"/>
    <m/>
    <m/>
    <n v="140000"/>
    <m/>
    <m/>
    <m/>
    <m/>
    <m/>
  </r>
  <r>
    <x v="261"/>
    <s v="화"/>
    <x v="1"/>
    <m/>
    <m/>
    <m/>
    <x v="1"/>
    <m/>
    <m/>
    <n v="140000"/>
    <m/>
    <m/>
    <m/>
    <m/>
    <m/>
  </r>
  <r>
    <x v="151"/>
    <s v="목"/>
    <x v="7"/>
    <m/>
    <m/>
    <m/>
    <x v="1"/>
    <m/>
    <m/>
    <n v="46071.81818181818"/>
    <m/>
    <m/>
    <m/>
    <m/>
    <m/>
  </r>
  <r>
    <x v="152"/>
    <s v="금"/>
    <x v="7"/>
    <m/>
    <m/>
    <m/>
    <x v="1"/>
    <m/>
    <m/>
    <n v="124204.5454545454"/>
    <m/>
    <m/>
    <m/>
    <m/>
    <m/>
  </r>
  <r>
    <x v="153"/>
    <s v="토"/>
    <x v="7"/>
    <m/>
    <m/>
    <m/>
    <x v="1"/>
    <m/>
    <m/>
    <n v="135449.0909090909"/>
    <m/>
    <m/>
    <m/>
    <m/>
    <m/>
  </r>
  <r>
    <x v="154"/>
    <s v="일"/>
    <x v="7"/>
    <m/>
    <m/>
    <m/>
    <x v="1"/>
    <m/>
    <m/>
    <n v="135052.7272727273"/>
    <m/>
    <m/>
    <m/>
    <m/>
    <m/>
  </r>
  <r>
    <x v="155"/>
    <s v="월"/>
    <x v="7"/>
    <m/>
    <m/>
    <m/>
    <x v="1"/>
    <m/>
    <m/>
    <n v="467830.9090909091"/>
    <m/>
    <m/>
    <m/>
    <m/>
    <m/>
  </r>
  <r>
    <x v="156"/>
    <s v="화"/>
    <x v="7"/>
    <m/>
    <m/>
    <m/>
    <x v="1"/>
    <m/>
    <m/>
    <n v="338165.4545454545"/>
    <m/>
    <m/>
    <m/>
    <m/>
    <m/>
  </r>
  <r>
    <x v="157"/>
    <s v="수"/>
    <x v="7"/>
    <m/>
    <m/>
    <m/>
    <x v="1"/>
    <m/>
    <m/>
    <n v="972794.5454545454"/>
    <m/>
    <m/>
    <m/>
    <m/>
    <m/>
  </r>
  <r>
    <x v="158"/>
    <s v="목"/>
    <x v="7"/>
    <m/>
    <m/>
    <m/>
    <x v="1"/>
    <m/>
    <m/>
    <n v="865468.1818181818"/>
    <m/>
    <m/>
    <m/>
    <m/>
    <m/>
  </r>
  <r>
    <x v="159"/>
    <s v="금"/>
    <x v="7"/>
    <m/>
    <m/>
    <m/>
    <x v="1"/>
    <m/>
    <m/>
    <n v="855909.0909090908"/>
    <m/>
    <m/>
    <m/>
    <m/>
    <m/>
  </r>
  <r>
    <x v="160"/>
    <s v="토"/>
    <x v="7"/>
    <m/>
    <m/>
    <m/>
    <x v="1"/>
    <m/>
    <m/>
    <n v="864159.9999999999"/>
    <m/>
    <m/>
    <m/>
    <m/>
    <m/>
  </r>
  <r>
    <x v="161"/>
    <s v="일"/>
    <x v="7"/>
    <m/>
    <m/>
    <m/>
    <x v="1"/>
    <m/>
    <m/>
    <n v="817959.9999999999"/>
    <m/>
    <m/>
    <m/>
    <m/>
    <m/>
  </r>
  <r>
    <x v="162"/>
    <s v="월"/>
    <x v="7"/>
    <m/>
    <m/>
    <m/>
    <x v="1"/>
    <m/>
    <m/>
    <n v="818028.1818181818"/>
    <m/>
    <m/>
    <m/>
    <m/>
    <m/>
  </r>
  <r>
    <x v="163"/>
    <s v="화"/>
    <x v="7"/>
    <m/>
    <m/>
    <m/>
    <x v="1"/>
    <m/>
    <m/>
    <n v="816223.6363636364"/>
    <m/>
    <m/>
    <m/>
    <m/>
    <m/>
  </r>
  <r>
    <x v="164"/>
    <s v="수"/>
    <x v="7"/>
    <m/>
    <m/>
    <m/>
    <x v="1"/>
    <m/>
    <m/>
    <n v="1357236.363636364"/>
    <m/>
    <m/>
    <m/>
    <m/>
    <m/>
  </r>
  <r>
    <x v="165"/>
    <s v="목"/>
    <x v="7"/>
    <m/>
    <m/>
    <m/>
    <x v="1"/>
    <m/>
    <m/>
    <n v="1256259.090909091"/>
    <m/>
    <m/>
    <m/>
    <m/>
    <m/>
  </r>
  <r>
    <x v="166"/>
    <s v="금"/>
    <x v="7"/>
    <m/>
    <m/>
    <m/>
    <x v="1"/>
    <m/>
    <m/>
    <n v="1252728.181818182"/>
    <m/>
    <m/>
    <m/>
    <m/>
    <m/>
  </r>
  <r>
    <x v="167"/>
    <s v="토"/>
    <x v="7"/>
    <m/>
    <m/>
    <m/>
    <x v="1"/>
    <m/>
    <m/>
    <n v="1256220.909090909"/>
    <m/>
    <m/>
    <m/>
    <m/>
    <m/>
  </r>
  <r>
    <x v="168"/>
    <s v="일"/>
    <x v="7"/>
    <m/>
    <m/>
    <m/>
    <x v="1"/>
    <m/>
    <m/>
    <n v="1257098.181818182"/>
    <m/>
    <m/>
    <m/>
    <m/>
    <m/>
  </r>
  <r>
    <x v="169"/>
    <s v="월"/>
    <x v="7"/>
    <m/>
    <m/>
    <m/>
    <x v="1"/>
    <m/>
    <m/>
    <n v="1254760"/>
    <m/>
    <m/>
    <m/>
    <m/>
    <m/>
  </r>
  <r>
    <x v="170"/>
    <s v="화"/>
    <x v="7"/>
    <m/>
    <m/>
    <m/>
    <x v="1"/>
    <m/>
    <m/>
    <n v="1257852.727272727"/>
    <m/>
    <m/>
    <m/>
    <m/>
    <m/>
  </r>
  <r>
    <x v="171"/>
    <s v="수"/>
    <x v="7"/>
    <m/>
    <m/>
    <m/>
    <x v="1"/>
    <m/>
    <m/>
    <n v="1459621.818181818"/>
    <m/>
    <m/>
    <m/>
    <m/>
    <m/>
  </r>
  <r>
    <x v="172"/>
    <s v="목"/>
    <x v="7"/>
    <m/>
    <m/>
    <m/>
    <x v="1"/>
    <m/>
    <m/>
    <n v="1217340"/>
    <m/>
    <m/>
    <m/>
    <m/>
    <m/>
  </r>
  <r>
    <x v="173"/>
    <s v="금"/>
    <x v="7"/>
    <m/>
    <m/>
    <m/>
    <x v="1"/>
    <m/>
    <m/>
    <n v="1170777.272727273"/>
    <m/>
    <m/>
    <m/>
    <m/>
    <m/>
  </r>
  <r>
    <x v="174"/>
    <s v="토"/>
    <x v="7"/>
    <m/>
    <m/>
    <m/>
    <x v="1"/>
    <m/>
    <m/>
    <n v="1206080"/>
    <m/>
    <m/>
    <m/>
    <m/>
    <m/>
  </r>
  <r>
    <x v="175"/>
    <s v="일"/>
    <x v="7"/>
    <m/>
    <m/>
    <m/>
    <x v="1"/>
    <m/>
    <m/>
    <n v="1181056.363636364"/>
    <m/>
    <m/>
    <m/>
    <m/>
    <m/>
  </r>
  <r>
    <x v="176"/>
    <s v="월"/>
    <x v="7"/>
    <m/>
    <m/>
    <m/>
    <x v="1"/>
    <m/>
    <m/>
    <n v="1300308.181818182"/>
    <m/>
    <m/>
    <m/>
    <m/>
    <m/>
  </r>
  <r>
    <x v="177"/>
    <s v="화"/>
    <x v="7"/>
    <m/>
    <m/>
    <m/>
    <x v="1"/>
    <m/>
    <m/>
    <n v="1482024.545454545"/>
    <m/>
    <m/>
    <m/>
    <m/>
    <m/>
  </r>
  <r>
    <x v="178"/>
    <s v="수"/>
    <x v="7"/>
    <m/>
    <m/>
    <m/>
    <x v="1"/>
    <m/>
    <m/>
    <n v="1498553.636363636"/>
    <m/>
    <m/>
    <m/>
    <m/>
    <m/>
  </r>
  <r>
    <x v="179"/>
    <s v="목"/>
    <x v="7"/>
    <m/>
    <m/>
    <m/>
    <x v="1"/>
    <m/>
    <m/>
    <n v="1512304.545454545"/>
    <m/>
    <m/>
    <m/>
    <m/>
    <m/>
  </r>
  <r>
    <x v="180"/>
    <s v="금"/>
    <x v="7"/>
    <m/>
    <m/>
    <m/>
    <x v="1"/>
    <m/>
    <m/>
    <n v="1505787.272727273"/>
    <m/>
    <m/>
    <m/>
    <m/>
    <m/>
  </r>
  <r>
    <x v="181"/>
    <s v="토"/>
    <x v="7"/>
    <m/>
    <m/>
    <m/>
    <x v="1"/>
    <m/>
    <m/>
    <n v="1510983.636363636"/>
    <m/>
    <m/>
    <m/>
    <m/>
    <m/>
  </r>
  <r>
    <x v="182"/>
    <s v="일"/>
    <x v="7"/>
    <m/>
    <m/>
    <m/>
    <x v="1"/>
    <m/>
    <m/>
    <n v="1500365.454545454"/>
    <m/>
    <m/>
    <m/>
    <m/>
    <m/>
  </r>
  <r>
    <x v="183"/>
    <s v="월"/>
    <x v="7"/>
    <m/>
    <m/>
    <m/>
    <x v="1"/>
    <m/>
    <m/>
    <n v="1491860"/>
    <m/>
    <m/>
    <m/>
    <m/>
    <m/>
  </r>
  <r>
    <x v="184"/>
    <s v="화"/>
    <x v="7"/>
    <m/>
    <m/>
    <m/>
    <x v="1"/>
    <m/>
    <m/>
    <n v="1464441.818181818"/>
    <m/>
    <m/>
    <m/>
    <m/>
    <m/>
  </r>
  <r>
    <x v="185"/>
    <s v="수"/>
    <x v="7"/>
    <m/>
    <m/>
    <m/>
    <x v="1"/>
    <m/>
    <m/>
    <n v="1401514.545454545"/>
    <m/>
    <m/>
    <m/>
    <m/>
    <m/>
  </r>
  <r>
    <x v="186"/>
    <s v="목"/>
    <x v="7"/>
    <m/>
    <m/>
    <m/>
    <x v="1"/>
    <m/>
    <m/>
    <n v="1377090"/>
    <m/>
    <m/>
    <m/>
    <m/>
    <m/>
  </r>
  <r>
    <x v="187"/>
    <s v="금"/>
    <x v="7"/>
    <m/>
    <m/>
    <m/>
    <x v="1"/>
    <m/>
    <m/>
    <n v="1393143.636363636"/>
    <m/>
    <m/>
    <m/>
    <m/>
    <m/>
  </r>
  <r>
    <x v="188"/>
    <s v="토"/>
    <x v="7"/>
    <m/>
    <m/>
    <m/>
    <x v="1"/>
    <m/>
    <m/>
    <n v="1381760.909090909"/>
    <m/>
    <m/>
    <m/>
    <m/>
    <m/>
  </r>
  <r>
    <x v="189"/>
    <s v="일"/>
    <x v="7"/>
    <m/>
    <m/>
    <m/>
    <x v="1"/>
    <m/>
    <m/>
    <n v="1380419.090909091"/>
    <m/>
    <m/>
    <m/>
    <m/>
    <m/>
  </r>
  <r>
    <x v="190"/>
    <s v="월"/>
    <x v="7"/>
    <m/>
    <m/>
    <m/>
    <x v="1"/>
    <m/>
    <m/>
    <n v="1415415.454545454"/>
    <m/>
    <m/>
    <m/>
    <m/>
    <m/>
  </r>
  <r>
    <x v="191"/>
    <s v="화"/>
    <x v="7"/>
    <m/>
    <m/>
    <m/>
    <x v="1"/>
    <m/>
    <m/>
    <n v="1392732.727272727"/>
    <m/>
    <m/>
    <m/>
    <m/>
    <m/>
  </r>
  <r>
    <x v="192"/>
    <s v="수"/>
    <x v="7"/>
    <m/>
    <m/>
    <m/>
    <x v="1"/>
    <m/>
    <m/>
    <n v="1367434.545454545"/>
    <m/>
    <m/>
    <m/>
    <m/>
    <m/>
  </r>
  <r>
    <x v="193"/>
    <s v="목"/>
    <x v="7"/>
    <m/>
    <m/>
    <m/>
    <x v="1"/>
    <m/>
    <m/>
    <n v="1380418.181818182"/>
    <m/>
    <m/>
    <m/>
    <m/>
    <m/>
  </r>
  <r>
    <x v="194"/>
    <s v="금"/>
    <x v="7"/>
    <m/>
    <m/>
    <m/>
    <x v="1"/>
    <m/>
    <m/>
    <n v="1381834.545454545"/>
    <m/>
    <m/>
    <m/>
    <m/>
    <m/>
  </r>
  <r>
    <x v="195"/>
    <s v="토"/>
    <x v="7"/>
    <m/>
    <m/>
    <m/>
    <x v="1"/>
    <m/>
    <m/>
    <n v="1389560"/>
    <m/>
    <m/>
    <m/>
    <m/>
    <m/>
  </r>
  <r>
    <x v="196"/>
    <s v="일"/>
    <x v="7"/>
    <m/>
    <m/>
    <m/>
    <x v="1"/>
    <m/>
    <m/>
    <n v="1379080"/>
    <m/>
    <m/>
    <m/>
    <m/>
    <m/>
  </r>
  <r>
    <x v="197"/>
    <s v="월"/>
    <x v="7"/>
    <m/>
    <m/>
    <m/>
    <x v="1"/>
    <m/>
    <m/>
    <n v="1375696.363636364"/>
    <m/>
    <m/>
    <m/>
    <m/>
    <m/>
  </r>
  <r>
    <x v="198"/>
    <s v="화"/>
    <x v="7"/>
    <m/>
    <m/>
    <m/>
    <x v="1"/>
    <m/>
    <m/>
    <n v="1390143.636363636"/>
    <m/>
    <m/>
    <m/>
    <m/>
    <m/>
  </r>
  <r>
    <x v="199"/>
    <s v="수"/>
    <x v="7"/>
    <m/>
    <m/>
    <m/>
    <x v="1"/>
    <m/>
    <m/>
    <n v="1401139.090909091"/>
    <m/>
    <m/>
    <m/>
    <m/>
    <m/>
  </r>
  <r>
    <x v="200"/>
    <s v="목"/>
    <x v="7"/>
    <m/>
    <m/>
    <m/>
    <x v="1"/>
    <m/>
    <m/>
    <n v="1358562.727272727"/>
    <m/>
    <m/>
    <m/>
    <m/>
    <m/>
  </r>
  <r>
    <x v="201"/>
    <s v="금"/>
    <x v="7"/>
    <m/>
    <m/>
    <m/>
    <x v="1"/>
    <m/>
    <m/>
    <n v="1360350"/>
    <m/>
    <m/>
    <m/>
    <m/>
    <m/>
  </r>
  <r>
    <x v="202"/>
    <s v="토"/>
    <x v="7"/>
    <m/>
    <m/>
    <m/>
    <x v="1"/>
    <m/>
    <m/>
    <n v="1364540.909090909"/>
    <m/>
    <m/>
    <m/>
    <m/>
    <m/>
  </r>
  <r>
    <x v="203"/>
    <s v="일"/>
    <x v="7"/>
    <m/>
    <m/>
    <m/>
    <x v="1"/>
    <m/>
    <m/>
    <n v="1364198.181818182"/>
    <m/>
    <m/>
    <m/>
    <m/>
    <m/>
  </r>
  <r>
    <x v="204"/>
    <s v="월"/>
    <x v="7"/>
    <m/>
    <m/>
    <m/>
    <x v="1"/>
    <m/>
    <m/>
    <n v="1367009.090909091"/>
    <m/>
    <m/>
    <m/>
    <m/>
    <m/>
  </r>
  <r>
    <x v="205"/>
    <s v="화"/>
    <x v="7"/>
    <m/>
    <m/>
    <m/>
    <x v="1"/>
    <m/>
    <m/>
    <n v="1328887.272727273"/>
    <m/>
    <m/>
    <m/>
    <m/>
    <m/>
  </r>
  <r>
    <x v="206"/>
    <s v="수"/>
    <x v="7"/>
    <m/>
    <m/>
    <m/>
    <x v="1"/>
    <m/>
    <m/>
    <n v="1212376.363636364"/>
    <m/>
    <m/>
    <m/>
    <m/>
    <m/>
  </r>
  <r>
    <x v="207"/>
    <s v="목"/>
    <x v="7"/>
    <m/>
    <m/>
    <m/>
    <x v="1"/>
    <m/>
    <m/>
    <n v="1141926.363636364"/>
    <m/>
    <m/>
    <m/>
    <m/>
    <m/>
  </r>
  <r>
    <x v="208"/>
    <s v="금"/>
    <x v="7"/>
    <m/>
    <m/>
    <m/>
    <x v="1"/>
    <m/>
    <m/>
    <n v="1138772.727272727"/>
    <m/>
    <m/>
    <m/>
    <m/>
    <m/>
  </r>
  <r>
    <x v="209"/>
    <s v="토"/>
    <x v="7"/>
    <m/>
    <m/>
    <m/>
    <x v="1"/>
    <m/>
    <m/>
    <n v="1136382.727272727"/>
    <m/>
    <m/>
    <m/>
    <m/>
    <m/>
  </r>
  <r>
    <x v="210"/>
    <s v="일"/>
    <x v="7"/>
    <m/>
    <m/>
    <m/>
    <x v="1"/>
    <m/>
    <m/>
    <n v="1140537.272727273"/>
    <m/>
    <m/>
    <m/>
    <m/>
    <m/>
  </r>
  <r>
    <x v="211"/>
    <s v="월"/>
    <x v="7"/>
    <m/>
    <m/>
    <m/>
    <x v="1"/>
    <m/>
    <m/>
    <n v="1090622.727272727"/>
    <m/>
    <m/>
    <m/>
    <m/>
    <m/>
  </r>
  <r>
    <x v="212"/>
    <s v="화"/>
    <x v="7"/>
    <m/>
    <m/>
    <m/>
    <x v="1"/>
    <m/>
    <m/>
    <n v="1135307.272727273"/>
    <m/>
    <m/>
    <m/>
    <m/>
    <m/>
  </r>
  <r>
    <x v="213"/>
    <s v="수"/>
    <x v="7"/>
    <m/>
    <m/>
    <m/>
    <x v="1"/>
    <m/>
    <m/>
    <n v="4143191.818181818"/>
    <m/>
    <m/>
    <m/>
    <m/>
    <m/>
  </r>
  <r>
    <x v="214"/>
    <s v="목"/>
    <x v="7"/>
    <m/>
    <m/>
    <m/>
    <x v="1"/>
    <m/>
    <m/>
    <n v="4675119.090909091"/>
    <m/>
    <m/>
    <m/>
    <m/>
    <m/>
  </r>
  <r>
    <x v="215"/>
    <s v="금"/>
    <x v="7"/>
    <m/>
    <m/>
    <m/>
    <x v="1"/>
    <m/>
    <m/>
    <n v="6496051.818181817"/>
    <m/>
    <m/>
    <m/>
    <m/>
    <m/>
  </r>
  <r>
    <x v="216"/>
    <s v="토"/>
    <x v="7"/>
    <m/>
    <m/>
    <m/>
    <x v="1"/>
    <m/>
    <m/>
    <n v="8076000.909090908"/>
    <m/>
    <m/>
    <m/>
    <m/>
    <m/>
  </r>
  <r>
    <x v="217"/>
    <s v="일"/>
    <x v="7"/>
    <m/>
    <m/>
    <m/>
    <x v="1"/>
    <m/>
    <m/>
    <n v="5552757.272727272"/>
    <m/>
    <m/>
    <m/>
    <m/>
    <m/>
  </r>
  <r>
    <x v="218"/>
    <s v="월"/>
    <x v="7"/>
    <m/>
    <m/>
    <m/>
    <x v="1"/>
    <m/>
    <m/>
    <n v="4546693.636363636"/>
    <m/>
    <m/>
    <m/>
    <m/>
    <m/>
  </r>
  <r>
    <x v="219"/>
    <s v="화"/>
    <x v="7"/>
    <m/>
    <m/>
    <m/>
    <x v="1"/>
    <m/>
    <m/>
    <n v="4359613.636363636"/>
    <m/>
    <m/>
    <m/>
    <m/>
    <m/>
  </r>
  <r>
    <x v="220"/>
    <s v="수"/>
    <x v="7"/>
    <m/>
    <m/>
    <m/>
    <x v="1"/>
    <m/>
    <m/>
    <n v="3842123.636363636"/>
    <m/>
    <m/>
    <m/>
    <m/>
    <m/>
  </r>
  <r>
    <x v="221"/>
    <s v="목"/>
    <x v="7"/>
    <m/>
    <m/>
    <m/>
    <x v="1"/>
    <m/>
    <m/>
    <n v="3439220.909090909"/>
    <m/>
    <m/>
    <m/>
    <m/>
    <m/>
  </r>
  <r>
    <x v="222"/>
    <s v="금"/>
    <x v="7"/>
    <m/>
    <m/>
    <m/>
    <x v="1"/>
    <m/>
    <m/>
    <n v="7429473.636363636"/>
    <m/>
    <m/>
    <m/>
    <m/>
    <m/>
  </r>
  <r>
    <x v="223"/>
    <s v="토"/>
    <x v="7"/>
    <m/>
    <m/>
    <m/>
    <x v="1"/>
    <m/>
    <m/>
    <n v="8201367.272727272"/>
    <m/>
    <m/>
    <m/>
    <m/>
    <m/>
  </r>
  <r>
    <x v="224"/>
    <s v="일"/>
    <x v="7"/>
    <m/>
    <m/>
    <m/>
    <x v="1"/>
    <m/>
    <m/>
    <n v="8205887.272727272"/>
    <m/>
    <m/>
    <m/>
    <m/>
    <m/>
  </r>
  <r>
    <x v="225"/>
    <s v="월"/>
    <x v="7"/>
    <m/>
    <m/>
    <m/>
    <x v="1"/>
    <m/>
    <m/>
    <n v="6025441.818181817"/>
    <m/>
    <m/>
    <m/>
    <m/>
    <m/>
  </r>
  <r>
    <x v="226"/>
    <s v="화"/>
    <x v="7"/>
    <m/>
    <m/>
    <m/>
    <x v="1"/>
    <m/>
    <m/>
    <n v="6130987.272727272"/>
    <m/>
    <m/>
    <m/>
    <m/>
    <m/>
  </r>
  <r>
    <x v="227"/>
    <s v="수"/>
    <x v="7"/>
    <m/>
    <m/>
    <m/>
    <x v="1"/>
    <m/>
    <m/>
    <n v="5308044.545454545"/>
    <m/>
    <m/>
    <m/>
    <m/>
    <m/>
  </r>
  <r>
    <x v="228"/>
    <s v="목"/>
    <x v="7"/>
    <m/>
    <m/>
    <m/>
    <x v="1"/>
    <m/>
    <m/>
    <n v="5905059.090909091"/>
    <m/>
    <m/>
    <m/>
    <m/>
    <m/>
  </r>
  <r>
    <x v="229"/>
    <s v="금"/>
    <x v="7"/>
    <m/>
    <m/>
    <m/>
    <x v="1"/>
    <m/>
    <m/>
    <n v="4897754.545454545"/>
    <m/>
    <m/>
    <m/>
    <m/>
    <m/>
  </r>
  <r>
    <x v="230"/>
    <s v="토"/>
    <x v="7"/>
    <m/>
    <m/>
    <m/>
    <x v="1"/>
    <m/>
    <m/>
    <n v="5393946.363636363"/>
    <m/>
    <m/>
    <m/>
    <m/>
    <m/>
  </r>
  <r>
    <x v="231"/>
    <s v="일"/>
    <x v="7"/>
    <m/>
    <m/>
    <m/>
    <x v="1"/>
    <m/>
    <m/>
    <n v="6045879.999999999"/>
    <m/>
    <m/>
    <m/>
    <m/>
    <m/>
  </r>
  <r>
    <x v="232"/>
    <s v="월"/>
    <x v="7"/>
    <m/>
    <m/>
    <m/>
    <x v="1"/>
    <m/>
    <m/>
    <n v="5026806.363636363"/>
    <m/>
    <m/>
    <m/>
    <m/>
    <m/>
  </r>
  <r>
    <x v="233"/>
    <s v="화"/>
    <x v="7"/>
    <m/>
    <m/>
    <m/>
    <x v="1"/>
    <m/>
    <m/>
    <n v="4275248.181818182"/>
    <m/>
    <m/>
    <m/>
    <m/>
    <m/>
  </r>
  <r>
    <x v="234"/>
    <s v="수"/>
    <x v="7"/>
    <m/>
    <m/>
    <m/>
    <x v="1"/>
    <m/>
    <m/>
    <n v="4536168.181818182"/>
    <m/>
    <m/>
    <m/>
    <m/>
    <m/>
  </r>
  <r>
    <x v="235"/>
    <s v="목"/>
    <x v="7"/>
    <m/>
    <m/>
    <m/>
    <x v="1"/>
    <m/>
    <m/>
    <n v="3959370.909090909"/>
    <m/>
    <m/>
    <m/>
    <m/>
    <m/>
  </r>
  <r>
    <x v="236"/>
    <s v="금"/>
    <x v="7"/>
    <m/>
    <m/>
    <m/>
    <x v="1"/>
    <m/>
    <m/>
    <n v="3839001.818181818"/>
    <m/>
    <m/>
    <m/>
    <m/>
    <m/>
  </r>
  <r>
    <x v="237"/>
    <s v="토"/>
    <x v="7"/>
    <m/>
    <m/>
    <m/>
    <x v="1"/>
    <m/>
    <m/>
    <n v="4360284.545454545"/>
    <m/>
    <m/>
    <m/>
    <m/>
    <m/>
  </r>
  <r>
    <x v="238"/>
    <s v="일"/>
    <x v="7"/>
    <m/>
    <m/>
    <m/>
    <x v="1"/>
    <m/>
    <m/>
    <n v="5118948.181818182"/>
    <m/>
    <m/>
    <m/>
    <m/>
    <m/>
  </r>
  <r>
    <x v="239"/>
    <s v="월"/>
    <x v="7"/>
    <m/>
    <m/>
    <m/>
    <x v="1"/>
    <m/>
    <m/>
    <n v="3859507.272727272"/>
    <m/>
    <m/>
    <m/>
    <m/>
    <m/>
  </r>
  <r>
    <x v="240"/>
    <s v="화"/>
    <x v="7"/>
    <m/>
    <m/>
    <m/>
    <x v="1"/>
    <m/>
    <m/>
    <n v="3073750.909090909"/>
    <m/>
    <m/>
    <m/>
    <m/>
    <m/>
  </r>
  <r>
    <x v="241"/>
    <s v="수"/>
    <x v="7"/>
    <m/>
    <m/>
    <m/>
    <x v="1"/>
    <m/>
    <m/>
    <n v="3501659"/>
    <m/>
    <m/>
    <m/>
    <m/>
    <m/>
  </r>
  <r>
    <x v="242"/>
    <s v="목"/>
    <x v="7"/>
    <m/>
    <m/>
    <m/>
    <x v="1"/>
    <m/>
    <m/>
    <n v="3065715.454545454"/>
    <m/>
    <m/>
    <m/>
    <m/>
    <m/>
  </r>
  <r>
    <x v="243"/>
    <s v="금"/>
    <x v="7"/>
    <m/>
    <m/>
    <m/>
    <x v="1"/>
    <m/>
    <m/>
    <n v="3363036.363636363"/>
    <m/>
    <m/>
    <m/>
    <m/>
    <m/>
  </r>
  <r>
    <x v="244"/>
    <s v="토"/>
    <x v="7"/>
    <m/>
    <m/>
    <m/>
    <x v="1"/>
    <m/>
    <m/>
    <n v="3341995.454545454"/>
    <m/>
    <m/>
    <m/>
    <m/>
    <m/>
  </r>
  <r>
    <x v="245"/>
    <s v="일"/>
    <x v="7"/>
    <m/>
    <m/>
    <m/>
    <x v="1"/>
    <m/>
    <m/>
    <n v="3710585.454545454"/>
    <m/>
    <m/>
    <m/>
    <m/>
    <m/>
  </r>
  <r>
    <x v="246"/>
    <s v="월"/>
    <x v="7"/>
    <m/>
    <m/>
    <m/>
    <x v="1"/>
    <m/>
    <m/>
    <n v="3245853.636363636"/>
    <m/>
    <m/>
    <m/>
    <m/>
    <m/>
  </r>
  <r>
    <x v="247"/>
    <s v="화"/>
    <x v="7"/>
    <m/>
    <m/>
    <m/>
    <x v="1"/>
    <m/>
    <m/>
    <n v="2694652.727272727"/>
    <m/>
    <m/>
    <m/>
    <m/>
    <m/>
  </r>
  <r>
    <x v="248"/>
    <s v="수"/>
    <x v="7"/>
    <m/>
    <m/>
    <m/>
    <x v="1"/>
    <m/>
    <m/>
    <n v="2360042.727272727"/>
    <m/>
    <m/>
    <m/>
    <m/>
    <m/>
  </r>
  <r>
    <x v="249"/>
    <s v="목"/>
    <x v="7"/>
    <m/>
    <m/>
    <m/>
    <x v="1"/>
    <m/>
    <m/>
    <n v="2204744.545454545"/>
    <m/>
    <m/>
    <m/>
    <m/>
    <m/>
  </r>
  <r>
    <x v="250"/>
    <s v="금"/>
    <x v="7"/>
    <m/>
    <m/>
    <m/>
    <x v="1"/>
    <m/>
    <m/>
    <n v="2188312.727272727"/>
    <m/>
    <m/>
    <m/>
    <m/>
    <m/>
  </r>
  <r>
    <x v="251"/>
    <s v="토"/>
    <x v="7"/>
    <m/>
    <m/>
    <m/>
    <x v="1"/>
    <m/>
    <m/>
    <n v="2187204.545454545"/>
    <m/>
    <m/>
    <m/>
    <m/>
    <m/>
  </r>
  <r>
    <x v="252"/>
    <s v="일"/>
    <x v="7"/>
    <m/>
    <m/>
    <m/>
    <x v="1"/>
    <m/>
    <m/>
    <n v="2212292.727272727"/>
    <m/>
    <m/>
    <m/>
    <m/>
    <m/>
  </r>
  <r>
    <x v="253"/>
    <s v="월"/>
    <x v="7"/>
    <m/>
    <m/>
    <m/>
    <x v="1"/>
    <m/>
    <m/>
    <n v="2198214.545454545"/>
    <m/>
    <m/>
    <m/>
    <m/>
    <m/>
  </r>
  <r>
    <x v="254"/>
    <s v="화"/>
    <x v="7"/>
    <m/>
    <m/>
    <m/>
    <x v="1"/>
    <m/>
    <m/>
    <n v="2150310"/>
    <m/>
    <m/>
    <m/>
    <m/>
    <m/>
  </r>
  <r>
    <x v="255"/>
    <s v="수"/>
    <x v="7"/>
    <m/>
    <m/>
    <m/>
    <x v="1"/>
    <m/>
    <m/>
    <n v="2079590.909090909"/>
    <m/>
    <m/>
    <m/>
    <m/>
    <m/>
  </r>
  <r>
    <x v="256"/>
    <s v="목"/>
    <x v="7"/>
    <m/>
    <m/>
    <m/>
    <x v="1"/>
    <m/>
    <m/>
    <n v="1127602.727272727"/>
    <m/>
    <m/>
    <m/>
    <m/>
    <m/>
  </r>
  <r>
    <x v="257"/>
    <s v="금"/>
    <x v="7"/>
    <m/>
    <m/>
    <m/>
    <x v="1"/>
    <m/>
    <m/>
    <n v="1084431.818181818"/>
    <m/>
    <m/>
    <m/>
    <m/>
    <m/>
  </r>
  <r>
    <x v="258"/>
    <s v="토"/>
    <x v="7"/>
    <m/>
    <m/>
    <m/>
    <x v="1"/>
    <m/>
    <m/>
    <n v="1127510.909090909"/>
    <m/>
    <m/>
    <m/>
    <m/>
    <m/>
  </r>
  <r>
    <x v="259"/>
    <s v="일"/>
    <x v="7"/>
    <m/>
    <m/>
    <m/>
    <x v="1"/>
    <m/>
    <m/>
    <n v="1120517.272727273"/>
    <m/>
    <m/>
    <m/>
    <m/>
    <m/>
  </r>
  <r>
    <x v="260"/>
    <s v="월"/>
    <x v="7"/>
    <m/>
    <m/>
    <m/>
    <x v="1"/>
    <m/>
    <m/>
    <n v="1078006.363636364"/>
    <m/>
    <m/>
    <m/>
    <m/>
    <m/>
  </r>
  <r>
    <x v="261"/>
    <s v="화"/>
    <x v="7"/>
    <m/>
    <m/>
    <m/>
    <x v="1"/>
    <m/>
    <m/>
    <n v="1091459.090909091"/>
    <m/>
    <m/>
    <m/>
    <m/>
    <m/>
  </r>
  <r>
    <x v="165"/>
    <s v="목"/>
    <x v="8"/>
    <m/>
    <m/>
    <m/>
    <x v="1"/>
    <m/>
    <m/>
    <n v="228430"/>
    <m/>
    <m/>
    <m/>
    <m/>
    <m/>
  </r>
  <r>
    <x v="166"/>
    <s v="금"/>
    <x v="8"/>
    <m/>
    <m/>
    <m/>
    <x v="1"/>
    <m/>
    <m/>
    <n v="392649.9999999999"/>
    <m/>
    <m/>
    <m/>
    <m/>
    <m/>
  </r>
  <r>
    <x v="167"/>
    <s v="토"/>
    <x v="8"/>
    <m/>
    <m/>
    <m/>
    <x v="1"/>
    <m/>
    <m/>
    <n v="43180"/>
    <m/>
    <m/>
    <m/>
    <m/>
    <m/>
  </r>
  <r>
    <x v="168"/>
    <s v="일"/>
    <x v="8"/>
    <m/>
    <m/>
    <m/>
    <x v="1"/>
    <m/>
    <m/>
    <n v="0"/>
    <m/>
    <m/>
    <m/>
    <m/>
    <m/>
  </r>
  <r>
    <x v="169"/>
    <s v="월"/>
    <x v="8"/>
    <m/>
    <m/>
    <m/>
    <x v="1"/>
    <m/>
    <m/>
    <n v="392199.9999999999"/>
    <m/>
    <m/>
    <m/>
    <m/>
    <m/>
  </r>
  <r>
    <x v="170"/>
    <s v="화"/>
    <x v="8"/>
    <m/>
    <m/>
    <m/>
    <x v="1"/>
    <m/>
    <m/>
    <n v="391309.9999999999"/>
    <m/>
    <m/>
    <m/>
    <m/>
    <m/>
  </r>
  <r>
    <x v="171"/>
    <s v="수"/>
    <x v="8"/>
    <m/>
    <m/>
    <m/>
    <x v="1"/>
    <m/>
    <m/>
    <n v="576840"/>
    <m/>
    <m/>
    <m/>
    <m/>
    <m/>
  </r>
  <r>
    <x v="172"/>
    <s v="목"/>
    <x v="8"/>
    <m/>
    <m/>
    <m/>
    <x v="1"/>
    <m/>
    <m/>
    <n v="919619.9999999999"/>
    <m/>
    <m/>
    <m/>
    <m/>
    <m/>
  </r>
  <r>
    <x v="173"/>
    <s v="금"/>
    <x v="8"/>
    <m/>
    <m/>
    <m/>
    <x v="1"/>
    <m/>
    <m/>
    <n v="910879.9999999999"/>
    <m/>
    <m/>
    <m/>
    <m/>
    <m/>
  </r>
  <r>
    <x v="174"/>
    <s v="토"/>
    <x v="8"/>
    <m/>
    <m/>
    <m/>
    <x v="1"/>
    <m/>
    <m/>
    <n v="911119.9999999999"/>
    <m/>
    <m/>
    <m/>
    <m/>
    <m/>
  </r>
  <r>
    <x v="175"/>
    <s v="일"/>
    <x v="8"/>
    <m/>
    <m/>
    <m/>
    <x v="1"/>
    <m/>
    <m/>
    <n v="910869.9999999999"/>
    <m/>
    <m/>
    <m/>
    <m/>
    <m/>
  </r>
  <r>
    <x v="176"/>
    <s v="월"/>
    <x v="8"/>
    <m/>
    <m/>
    <m/>
    <x v="1"/>
    <m/>
    <m/>
    <n v="2114110"/>
    <m/>
    <m/>
    <m/>
    <m/>
    <m/>
  </r>
  <r>
    <x v="177"/>
    <s v="화"/>
    <x v="8"/>
    <m/>
    <m/>
    <m/>
    <x v="1"/>
    <m/>
    <m/>
    <n v="2229090"/>
    <m/>
    <m/>
    <m/>
    <m/>
    <m/>
  </r>
  <r>
    <x v="178"/>
    <s v="수"/>
    <x v="8"/>
    <m/>
    <m/>
    <m/>
    <x v="1"/>
    <m/>
    <m/>
    <n v="1956140"/>
    <m/>
    <m/>
    <m/>
    <m/>
    <m/>
  </r>
  <r>
    <x v="179"/>
    <s v="목"/>
    <x v="8"/>
    <m/>
    <m/>
    <m/>
    <x v="1"/>
    <m/>
    <m/>
    <n v="2052330"/>
    <m/>
    <m/>
    <m/>
    <m/>
    <m/>
  </r>
  <r>
    <x v="180"/>
    <s v="금"/>
    <x v="8"/>
    <m/>
    <m/>
    <m/>
    <x v="1"/>
    <m/>
    <m/>
    <n v="2231190"/>
    <m/>
    <m/>
    <m/>
    <m/>
    <m/>
  </r>
  <r>
    <x v="181"/>
    <s v="토"/>
    <x v="8"/>
    <m/>
    <m/>
    <m/>
    <x v="1"/>
    <m/>
    <m/>
    <n v="2242650"/>
    <m/>
    <m/>
    <m/>
    <m/>
    <m/>
  </r>
  <r>
    <x v="182"/>
    <s v="일"/>
    <x v="8"/>
    <m/>
    <m/>
    <m/>
    <x v="1"/>
    <m/>
    <m/>
    <n v="2238500"/>
    <m/>
    <m/>
    <m/>
    <m/>
    <m/>
  </r>
  <r>
    <x v="183"/>
    <s v="월"/>
    <x v="8"/>
    <m/>
    <m/>
    <m/>
    <x v="1"/>
    <m/>
    <m/>
    <n v="2062510"/>
    <m/>
    <m/>
    <m/>
    <m/>
    <m/>
  </r>
  <r>
    <x v="184"/>
    <s v="화"/>
    <x v="8"/>
    <m/>
    <m/>
    <m/>
    <x v="1"/>
    <m/>
    <m/>
    <n v="1926690"/>
    <m/>
    <m/>
    <m/>
    <m/>
    <m/>
  </r>
  <r>
    <x v="185"/>
    <s v="수"/>
    <x v="8"/>
    <m/>
    <m/>
    <m/>
    <x v="1"/>
    <m/>
    <m/>
    <n v="1469790"/>
    <m/>
    <m/>
    <m/>
    <m/>
    <m/>
  </r>
  <r>
    <x v="186"/>
    <s v="목"/>
    <x v="8"/>
    <m/>
    <m/>
    <m/>
    <x v="1"/>
    <m/>
    <m/>
    <n v="1959190"/>
    <m/>
    <m/>
    <m/>
    <m/>
    <m/>
  </r>
  <r>
    <x v="187"/>
    <s v="금"/>
    <x v="8"/>
    <m/>
    <m/>
    <m/>
    <x v="1"/>
    <m/>
    <m/>
    <n v="1949540"/>
    <m/>
    <m/>
    <m/>
    <m/>
    <m/>
  </r>
  <r>
    <x v="188"/>
    <s v="토"/>
    <x v="8"/>
    <m/>
    <m/>
    <m/>
    <x v="1"/>
    <m/>
    <m/>
    <n v="2041350"/>
    <m/>
    <m/>
    <m/>
    <m/>
    <m/>
  </r>
  <r>
    <x v="189"/>
    <s v="일"/>
    <x v="8"/>
    <m/>
    <m/>
    <m/>
    <x v="1"/>
    <m/>
    <m/>
    <n v="2039640"/>
    <m/>
    <m/>
    <m/>
    <m/>
    <m/>
  </r>
  <r>
    <x v="190"/>
    <s v="월"/>
    <x v="8"/>
    <m/>
    <m/>
    <m/>
    <x v="1"/>
    <m/>
    <m/>
    <n v="1580360"/>
    <m/>
    <m/>
    <m/>
    <m/>
    <m/>
  </r>
  <r>
    <x v="191"/>
    <s v="화"/>
    <x v="8"/>
    <m/>
    <m/>
    <m/>
    <x v="1"/>
    <m/>
    <m/>
    <n v="1597780"/>
    <m/>
    <m/>
    <m/>
    <m/>
    <m/>
  </r>
  <r>
    <x v="192"/>
    <s v="수"/>
    <x v="8"/>
    <m/>
    <m/>
    <m/>
    <x v="1"/>
    <m/>
    <m/>
    <n v="2040610"/>
    <m/>
    <m/>
    <m/>
    <m/>
    <m/>
  </r>
  <r>
    <x v="193"/>
    <s v="목"/>
    <x v="8"/>
    <m/>
    <m/>
    <m/>
    <x v="1"/>
    <m/>
    <m/>
    <n v="2037680"/>
    <m/>
    <m/>
    <m/>
    <m/>
    <m/>
  </r>
  <r>
    <x v="194"/>
    <s v="금"/>
    <x v="8"/>
    <m/>
    <m/>
    <m/>
    <x v="1"/>
    <m/>
    <m/>
    <n v="2039920"/>
    <m/>
    <m/>
    <m/>
    <m/>
    <m/>
  </r>
  <r>
    <x v="195"/>
    <s v="토"/>
    <x v="8"/>
    <m/>
    <m/>
    <m/>
    <x v="1"/>
    <m/>
    <m/>
    <n v="2041460"/>
    <m/>
    <m/>
    <m/>
    <m/>
    <m/>
  </r>
  <r>
    <x v="196"/>
    <s v="일"/>
    <x v="8"/>
    <m/>
    <m/>
    <m/>
    <x v="1"/>
    <m/>
    <m/>
    <n v="2040480"/>
    <m/>
    <m/>
    <m/>
    <m/>
    <m/>
  </r>
  <r>
    <x v="197"/>
    <s v="월"/>
    <x v="8"/>
    <m/>
    <m/>
    <m/>
    <x v="1"/>
    <m/>
    <m/>
    <n v="2040320"/>
    <m/>
    <m/>
    <m/>
    <m/>
    <m/>
  </r>
  <r>
    <x v="198"/>
    <s v="화"/>
    <x v="8"/>
    <m/>
    <m/>
    <m/>
    <x v="1"/>
    <m/>
    <m/>
    <n v="2047680"/>
    <m/>
    <m/>
    <m/>
    <m/>
    <m/>
  </r>
  <r>
    <x v="199"/>
    <s v="수"/>
    <x v="8"/>
    <m/>
    <m/>
    <m/>
    <x v="1"/>
    <m/>
    <m/>
    <n v="2042210"/>
    <m/>
    <m/>
    <m/>
    <m/>
    <m/>
  </r>
  <r>
    <x v="200"/>
    <s v="목"/>
    <x v="8"/>
    <m/>
    <m/>
    <m/>
    <x v="1"/>
    <m/>
    <m/>
    <n v="2005170"/>
    <m/>
    <m/>
    <m/>
    <m/>
    <m/>
  </r>
  <r>
    <x v="201"/>
    <s v="금"/>
    <x v="8"/>
    <m/>
    <m/>
    <m/>
    <x v="1"/>
    <m/>
    <m/>
    <n v="2086380"/>
    <m/>
    <m/>
    <m/>
    <m/>
    <m/>
  </r>
  <r>
    <x v="202"/>
    <s v="토"/>
    <x v="8"/>
    <m/>
    <m/>
    <m/>
    <x v="1"/>
    <m/>
    <m/>
    <n v="2083390"/>
    <m/>
    <m/>
    <m/>
    <m/>
    <m/>
  </r>
  <r>
    <x v="203"/>
    <s v="일"/>
    <x v="8"/>
    <m/>
    <m/>
    <m/>
    <x v="1"/>
    <m/>
    <m/>
    <n v="2086780"/>
    <m/>
    <m/>
    <m/>
    <m/>
    <m/>
  </r>
  <r>
    <x v="204"/>
    <s v="월"/>
    <x v="8"/>
    <m/>
    <m/>
    <m/>
    <x v="1"/>
    <m/>
    <m/>
    <n v="2175120"/>
    <m/>
    <m/>
    <m/>
    <m/>
    <m/>
  </r>
  <r>
    <x v="205"/>
    <s v="화"/>
    <x v="8"/>
    <m/>
    <m/>
    <m/>
    <x v="1"/>
    <m/>
    <m/>
    <n v="2175950"/>
    <m/>
    <m/>
    <m/>
    <m/>
    <m/>
  </r>
  <r>
    <x v="206"/>
    <s v="수"/>
    <x v="8"/>
    <m/>
    <m/>
    <m/>
    <x v="1"/>
    <m/>
    <m/>
    <n v="2083460"/>
    <m/>
    <m/>
    <m/>
    <m/>
    <m/>
  </r>
  <r>
    <x v="207"/>
    <s v="목"/>
    <x v="8"/>
    <m/>
    <m/>
    <m/>
    <x v="1"/>
    <m/>
    <m/>
    <n v="4118060"/>
    <m/>
    <m/>
    <m/>
    <m/>
    <m/>
  </r>
  <r>
    <x v="208"/>
    <s v="금"/>
    <x v="8"/>
    <m/>
    <m/>
    <m/>
    <x v="1"/>
    <m/>
    <m/>
    <n v="4163790"/>
    <m/>
    <m/>
    <m/>
    <m/>
    <m/>
  </r>
  <r>
    <x v="209"/>
    <s v="토"/>
    <x v="8"/>
    <m/>
    <m/>
    <m/>
    <x v="1"/>
    <m/>
    <m/>
    <n v="4190098.181818182"/>
    <m/>
    <m/>
    <m/>
    <m/>
    <m/>
  </r>
  <r>
    <x v="210"/>
    <s v="일"/>
    <x v="8"/>
    <m/>
    <m/>
    <m/>
    <x v="1"/>
    <m/>
    <m/>
    <n v="4105110"/>
    <m/>
    <m/>
    <m/>
    <m/>
    <m/>
  </r>
  <r>
    <x v="211"/>
    <s v="월"/>
    <x v="8"/>
    <m/>
    <m/>
    <m/>
    <x v="1"/>
    <m/>
    <m/>
    <n v="3474710"/>
    <m/>
    <m/>
    <m/>
    <m/>
    <m/>
  </r>
  <r>
    <x v="212"/>
    <s v="화"/>
    <x v="8"/>
    <m/>
    <m/>
    <m/>
    <x v="1"/>
    <m/>
    <m/>
    <n v="2794690"/>
    <m/>
    <m/>
    <m/>
    <m/>
    <m/>
  </r>
  <r>
    <x v="213"/>
    <s v="수"/>
    <x v="8"/>
    <m/>
    <m/>
    <m/>
    <x v="1"/>
    <m/>
    <m/>
    <n v="1618200"/>
    <m/>
    <m/>
    <m/>
    <m/>
    <m/>
  </r>
  <r>
    <x v="214"/>
    <s v="목"/>
    <x v="8"/>
    <m/>
    <m/>
    <m/>
    <x v="1"/>
    <m/>
    <m/>
    <n v="2722350"/>
    <m/>
    <m/>
    <m/>
    <m/>
    <m/>
  </r>
  <r>
    <x v="215"/>
    <s v="금"/>
    <x v="8"/>
    <m/>
    <m/>
    <m/>
    <x v="1"/>
    <m/>
    <m/>
    <n v="3851100"/>
    <m/>
    <m/>
    <m/>
    <m/>
    <m/>
  </r>
  <r>
    <x v="216"/>
    <s v="토"/>
    <x v="8"/>
    <m/>
    <m/>
    <m/>
    <x v="1"/>
    <m/>
    <m/>
    <n v="4020590"/>
    <m/>
    <m/>
    <m/>
    <m/>
    <m/>
  </r>
  <r>
    <x v="217"/>
    <s v="일"/>
    <x v="8"/>
    <m/>
    <m/>
    <m/>
    <x v="1"/>
    <m/>
    <m/>
    <n v="3835830"/>
    <m/>
    <m/>
    <m/>
    <m/>
    <m/>
  </r>
  <r>
    <x v="218"/>
    <s v="월"/>
    <x v="8"/>
    <m/>
    <m/>
    <m/>
    <x v="1"/>
    <m/>
    <m/>
    <n v="1966780"/>
    <m/>
    <m/>
    <m/>
    <m/>
    <m/>
  </r>
  <r>
    <x v="219"/>
    <s v="화"/>
    <x v="8"/>
    <m/>
    <m/>
    <m/>
    <x v="1"/>
    <m/>
    <m/>
    <n v="1896820"/>
    <m/>
    <m/>
    <m/>
    <m/>
    <m/>
  </r>
  <r>
    <x v="220"/>
    <s v="수"/>
    <x v="8"/>
    <m/>
    <m/>
    <m/>
    <x v="1"/>
    <m/>
    <m/>
    <n v="1805100"/>
    <m/>
    <m/>
    <m/>
    <m/>
    <m/>
  </r>
  <r>
    <x v="221"/>
    <s v="목"/>
    <x v="8"/>
    <m/>
    <m/>
    <m/>
    <x v="1"/>
    <m/>
    <m/>
    <n v="2034870"/>
    <m/>
    <m/>
    <m/>
    <m/>
    <m/>
  </r>
  <r>
    <x v="222"/>
    <s v="금"/>
    <x v="8"/>
    <m/>
    <m/>
    <m/>
    <x v="1"/>
    <m/>
    <m/>
    <n v="4853150"/>
    <m/>
    <m/>
    <m/>
    <m/>
    <m/>
  </r>
  <r>
    <x v="223"/>
    <s v="토"/>
    <x v="8"/>
    <m/>
    <m/>
    <m/>
    <x v="1"/>
    <m/>
    <m/>
    <n v="4437110"/>
    <m/>
    <m/>
    <m/>
    <m/>
    <m/>
  </r>
  <r>
    <x v="224"/>
    <s v="일"/>
    <x v="8"/>
    <m/>
    <m/>
    <m/>
    <x v="1"/>
    <m/>
    <m/>
    <n v="4097370"/>
    <m/>
    <m/>
    <m/>
    <m/>
    <m/>
  </r>
  <r>
    <x v="225"/>
    <s v="월"/>
    <x v="8"/>
    <m/>
    <m/>
    <m/>
    <x v="1"/>
    <m/>
    <m/>
    <n v="2379120"/>
    <m/>
    <m/>
    <m/>
    <m/>
    <m/>
  </r>
  <r>
    <x v="226"/>
    <s v="화"/>
    <x v="8"/>
    <m/>
    <m/>
    <m/>
    <x v="1"/>
    <m/>
    <m/>
    <n v="2135660"/>
    <m/>
    <m/>
    <m/>
    <m/>
    <m/>
  </r>
  <r>
    <x v="227"/>
    <s v="수"/>
    <x v="8"/>
    <m/>
    <m/>
    <m/>
    <x v="1"/>
    <m/>
    <m/>
    <n v="1781840"/>
    <m/>
    <m/>
    <m/>
    <m/>
    <m/>
  </r>
  <r>
    <x v="228"/>
    <s v="목"/>
    <x v="8"/>
    <m/>
    <m/>
    <m/>
    <x v="1"/>
    <m/>
    <m/>
    <n v="1514350"/>
    <m/>
    <m/>
    <m/>
    <m/>
    <m/>
  </r>
  <r>
    <x v="229"/>
    <s v="금"/>
    <x v="8"/>
    <m/>
    <m/>
    <m/>
    <x v="1"/>
    <m/>
    <m/>
    <n v="1531150"/>
    <m/>
    <m/>
    <m/>
    <m/>
    <m/>
  </r>
  <r>
    <x v="230"/>
    <s v="토"/>
    <x v="8"/>
    <m/>
    <m/>
    <m/>
    <x v="1"/>
    <m/>
    <m/>
    <n v="1957660"/>
    <m/>
    <m/>
    <m/>
    <m/>
    <m/>
  </r>
  <r>
    <x v="231"/>
    <s v="일"/>
    <x v="8"/>
    <m/>
    <m/>
    <m/>
    <x v="1"/>
    <m/>
    <m/>
    <n v="1966950"/>
    <m/>
    <m/>
    <m/>
    <m/>
    <m/>
  </r>
  <r>
    <x v="232"/>
    <s v="월"/>
    <x v="8"/>
    <m/>
    <m/>
    <m/>
    <x v="1"/>
    <m/>
    <m/>
    <n v="1579290"/>
    <m/>
    <m/>
    <m/>
    <m/>
    <m/>
  </r>
  <r>
    <x v="233"/>
    <s v="화"/>
    <x v="8"/>
    <m/>
    <m/>
    <m/>
    <x v="1"/>
    <m/>
    <m/>
    <n v="1184970"/>
    <m/>
    <m/>
    <m/>
    <m/>
    <m/>
  </r>
  <r>
    <x v="234"/>
    <s v="수"/>
    <x v="8"/>
    <m/>
    <m/>
    <m/>
    <x v="1"/>
    <m/>
    <m/>
    <n v="2486190"/>
    <m/>
    <m/>
    <m/>
    <m/>
    <m/>
  </r>
  <r>
    <x v="235"/>
    <s v="목"/>
    <x v="8"/>
    <m/>
    <m/>
    <m/>
    <x v="1"/>
    <m/>
    <m/>
    <n v="1792250"/>
    <m/>
    <m/>
    <m/>
    <m/>
    <m/>
  </r>
  <r>
    <x v="236"/>
    <s v="금"/>
    <x v="8"/>
    <m/>
    <m/>
    <m/>
    <x v="1"/>
    <m/>
    <m/>
    <n v="1777150"/>
    <m/>
    <m/>
    <m/>
    <m/>
    <m/>
  </r>
  <r>
    <x v="237"/>
    <s v="토"/>
    <x v="8"/>
    <m/>
    <m/>
    <m/>
    <x v="1"/>
    <m/>
    <m/>
    <n v="1667510"/>
    <m/>
    <m/>
    <m/>
    <m/>
    <m/>
  </r>
  <r>
    <x v="238"/>
    <s v="일"/>
    <x v="8"/>
    <m/>
    <m/>
    <m/>
    <x v="1"/>
    <m/>
    <m/>
    <n v="2299070"/>
    <m/>
    <m/>
    <m/>
    <m/>
    <m/>
  </r>
  <r>
    <x v="239"/>
    <s v="월"/>
    <x v="8"/>
    <m/>
    <m/>
    <m/>
    <x v="1"/>
    <m/>
    <m/>
    <n v="1479260"/>
    <m/>
    <m/>
    <m/>
    <m/>
    <m/>
  </r>
  <r>
    <x v="240"/>
    <s v="화"/>
    <x v="8"/>
    <m/>
    <m/>
    <m/>
    <x v="1"/>
    <m/>
    <m/>
    <n v="1259040"/>
    <m/>
    <m/>
    <m/>
    <m/>
    <m/>
  </r>
  <r>
    <x v="241"/>
    <s v="수"/>
    <x v="8"/>
    <m/>
    <m/>
    <m/>
    <x v="1"/>
    <m/>
    <m/>
    <n v="1384460"/>
    <m/>
    <m/>
    <m/>
    <m/>
    <m/>
  </r>
  <r>
    <x v="242"/>
    <s v="목"/>
    <x v="8"/>
    <m/>
    <m/>
    <m/>
    <x v="1"/>
    <m/>
    <m/>
    <n v="1597130"/>
    <m/>
    <m/>
    <m/>
    <m/>
    <m/>
  </r>
  <r>
    <x v="243"/>
    <s v="금"/>
    <x v="8"/>
    <m/>
    <m/>
    <m/>
    <x v="1"/>
    <m/>
    <m/>
    <n v="1238020"/>
    <m/>
    <m/>
    <m/>
    <m/>
    <m/>
  </r>
  <r>
    <x v="244"/>
    <s v="토"/>
    <x v="8"/>
    <m/>
    <m/>
    <m/>
    <x v="1"/>
    <m/>
    <m/>
    <n v="1593000"/>
    <m/>
    <m/>
    <m/>
    <m/>
    <m/>
  </r>
  <r>
    <x v="245"/>
    <s v="일"/>
    <x v="8"/>
    <m/>
    <m/>
    <m/>
    <x v="1"/>
    <m/>
    <m/>
    <n v="1636920"/>
    <m/>
    <m/>
    <m/>
    <m/>
    <m/>
  </r>
  <r>
    <x v="246"/>
    <s v="월"/>
    <x v="8"/>
    <m/>
    <m/>
    <m/>
    <x v="1"/>
    <m/>
    <m/>
    <n v="882589.9999999999"/>
    <m/>
    <m/>
    <m/>
    <m/>
    <m/>
  </r>
  <r>
    <x v="247"/>
    <s v="화"/>
    <x v="8"/>
    <m/>
    <m/>
    <m/>
    <x v="1"/>
    <m/>
    <m/>
    <n v="880169.9999999999"/>
    <m/>
    <m/>
    <m/>
    <m/>
    <m/>
  </r>
  <r>
    <x v="248"/>
    <s v="수"/>
    <x v="8"/>
    <m/>
    <m/>
    <m/>
    <x v="1"/>
    <m/>
    <m/>
    <n v="976299.9999999999"/>
    <m/>
    <m/>
    <m/>
    <m/>
    <m/>
  </r>
  <r>
    <x v="249"/>
    <s v="목"/>
    <x v="8"/>
    <m/>
    <m/>
    <m/>
    <x v="1"/>
    <m/>
    <m/>
    <n v="1027860"/>
    <m/>
    <m/>
    <m/>
    <m/>
    <m/>
  </r>
  <r>
    <x v="250"/>
    <s v="금"/>
    <x v="8"/>
    <m/>
    <m/>
    <m/>
    <x v="1"/>
    <m/>
    <m/>
    <n v="777819.9999999999"/>
    <m/>
    <m/>
    <m/>
    <m/>
    <m/>
  </r>
  <r>
    <x v="251"/>
    <s v="토"/>
    <x v="8"/>
    <m/>
    <m/>
    <m/>
    <x v="1"/>
    <m/>
    <m/>
    <n v="830279.9999999999"/>
    <m/>
    <m/>
    <m/>
    <m/>
    <m/>
  </r>
  <r>
    <x v="252"/>
    <s v="일"/>
    <x v="8"/>
    <m/>
    <m/>
    <m/>
    <x v="1"/>
    <m/>
    <m/>
    <n v="1085320"/>
    <m/>
    <m/>
    <m/>
    <m/>
    <m/>
  </r>
  <r>
    <x v="253"/>
    <s v="월"/>
    <x v="8"/>
    <m/>
    <m/>
    <m/>
    <x v="1"/>
    <m/>
    <m/>
    <n v="882739.9999999999"/>
    <m/>
    <m/>
    <m/>
    <m/>
    <m/>
  </r>
  <r>
    <x v="254"/>
    <s v="화"/>
    <x v="8"/>
    <m/>
    <m/>
    <m/>
    <x v="1"/>
    <m/>
    <m/>
    <n v="935359.9999999999"/>
    <m/>
    <m/>
    <m/>
    <m/>
    <m/>
  </r>
  <r>
    <x v="255"/>
    <s v="수"/>
    <x v="8"/>
    <m/>
    <m/>
    <m/>
    <x v="1"/>
    <m/>
    <m/>
    <n v="652380"/>
    <m/>
    <m/>
    <m/>
    <m/>
    <m/>
  </r>
  <r>
    <x v="256"/>
    <s v="목"/>
    <x v="8"/>
    <m/>
    <m/>
    <m/>
    <x v="1"/>
    <m/>
    <m/>
    <n v="788969.9999999999"/>
    <m/>
    <m/>
    <m/>
    <m/>
    <m/>
  </r>
  <r>
    <x v="257"/>
    <s v="금"/>
    <x v="8"/>
    <m/>
    <m/>
    <m/>
    <x v="1"/>
    <m/>
    <m/>
    <n v="660140"/>
    <m/>
    <m/>
    <m/>
    <m/>
    <m/>
  </r>
  <r>
    <x v="258"/>
    <s v="토"/>
    <x v="8"/>
    <m/>
    <m/>
    <m/>
    <x v="1"/>
    <m/>
    <m/>
    <n v="1000310"/>
    <m/>
    <m/>
    <m/>
    <m/>
    <m/>
  </r>
  <r>
    <x v="259"/>
    <s v="일"/>
    <x v="8"/>
    <m/>
    <m/>
    <m/>
    <x v="1"/>
    <m/>
    <m/>
    <n v="1109200"/>
    <m/>
    <m/>
    <m/>
    <m/>
    <m/>
  </r>
  <r>
    <x v="260"/>
    <s v="월"/>
    <x v="8"/>
    <m/>
    <m/>
    <m/>
    <x v="1"/>
    <m/>
    <m/>
    <n v="611590"/>
    <m/>
    <m/>
    <m/>
    <m/>
    <m/>
  </r>
  <r>
    <x v="261"/>
    <s v="화"/>
    <x v="8"/>
    <m/>
    <m/>
    <m/>
    <x v="1"/>
    <m/>
    <m/>
    <n v="719600"/>
    <m/>
    <m/>
    <m/>
    <m/>
    <m/>
  </r>
  <r>
    <x v="205"/>
    <s v="화"/>
    <x v="9"/>
    <m/>
    <m/>
    <m/>
    <x v="1"/>
    <m/>
    <m/>
    <n v="371369.9999999999"/>
    <m/>
    <m/>
    <m/>
    <m/>
    <m/>
  </r>
  <r>
    <x v="206"/>
    <s v="수"/>
    <x v="9"/>
    <m/>
    <m/>
    <m/>
    <x v="1"/>
    <m/>
    <m/>
    <n v="556680"/>
    <m/>
    <m/>
    <m/>
    <m/>
    <m/>
  </r>
  <r>
    <x v="255"/>
    <s v="수"/>
    <x v="9"/>
    <m/>
    <m/>
    <m/>
    <x v="1"/>
    <m/>
    <m/>
    <n v="658860"/>
    <m/>
    <m/>
    <m/>
    <m/>
    <m/>
  </r>
  <r>
    <x v="227"/>
    <s v="수"/>
    <x v="10"/>
    <m/>
    <m/>
    <m/>
    <x v="1"/>
    <m/>
    <m/>
    <n v="103000"/>
    <m/>
    <m/>
    <m/>
    <m/>
    <m/>
  </r>
  <r>
    <x v="228"/>
    <s v="목"/>
    <x v="10"/>
    <m/>
    <m/>
    <m/>
    <x v="1"/>
    <m/>
    <m/>
    <n v="153214"/>
    <m/>
    <m/>
    <m/>
    <m/>
    <m/>
  </r>
  <r>
    <x v="229"/>
    <s v="금"/>
    <x v="10"/>
    <m/>
    <m/>
    <m/>
    <x v="1"/>
    <m/>
    <m/>
    <n v="176357"/>
    <m/>
    <m/>
    <m/>
    <m/>
    <m/>
  </r>
  <r>
    <x v="230"/>
    <s v="토"/>
    <x v="10"/>
    <m/>
    <m/>
    <m/>
    <x v="1"/>
    <m/>
    <m/>
    <n v="391660"/>
    <m/>
    <m/>
    <m/>
    <m/>
    <m/>
  </r>
  <r>
    <x v="231"/>
    <s v="일"/>
    <x v="10"/>
    <m/>
    <m/>
    <m/>
    <x v="1"/>
    <m/>
    <m/>
    <n v="254181"/>
    <m/>
    <m/>
    <m/>
    <m/>
    <m/>
  </r>
  <r>
    <x v="232"/>
    <s v="월"/>
    <x v="10"/>
    <m/>
    <m/>
    <m/>
    <x v="1"/>
    <m/>
    <m/>
    <n v="425895"/>
    <m/>
    <m/>
    <m/>
    <m/>
    <m/>
  </r>
  <r>
    <x v="233"/>
    <s v="화"/>
    <x v="10"/>
    <m/>
    <m/>
    <m/>
    <x v="1"/>
    <m/>
    <m/>
    <n v="241159"/>
    <m/>
    <m/>
    <m/>
    <m/>
    <m/>
  </r>
  <r>
    <x v="234"/>
    <s v="수"/>
    <x v="10"/>
    <m/>
    <m/>
    <m/>
    <x v="1"/>
    <m/>
    <m/>
    <n v="2250454"/>
    <m/>
    <m/>
    <m/>
    <m/>
    <m/>
  </r>
  <r>
    <x v="235"/>
    <s v="목"/>
    <x v="10"/>
    <m/>
    <m/>
    <m/>
    <x v="1"/>
    <m/>
    <m/>
    <n v="634289"/>
    <m/>
    <m/>
    <m/>
    <m/>
    <m/>
  </r>
  <r>
    <x v="236"/>
    <s v="금"/>
    <x v="10"/>
    <m/>
    <m/>
    <m/>
    <x v="1"/>
    <m/>
    <m/>
    <n v="711620"/>
    <m/>
    <m/>
    <m/>
    <m/>
    <m/>
  </r>
  <r>
    <x v="237"/>
    <s v="토"/>
    <x v="10"/>
    <m/>
    <m/>
    <m/>
    <x v="1"/>
    <m/>
    <m/>
    <n v="1040116"/>
    <m/>
    <m/>
    <m/>
    <m/>
    <m/>
  </r>
  <r>
    <x v="238"/>
    <s v="일"/>
    <x v="10"/>
    <m/>
    <m/>
    <m/>
    <x v="1"/>
    <m/>
    <m/>
    <n v="1039757"/>
    <m/>
    <m/>
    <m/>
    <m/>
    <m/>
  </r>
  <r>
    <x v="239"/>
    <s v="월"/>
    <x v="10"/>
    <m/>
    <m/>
    <m/>
    <x v="1"/>
    <m/>
    <m/>
    <n v="995070"/>
    <m/>
    <m/>
    <m/>
    <m/>
    <m/>
  </r>
  <r>
    <x v="240"/>
    <s v="화"/>
    <x v="10"/>
    <m/>
    <m/>
    <m/>
    <x v="1"/>
    <m/>
    <m/>
    <n v="1184823"/>
    <m/>
    <m/>
    <m/>
    <m/>
    <m/>
  </r>
  <r>
    <x v="241"/>
    <s v="수"/>
    <x v="10"/>
    <m/>
    <m/>
    <m/>
    <x v="1"/>
    <m/>
    <m/>
    <n v="1124987"/>
    <m/>
    <m/>
    <m/>
    <m/>
    <m/>
  </r>
  <r>
    <x v="242"/>
    <s v="목"/>
    <x v="10"/>
    <m/>
    <m/>
    <m/>
    <x v="1"/>
    <m/>
    <m/>
    <n v="998487"/>
    <m/>
    <m/>
    <m/>
    <m/>
    <m/>
  </r>
  <r>
    <x v="243"/>
    <s v="금"/>
    <x v="10"/>
    <m/>
    <m/>
    <m/>
    <x v="1"/>
    <m/>
    <m/>
    <n v="1090925"/>
    <m/>
    <m/>
    <m/>
    <m/>
    <m/>
  </r>
  <r>
    <x v="244"/>
    <s v="토"/>
    <x v="10"/>
    <m/>
    <m/>
    <m/>
    <x v="1"/>
    <m/>
    <m/>
    <n v="2721234"/>
    <m/>
    <m/>
    <m/>
    <m/>
    <m/>
  </r>
  <r>
    <x v="245"/>
    <s v="일"/>
    <x v="10"/>
    <m/>
    <m/>
    <m/>
    <x v="1"/>
    <m/>
    <m/>
    <n v="2278917"/>
    <m/>
    <m/>
    <m/>
    <m/>
    <m/>
  </r>
  <r>
    <x v="246"/>
    <s v="월"/>
    <x v="10"/>
    <m/>
    <m/>
    <m/>
    <x v="1"/>
    <m/>
    <m/>
    <n v="1545447"/>
    <m/>
    <m/>
    <m/>
    <m/>
    <m/>
  </r>
  <r>
    <x v="247"/>
    <s v="화"/>
    <x v="10"/>
    <m/>
    <m/>
    <m/>
    <x v="1"/>
    <m/>
    <m/>
    <n v="1490986"/>
    <m/>
    <m/>
    <m/>
    <m/>
    <m/>
  </r>
  <r>
    <x v="248"/>
    <s v="수"/>
    <x v="10"/>
    <m/>
    <m/>
    <m/>
    <x v="1"/>
    <m/>
    <m/>
    <n v="1554382"/>
    <m/>
    <m/>
    <m/>
    <m/>
    <m/>
  </r>
  <r>
    <x v="249"/>
    <s v="목"/>
    <x v="10"/>
    <m/>
    <m/>
    <m/>
    <x v="1"/>
    <m/>
    <m/>
    <n v="1611620"/>
    <m/>
    <m/>
    <m/>
    <m/>
    <m/>
  </r>
  <r>
    <x v="250"/>
    <s v="금"/>
    <x v="10"/>
    <m/>
    <m/>
    <m/>
    <x v="1"/>
    <m/>
    <m/>
    <n v="1517415"/>
    <m/>
    <m/>
    <m/>
    <m/>
    <m/>
  </r>
  <r>
    <x v="251"/>
    <s v="토"/>
    <x v="10"/>
    <m/>
    <m/>
    <m/>
    <x v="1"/>
    <m/>
    <m/>
    <n v="2105413"/>
    <m/>
    <m/>
    <m/>
    <m/>
    <m/>
  </r>
  <r>
    <x v="252"/>
    <s v="일"/>
    <x v="10"/>
    <m/>
    <m/>
    <m/>
    <x v="1"/>
    <m/>
    <m/>
    <n v="2267119"/>
    <m/>
    <m/>
    <m/>
    <m/>
    <m/>
  </r>
  <r>
    <x v="253"/>
    <s v="월"/>
    <x v="10"/>
    <m/>
    <m/>
    <m/>
    <x v="1"/>
    <m/>
    <m/>
    <n v="1839049"/>
    <m/>
    <m/>
    <m/>
    <m/>
    <m/>
  </r>
  <r>
    <x v="254"/>
    <s v="화"/>
    <x v="10"/>
    <m/>
    <m/>
    <m/>
    <x v="1"/>
    <m/>
    <m/>
    <n v="2112342"/>
    <m/>
    <m/>
    <m/>
    <m/>
    <m/>
  </r>
  <r>
    <x v="255"/>
    <s v="수"/>
    <x v="10"/>
    <m/>
    <m/>
    <m/>
    <x v="1"/>
    <m/>
    <m/>
    <n v="2251847"/>
    <m/>
    <m/>
    <m/>
    <m/>
    <m/>
  </r>
  <r>
    <x v="256"/>
    <s v="목"/>
    <x v="10"/>
    <m/>
    <m/>
    <m/>
    <x v="1"/>
    <m/>
    <m/>
    <n v="2137117"/>
    <m/>
    <m/>
    <m/>
    <m/>
    <m/>
  </r>
  <r>
    <x v="257"/>
    <s v="금"/>
    <x v="10"/>
    <m/>
    <m/>
    <m/>
    <x v="1"/>
    <m/>
    <m/>
    <n v="1917100"/>
    <m/>
    <m/>
    <m/>
    <m/>
    <m/>
  </r>
  <r>
    <x v="258"/>
    <s v="토"/>
    <x v="10"/>
    <m/>
    <m/>
    <m/>
    <x v="1"/>
    <m/>
    <m/>
    <n v="1957793"/>
    <m/>
    <m/>
    <m/>
    <m/>
    <m/>
  </r>
  <r>
    <x v="259"/>
    <s v="일"/>
    <x v="10"/>
    <m/>
    <m/>
    <m/>
    <x v="1"/>
    <m/>
    <m/>
    <n v="2237102"/>
    <m/>
    <m/>
    <m/>
    <m/>
    <m/>
  </r>
  <r>
    <x v="260"/>
    <s v="월"/>
    <x v="10"/>
    <m/>
    <m/>
    <m/>
    <x v="1"/>
    <m/>
    <m/>
    <n v="2052221"/>
    <m/>
    <m/>
    <m/>
    <m/>
    <m/>
  </r>
  <r>
    <x v="261"/>
    <s v="화"/>
    <x v="10"/>
    <m/>
    <m/>
    <m/>
    <x v="1"/>
    <m/>
    <m/>
    <n v="2208020"/>
    <m/>
    <m/>
    <m/>
    <m/>
    <m/>
  </r>
  <r>
    <x v="262"/>
    <m/>
    <x v="11"/>
    <m/>
    <m/>
    <m/>
    <x v="1"/>
    <m/>
    <m/>
    <m/>
    <m/>
    <m/>
    <m/>
    <m/>
    <m/>
  </r>
  <r>
    <x v="262"/>
    <m/>
    <x v="11"/>
    <m/>
    <m/>
    <m/>
    <x v="1"/>
    <m/>
    <m/>
    <m/>
    <m/>
    <m/>
    <m/>
    <m/>
    <m/>
  </r>
  <r>
    <x v="262"/>
    <m/>
    <x v="11"/>
    <m/>
    <m/>
    <m/>
    <x v="1"/>
    <m/>
    <m/>
    <m/>
    <m/>
    <m/>
    <m/>
    <m/>
    <m/>
  </r>
  <r>
    <x v="262"/>
    <m/>
    <x v="11"/>
    <m/>
    <m/>
    <m/>
    <x v="1"/>
    <m/>
    <m/>
    <m/>
    <m/>
    <m/>
    <m/>
    <m/>
    <m/>
  </r>
  <r>
    <x v="262"/>
    <m/>
    <x v="11"/>
    <m/>
    <m/>
    <m/>
    <x v="1"/>
    <m/>
    <m/>
    <m/>
    <m/>
    <m/>
    <m/>
    <m/>
    <m/>
  </r>
  <r>
    <x v="262"/>
    <m/>
    <x v="11"/>
    <m/>
    <m/>
    <m/>
    <x v="1"/>
    <m/>
    <m/>
    <m/>
    <m/>
    <m/>
    <m/>
    <m/>
    <m/>
  </r>
  <r>
    <x v="262"/>
    <m/>
    <x v="11"/>
    <m/>
    <m/>
    <m/>
    <x v="1"/>
    <m/>
    <m/>
    <m/>
    <m/>
    <m/>
    <m/>
    <m/>
    <m/>
  </r>
  <r>
    <x v="262"/>
    <m/>
    <x v="11"/>
    <m/>
    <m/>
    <m/>
    <x v="1"/>
    <m/>
    <m/>
    <m/>
    <m/>
    <m/>
    <m/>
    <m/>
    <m/>
  </r>
  <r>
    <x v="262"/>
    <m/>
    <x v="11"/>
    <m/>
    <m/>
    <m/>
    <x v="1"/>
    <m/>
    <m/>
    <m/>
    <m/>
    <m/>
    <m/>
    <m/>
    <m/>
  </r>
  <r>
    <x v="262"/>
    <m/>
    <x v="11"/>
    <m/>
    <m/>
    <m/>
    <x v="1"/>
    <m/>
    <m/>
    <m/>
    <m/>
    <m/>
    <m/>
    <m/>
    <m/>
  </r>
  <r>
    <x v="262"/>
    <m/>
    <x v="11"/>
    <m/>
    <m/>
    <m/>
    <x v="1"/>
    <m/>
    <m/>
    <m/>
    <m/>
    <m/>
    <m/>
    <m/>
    <m/>
  </r>
  <r>
    <x v="262"/>
    <m/>
    <x v="11"/>
    <m/>
    <m/>
    <m/>
    <x v="1"/>
    <m/>
    <m/>
    <m/>
    <m/>
    <m/>
    <m/>
    <m/>
    <m/>
  </r>
  <r>
    <x v="262"/>
    <m/>
    <x v="11"/>
    <m/>
    <m/>
    <m/>
    <x v="1"/>
    <m/>
    <m/>
    <m/>
    <m/>
    <m/>
    <m/>
    <m/>
    <m/>
  </r>
  <r>
    <x v="262"/>
    <m/>
    <x v="11"/>
    <m/>
    <m/>
    <m/>
    <x v="1"/>
    <m/>
    <m/>
    <m/>
    <m/>
    <m/>
    <m/>
    <m/>
    <m/>
  </r>
  <r>
    <x v="262"/>
    <m/>
    <x v="11"/>
    <m/>
    <m/>
    <m/>
    <x v="1"/>
    <m/>
    <m/>
    <m/>
    <m/>
    <m/>
    <m/>
    <m/>
    <m/>
  </r>
  <r>
    <x v="0"/>
    <s v="금"/>
    <x v="11"/>
    <s v="카페24"/>
    <m/>
    <n v="2"/>
    <x v="0"/>
    <s v="이그나이트"/>
    <n v="200520"/>
    <m/>
    <n v="76000"/>
    <n v="71554"/>
    <n v="5776"/>
    <n v="69090.90909090909"/>
    <s v="카페24고체향수이그나이트200520"/>
  </r>
  <r>
    <x v="1"/>
    <s v="토"/>
    <x v="11"/>
    <s v="카페24"/>
    <m/>
    <n v="1"/>
    <x v="0"/>
    <s v="스테이포에버"/>
    <n v="200520"/>
    <m/>
    <n v="38000"/>
    <n v="35777"/>
    <n v="2783"/>
    <n v="34545.45454545454"/>
    <s v="카페24고체향수스테이포에버200520"/>
  </r>
  <r>
    <x v="2"/>
    <s v="화"/>
    <x v="11"/>
    <s v="카페24"/>
    <m/>
    <n v="1"/>
    <x v="0"/>
    <s v="이그나이트"/>
    <n v="200520"/>
    <m/>
    <n v="38000"/>
    <n v="35777"/>
    <n v="2888"/>
    <n v="34545.45454545454"/>
    <s v="카페24고체향수이그나이트200520"/>
  </r>
  <r>
    <x v="2"/>
    <s v="화"/>
    <x v="11"/>
    <s v="카페24"/>
    <m/>
    <n v="4"/>
    <x v="0"/>
    <s v="스테이포에버"/>
    <n v="200520"/>
    <m/>
    <n v="152000"/>
    <n v="143108"/>
    <n v="11132"/>
    <n v="138181.8181818182"/>
    <s v="카페24고체향수스테이포에버200520"/>
  </r>
  <r>
    <x v="2"/>
    <s v="화"/>
    <x v="11"/>
    <s v="카페24"/>
    <m/>
    <n v="1"/>
    <x v="0"/>
    <s v="이그나이트 + 스테이포에버"/>
    <n v="200520"/>
    <m/>
    <n v="69000"/>
    <n v="64963.5"/>
    <n v="5671"/>
    <n v="62727.27272727272"/>
    <s v="카페24고체향수이그나이트 + 스테이포에버200520"/>
  </r>
  <r>
    <x v="3"/>
    <s v="수"/>
    <x v="11"/>
    <s v="카페24"/>
    <m/>
    <n v="2"/>
    <x v="0"/>
    <s v="이그나이트 + 스테이포에버"/>
    <n v="200520"/>
    <m/>
    <n v="138000"/>
    <n v="129927"/>
    <n v="11342"/>
    <n v="125454.5454545454"/>
    <s v="카페24고체향수이그나이트 + 스테이포에버200520"/>
  </r>
  <r>
    <x v="3"/>
    <s v="수"/>
    <x v="11"/>
    <s v="카페24"/>
    <m/>
    <n v="2"/>
    <x v="0"/>
    <s v="이그나이트"/>
    <n v="200520"/>
    <m/>
    <n v="76000"/>
    <n v="71554"/>
    <n v="5776"/>
    <n v="69090.90909090909"/>
    <s v="카페24고체향수이그나이트200520"/>
  </r>
  <r>
    <x v="3"/>
    <s v="수"/>
    <x v="11"/>
    <s v="카페24"/>
    <m/>
    <n v="7"/>
    <x v="0"/>
    <s v="스테이포에버"/>
    <n v="200520"/>
    <m/>
    <n v="266000"/>
    <n v="250439"/>
    <n v="19481"/>
    <n v="241818.1818181818"/>
    <s v="카페24고체향수스테이포에버200520"/>
  </r>
  <r>
    <x v="4"/>
    <s v="목"/>
    <x v="11"/>
    <s v="카페24"/>
    <m/>
    <n v="1"/>
    <x v="0"/>
    <s v="이그나이트"/>
    <n v="200520"/>
    <m/>
    <n v="38000"/>
    <n v="35777"/>
    <n v="2888"/>
    <n v="34545.45454545454"/>
    <s v="카페24고체향수이그나이트200520"/>
  </r>
  <r>
    <x v="4"/>
    <s v="목"/>
    <x v="11"/>
    <s v="카페24"/>
    <m/>
    <n v="5"/>
    <x v="0"/>
    <s v="스테이포에버"/>
    <n v="200520"/>
    <m/>
    <n v="190000"/>
    <n v="178885"/>
    <n v="13915"/>
    <n v="172727.2727272727"/>
    <s v="카페24고체향수스테이포에버200520"/>
  </r>
  <r>
    <x v="5"/>
    <s v="금"/>
    <x v="11"/>
    <s v="카페24"/>
    <m/>
    <n v="1"/>
    <x v="0"/>
    <s v="이그나이트 + 스테이포에버"/>
    <n v="200520"/>
    <m/>
    <n v="69000"/>
    <n v="64963.5"/>
    <n v="5671"/>
    <n v="62727.27272727272"/>
    <s v="카페24고체향수이그나이트 + 스테이포에버200520"/>
  </r>
  <r>
    <x v="5"/>
    <s v="금"/>
    <x v="11"/>
    <s v="카페24"/>
    <m/>
    <n v="1"/>
    <x v="0"/>
    <s v="스테이포에버"/>
    <n v="200520"/>
    <m/>
    <n v="38000"/>
    <n v="35777"/>
    <n v="2783"/>
    <n v="34545.45454545454"/>
    <s v="카페24고체향수스테이포에버200520"/>
  </r>
  <r>
    <x v="6"/>
    <s v="토"/>
    <x v="11"/>
    <s v="카페24"/>
    <m/>
    <n v="1"/>
    <x v="0"/>
    <s v="이그나이트"/>
    <n v="200520"/>
    <m/>
    <n v="38000"/>
    <n v="35777"/>
    <n v="2888"/>
    <n v="34545.45454545454"/>
    <s v="카페24고체향수이그나이트200520"/>
  </r>
  <r>
    <x v="6"/>
    <s v="토"/>
    <x v="11"/>
    <s v="카페24"/>
    <m/>
    <n v="4"/>
    <x v="0"/>
    <s v="스테이포에버"/>
    <n v="200520"/>
    <m/>
    <n v="152000"/>
    <n v="143108"/>
    <n v="11132"/>
    <n v="138181.8181818182"/>
    <s v="카페24고체향수스테이포에버200520"/>
  </r>
  <r>
    <x v="7"/>
    <s v="일"/>
    <x v="11"/>
    <s v="카페24"/>
    <m/>
    <n v="1"/>
    <x v="0"/>
    <s v="이그나이트 + 스테이포에버"/>
    <n v="200520"/>
    <m/>
    <n v="69000"/>
    <n v="64963.5"/>
    <n v="5671"/>
    <n v="62727.27272727272"/>
    <s v="카페24고체향수이그나이트 + 스테이포에버200520"/>
  </r>
  <r>
    <x v="7"/>
    <s v="일"/>
    <x v="11"/>
    <s v="카페24"/>
    <m/>
    <n v="2"/>
    <x v="0"/>
    <s v="이그나이트"/>
    <n v="200520"/>
    <m/>
    <n v="76000"/>
    <n v="71554"/>
    <n v="5776"/>
    <n v="69090.90909090909"/>
    <s v="카페24고체향수이그나이트200520"/>
  </r>
  <r>
    <x v="7"/>
    <s v="일"/>
    <x v="11"/>
    <s v="카페24"/>
    <m/>
    <n v="1"/>
    <x v="0"/>
    <s v="스테이포에버"/>
    <n v="200520"/>
    <m/>
    <n v="38000"/>
    <n v="35777"/>
    <n v="2783"/>
    <n v="34545.45454545454"/>
    <s v="카페24고체향수스테이포에버200520"/>
  </r>
  <r>
    <x v="8"/>
    <s v="월"/>
    <x v="11"/>
    <s v="카페24"/>
    <m/>
    <n v="2"/>
    <x v="0"/>
    <s v="스테이포에버"/>
    <n v="200520"/>
    <m/>
    <n v="76000"/>
    <n v="71554"/>
    <n v="5566"/>
    <n v="69090.90909090909"/>
    <s v="카페24고체향수스테이포에버200520"/>
  </r>
  <r>
    <x v="9"/>
    <s v="화"/>
    <x v="11"/>
    <s v="카페24"/>
    <m/>
    <n v="1"/>
    <x v="0"/>
    <s v="이그나이트 + 스테이포에버"/>
    <n v="200520"/>
    <m/>
    <n v="69000"/>
    <n v="64963.5"/>
    <n v="5671"/>
    <n v="62727.27272727272"/>
    <s v="카페24고체향수이그나이트 + 스테이포에버200520"/>
  </r>
  <r>
    <x v="9"/>
    <s v="화"/>
    <x v="11"/>
    <s v="카페24"/>
    <m/>
    <n v="2"/>
    <x v="0"/>
    <s v="스테이포에버"/>
    <n v="200520"/>
    <m/>
    <n v="76000"/>
    <n v="71554"/>
    <n v="5566"/>
    <n v="69090.90909090909"/>
    <s v="카페24고체향수스테이포에버200520"/>
  </r>
  <r>
    <x v="9"/>
    <s v="화"/>
    <x v="11"/>
    <s v="카페24"/>
    <m/>
    <n v="1"/>
    <x v="2"/>
    <s v="유즈쇼핑백"/>
    <n v="200520"/>
    <m/>
    <n v="2000"/>
    <n v="1883"/>
    <n v="1210"/>
    <n v="1818.181818181818"/>
    <s v="카페24쇼핑백유즈쇼핑백200520"/>
  </r>
  <r>
    <x v="10"/>
    <s v="수"/>
    <x v="11"/>
    <s v="유즈 CS"/>
    <m/>
    <n v="1"/>
    <x v="0"/>
    <s v="이그나이트 + 스테이포에버"/>
    <n v="200520"/>
    <m/>
    <n v="0"/>
    <n v="0"/>
    <n v="5671"/>
    <n v="0"/>
    <s v="유즈 CS고체향수이그나이트 + 스테이포에버200520"/>
  </r>
  <r>
    <x v="10"/>
    <s v="수"/>
    <x v="11"/>
    <s v="카페24"/>
    <m/>
    <n v="2"/>
    <x v="0"/>
    <s v="스테이포에버"/>
    <n v="200520"/>
    <m/>
    <n v="76000"/>
    <n v="71554"/>
    <n v="5566"/>
    <n v="69090.90909090909"/>
    <s v="카페24고체향수스테이포에버200520"/>
  </r>
  <r>
    <x v="10"/>
    <s v="수"/>
    <x v="11"/>
    <s v="카페24"/>
    <m/>
    <n v="1"/>
    <x v="0"/>
    <s v="이그나이트"/>
    <n v="200520"/>
    <m/>
    <n v="38000"/>
    <n v="35777"/>
    <n v="2888"/>
    <n v="34545.45454545454"/>
    <s v="카페24고체향수이그나이트200520"/>
  </r>
  <r>
    <x v="11"/>
    <s v="목"/>
    <x v="11"/>
    <s v="카페24"/>
    <m/>
    <n v="1"/>
    <x v="0"/>
    <s v="이그나이트 + 스테이포에버"/>
    <n v="200520"/>
    <m/>
    <n v="69000"/>
    <n v="64963.5"/>
    <n v="5671"/>
    <n v="62727.27272727272"/>
    <s v="카페24고체향수이그나이트 + 스테이포에버200520"/>
  </r>
  <r>
    <x v="11"/>
    <s v="목"/>
    <x v="11"/>
    <s v="카페24"/>
    <m/>
    <n v="25"/>
    <x v="0"/>
    <s v="스테이포에버"/>
    <n v="200520"/>
    <m/>
    <n v="950000"/>
    <n v="894425"/>
    <n v="69575"/>
    <n v="863636.3636363635"/>
    <s v="카페24고체향수스테이포에버200520"/>
  </r>
  <r>
    <x v="12"/>
    <s v="금"/>
    <x v="11"/>
    <s v="카페24"/>
    <m/>
    <n v="12"/>
    <x v="0"/>
    <s v="스테이포에버"/>
    <n v="200520"/>
    <m/>
    <n v="456000"/>
    <n v="429324"/>
    <n v="33396"/>
    <n v="414545.4545454545"/>
    <s v="카페24고체향수스테이포에버200520"/>
  </r>
  <r>
    <x v="12"/>
    <s v="금"/>
    <x v="11"/>
    <s v="유즈 CS"/>
    <m/>
    <n v="12"/>
    <x v="0"/>
    <s v="스테이포에버"/>
    <n v="200520"/>
    <m/>
    <n v="0"/>
    <n v="0"/>
    <n v="33396"/>
    <n v="0"/>
    <s v="유즈 CS고체향수스테이포에버200520"/>
  </r>
  <r>
    <x v="12"/>
    <s v="금"/>
    <x v="11"/>
    <s v="유즈 CS"/>
    <m/>
    <n v="11"/>
    <x v="0"/>
    <s v="이그나이트"/>
    <n v="200520"/>
    <m/>
    <n v="0"/>
    <n v="0"/>
    <n v="31768"/>
    <n v="0"/>
    <s v="유즈 CS고체향수이그나이트200520"/>
  </r>
  <r>
    <x v="12"/>
    <s v="금"/>
    <x v="11"/>
    <s v="유즈 CS"/>
    <m/>
    <n v="1"/>
    <x v="2"/>
    <s v="유즈쇼핑백"/>
    <n v="200520"/>
    <m/>
    <n v="0"/>
    <n v="0"/>
    <n v="1210"/>
    <n v="0"/>
    <s v="유즈 CS쇼핑백유즈쇼핑백200520"/>
  </r>
  <r>
    <x v="13"/>
    <s v="토"/>
    <x v="11"/>
    <s v="카페24"/>
    <m/>
    <n v="1"/>
    <x v="0"/>
    <s v="이그나이트 + 스테이포에버"/>
    <n v="200520"/>
    <m/>
    <n v="69000"/>
    <n v="64963.5"/>
    <n v="5671"/>
    <n v="62727.27272727272"/>
    <s v="카페24고체향수이그나이트 + 스테이포에버200520"/>
  </r>
  <r>
    <x v="13"/>
    <s v="토"/>
    <x v="11"/>
    <s v="카페24"/>
    <m/>
    <n v="9"/>
    <x v="0"/>
    <s v="스테이포에버"/>
    <n v="200520"/>
    <m/>
    <n v="342000"/>
    <n v="321993"/>
    <n v="25047"/>
    <n v="310909.0909090909"/>
    <s v="카페24고체향수스테이포에버200520"/>
  </r>
  <r>
    <x v="14"/>
    <s v="일"/>
    <x v="11"/>
    <s v="카페24"/>
    <m/>
    <n v="12"/>
    <x v="0"/>
    <s v="스테이포에버"/>
    <n v="200520"/>
    <m/>
    <n v="456000"/>
    <n v="429324"/>
    <n v="33396"/>
    <n v="414545.4545454545"/>
    <s v="카페24고체향수스테이포에버200520"/>
  </r>
  <r>
    <x v="14"/>
    <s v="일"/>
    <x v="11"/>
    <s v="카페24"/>
    <m/>
    <n v="1"/>
    <x v="0"/>
    <s v="이그나이트"/>
    <n v="200520"/>
    <m/>
    <n v="38000"/>
    <n v="35777"/>
    <n v="2888"/>
    <n v="34545.45454545454"/>
    <s v="카페24고체향수이그나이트200520"/>
  </r>
  <r>
    <x v="15"/>
    <s v="월"/>
    <x v="11"/>
    <s v="카페24"/>
    <m/>
    <n v="22"/>
    <x v="0"/>
    <s v="스테이포에버"/>
    <n v="200520"/>
    <m/>
    <n v="836000"/>
    <n v="787094"/>
    <n v="61226"/>
    <n v="759999.9999999999"/>
    <s v="카페24고체향수스테이포에버200520"/>
  </r>
  <r>
    <x v="15"/>
    <s v="월"/>
    <x v="11"/>
    <s v="카페24"/>
    <m/>
    <n v="1"/>
    <x v="0"/>
    <s v="이그나이트"/>
    <n v="200520"/>
    <m/>
    <n v="38000"/>
    <n v="35777"/>
    <n v="2888"/>
    <n v="34545.45454545454"/>
    <s v="카페24고체향수이그나이트200520"/>
  </r>
  <r>
    <x v="16"/>
    <s v="화"/>
    <x v="11"/>
    <s v="카페24"/>
    <m/>
    <n v="1"/>
    <x v="0"/>
    <s v="이그나이트"/>
    <n v="200520"/>
    <m/>
    <n v="38000"/>
    <n v="35777"/>
    <n v="2888"/>
    <n v="34545.45454545454"/>
    <s v="카페24고체향수이그나이트200520"/>
  </r>
  <r>
    <x v="16"/>
    <s v="화"/>
    <x v="11"/>
    <s v="카페24"/>
    <m/>
    <n v="20"/>
    <x v="0"/>
    <s v="스테이포에버"/>
    <n v="200520"/>
    <m/>
    <n v="760000"/>
    <n v="715540"/>
    <n v="55660"/>
    <n v="690909.0909090908"/>
    <s v="카페24고체향수스테이포에버200520"/>
  </r>
  <r>
    <x v="17"/>
    <s v="수"/>
    <x v="11"/>
    <s v="카페24"/>
    <m/>
    <n v="1"/>
    <x v="0"/>
    <s v="이그나이트 + 스테이포에버 + 쇼핑백2개"/>
    <n v="200520"/>
    <m/>
    <n v="50000"/>
    <n v="47075"/>
    <n v="8091"/>
    <n v="45454.54545454545"/>
    <s v="카페24고체향수이그나이트 + 스테이포에버 + 쇼핑백2개200520"/>
  </r>
  <r>
    <x v="17"/>
    <s v="수"/>
    <x v="11"/>
    <s v="카페24"/>
    <m/>
    <n v="1"/>
    <x v="0"/>
    <s v="이그나이트 + 쇼핑백"/>
    <n v="200520"/>
    <m/>
    <n v="28800"/>
    <n v="27115.2"/>
    <n v="4098"/>
    <n v="26181.81818181818"/>
    <s v="카페24고체향수이그나이트 + 쇼핑백200520"/>
  </r>
  <r>
    <x v="17"/>
    <s v="수"/>
    <x v="11"/>
    <s v="카페24"/>
    <m/>
    <n v="24"/>
    <x v="0"/>
    <s v="스테이포에버 + 쇼핑백"/>
    <n v="200520"/>
    <m/>
    <n v="691200"/>
    <n v="650764.8"/>
    <n v="95832"/>
    <n v="628363.6363636364"/>
    <s v="카페24고체향수스테이포에버 + 쇼핑백200520"/>
  </r>
  <r>
    <x v="17"/>
    <s v="수"/>
    <x v="11"/>
    <s v="카페24"/>
    <m/>
    <n v="5"/>
    <x v="0"/>
    <s v="스테이포에버"/>
    <n v="200520"/>
    <m/>
    <n v="190000"/>
    <n v="178885"/>
    <n v="13915"/>
    <n v="172727.2727272727"/>
    <s v="카페24고체향수스테이포에버200520"/>
  </r>
  <r>
    <x v="17"/>
    <s v="수"/>
    <x v="11"/>
    <s v="유즈 CS"/>
    <m/>
    <n v="31"/>
    <x v="0"/>
    <s v="스테이포에버"/>
    <n v="200520"/>
    <m/>
    <n v="0"/>
    <n v="0"/>
    <n v="86273"/>
    <n v="0"/>
    <s v="유즈 CS고체향수스테이포에버200520"/>
  </r>
  <r>
    <x v="17"/>
    <s v="수"/>
    <x v="11"/>
    <s v="유즈 CS"/>
    <m/>
    <n v="31"/>
    <x v="0"/>
    <s v="이그나이트"/>
    <n v="200520"/>
    <m/>
    <n v="0"/>
    <n v="0"/>
    <n v="89528"/>
    <n v="0"/>
    <s v="유즈 CS고체향수이그나이트200520"/>
  </r>
  <r>
    <x v="17"/>
    <s v="수"/>
    <x v="11"/>
    <s v="유즈 CS"/>
    <m/>
    <n v="1"/>
    <x v="2"/>
    <s v="유즈쇼핑백"/>
    <n v="200520"/>
    <m/>
    <n v="0"/>
    <n v="0"/>
    <n v="1210"/>
    <n v="0"/>
    <s v="유즈 CS쇼핑백유즈쇼핑백200520"/>
  </r>
  <r>
    <x v="18"/>
    <s v="목"/>
    <x v="11"/>
    <s v="카페24"/>
    <m/>
    <n v="1"/>
    <x v="0"/>
    <s v="이그나이트 + 스테이포에버 + 쇼핑백2개"/>
    <n v="200520"/>
    <m/>
    <n v="50000"/>
    <n v="47075"/>
    <n v="8091"/>
    <n v="45454.54545454545"/>
    <s v="카페24고체향수이그나이트 + 스테이포에버 + 쇼핑백2개200520"/>
  </r>
  <r>
    <x v="18"/>
    <s v="목"/>
    <x v="11"/>
    <s v="카페24"/>
    <m/>
    <n v="19"/>
    <x v="0"/>
    <s v="스테이포에버 + 쇼핑백"/>
    <n v="200520"/>
    <m/>
    <n v="547200"/>
    <n v="515188.8"/>
    <n v="75867"/>
    <n v="497454.5454545454"/>
    <s v="카페24고체향수스테이포에버 + 쇼핑백200520"/>
  </r>
  <r>
    <x v="18"/>
    <s v="목"/>
    <x v="11"/>
    <s v="유즈 CS"/>
    <m/>
    <n v="1"/>
    <x v="0"/>
    <s v="스테이포에버"/>
    <n v="200520"/>
    <m/>
    <n v="0"/>
    <n v="0"/>
    <n v="2783"/>
    <n v="0"/>
    <s v="유즈 CS고체향수스테이포에버200520"/>
  </r>
  <r>
    <x v="18"/>
    <s v="목"/>
    <x v="11"/>
    <s v="유즈 CS"/>
    <m/>
    <n v="1"/>
    <x v="0"/>
    <s v="이그나이트"/>
    <n v="200520"/>
    <m/>
    <n v="0"/>
    <n v="0"/>
    <n v="2888"/>
    <n v="0"/>
    <s v="유즈 CS고체향수이그나이트200520"/>
  </r>
  <r>
    <x v="19"/>
    <s v="금"/>
    <x v="11"/>
    <s v="카페24"/>
    <m/>
    <n v="3"/>
    <x v="0"/>
    <s v="스테이포에버 + 쇼핑백"/>
    <n v="200520"/>
    <m/>
    <n v="86400"/>
    <n v="81345.60000000001"/>
    <n v="11979"/>
    <n v="78545.45454545454"/>
    <s v="카페24고체향수스테이포에버 + 쇼핑백200520"/>
  </r>
  <r>
    <x v="19"/>
    <s v="금"/>
    <x v="11"/>
    <s v="카페24"/>
    <m/>
    <n v="14"/>
    <x v="0"/>
    <s v="스테이포에버 + 쇼핑백"/>
    <n v="200520"/>
    <m/>
    <n v="403200"/>
    <n v="379612.8"/>
    <n v="55902"/>
    <n v="366545.4545454545"/>
    <s v="카페24고체향수스테이포에버 + 쇼핑백200520"/>
  </r>
  <r>
    <x v="20"/>
    <s v="토"/>
    <x v="11"/>
    <s v="카페24"/>
    <m/>
    <n v="1"/>
    <x v="0"/>
    <s v="이그나이트 + 스테이포에버 + 쇼핑백2개"/>
    <n v="200520"/>
    <m/>
    <n v="50000"/>
    <n v="47075"/>
    <n v="8091"/>
    <n v="45454.54545454545"/>
    <s v="카페24고체향수이그나이트 + 스테이포에버 + 쇼핑백2개200520"/>
  </r>
  <r>
    <x v="20"/>
    <s v="토"/>
    <x v="11"/>
    <s v="카페24"/>
    <m/>
    <n v="1"/>
    <x v="0"/>
    <s v="스테이포에버 + 쇼핑백"/>
    <n v="200520"/>
    <m/>
    <n v="28800"/>
    <n v="27115.2"/>
    <n v="3993"/>
    <n v="26181.81818181818"/>
    <s v="카페24고체향수스테이포에버 + 쇼핑백200520"/>
  </r>
  <r>
    <x v="20"/>
    <s v="토"/>
    <x v="11"/>
    <s v="카페24"/>
    <m/>
    <n v="32"/>
    <x v="0"/>
    <s v="스테이포에버 + 쇼핑백"/>
    <n v="200520"/>
    <m/>
    <n v="921600"/>
    <n v="867686.4"/>
    <n v="127776"/>
    <n v="837818.1818181818"/>
    <s v="카페24고체향수스테이포에버 + 쇼핑백200520"/>
  </r>
  <r>
    <x v="20"/>
    <s v="토"/>
    <x v="11"/>
    <s v="카페24"/>
    <m/>
    <n v="3"/>
    <x v="0"/>
    <s v="이그나이트 + 쇼핑백"/>
    <n v="200520"/>
    <m/>
    <n v="86400"/>
    <n v="81345.60000000001"/>
    <n v="12294"/>
    <n v="78545.45454545454"/>
    <s v="카페24고체향수이그나이트 + 쇼핑백200520"/>
  </r>
  <r>
    <x v="21"/>
    <s v="일"/>
    <x v="11"/>
    <s v="카페24"/>
    <m/>
    <n v="1"/>
    <x v="0"/>
    <s v="이그나이트 + 스테이포에버 + 쇼핑백2개"/>
    <n v="200520"/>
    <m/>
    <n v="50000"/>
    <n v="47075"/>
    <n v="8091"/>
    <n v="45454.54545454545"/>
    <s v="카페24고체향수이그나이트 + 스테이포에버 + 쇼핑백2개200520"/>
  </r>
  <r>
    <x v="21"/>
    <s v="일"/>
    <x v="11"/>
    <s v="카페24"/>
    <m/>
    <n v="25"/>
    <x v="0"/>
    <s v="스테이포에버 + 쇼핑백"/>
    <n v="200520"/>
    <m/>
    <n v="720000"/>
    <n v="677880"/>
    <n v="99825"/>
    <n v="654545.4545454545"/>
    <s v="카페24고체향수스테이포에버 + 쇼핑백200520"/>
  </r>
  <r>
    <x v="22"/>
    <s v="월"/>
    <x v="11"/>
    <s v="카페24"/>
    <m/>
    <n v="1"/>
    <x v="0"/>
    <s v="이그나이트 + 스테이포에버 + 쇼핑백2개"/>
    <n v="200520"/>
    <m/>
    <n v="50000"/>
    <n v="47075"/>
    <n v="8091"/>
    <n v="45454.54545454545"/>
    <s v="카페24고체향수이그나이트 + 스테이포에버 + 쇼핑백2개200520"/>
  </r>
  <r>
    <x v="22"/>
    <s v="월"/>
    <x v="11"/>
    <s v="카페24"/>
    <m/>
    <n v="24"/>
    <x v="0"/>
    <s v="스테이포에버 + 쇼핑백"/>
    <n v="200520"/>
    <m/>
    <n v="691200"/>
    <n v="650764.8"/>
    <n v="95832"/>
    <n v="628363.6363636364"/>
    <s v="카페24고체향수스테이포에버 + 쇼핑백200520"/>
  </r>
  <r>
    <x v="22"/>
    <s v="월"/>
    <x v="11"/>
    <s v="유즈 CS"/>
    <m/>
    <n v="1"/>
    <x v="0"/>
    <s v="이그나이트"/>
    <n v="200520"/>
    <m/>
    <n v="0"/>
    <n v="0"/>
    <n v="2888"/>
    <n v="0"/>
    <s v="유즈 CS고체향수이그나이트200520"/>
  </r>
  <r>
    <x v="22"/>
    <s v="월"/>
    <x v="11"/>
    <s v="유즈 CS"/>
    <m/>
    <n v="1"/>
    <x v="0"/>
    <s v="스테이포에버"/>
    <n v="200520"/>
    <m/>
    <n v="0"/>
    <n v="0"/>
    <n v="2783"/>
    <n v="0"/>
    <s v="유즈 CS고체향수스테이포에버200520"/>
  </r>
  <r>
    <x v="23"/>
    <s v="화"/>
    <x v="11"/>
    <s v="카페24"/>
    <m/>
    <n v="1"/>
    <x v="0"/>
    <s v="이그나이트 + 스테이포에버 + 쇼핑백2개"/>
    <n v="200520"/>
    <m/>
    <n v="50000"/>
    <n v="47075"/>
    <n v="8091"/>
    <n v="45454.54545454545"/>
    <s v="카페24고체향수이그나이트 + 스테이포에버 + 쇼핑백2개200520"/>
  </r>
  <r>
    <x v="23"/>
    <s v="화"/>
    <x v="11"/>
    <s v="카페24"/>
    <m/>
    <n v="23"/>
    <x v="0"/>
    <s v="스테이포에버 + 쇼핑백"/>
    <n v="200520"/>
    <m/>
    <n v="662400"/>
    <n v="623649.6"/>
    <n v="91839"/>
    <n v="602181.8181818181"/>
    <s v="카페24고체향수스테이포에버 + 쇼핑백200520"/>
  </r>
  <r>
    <x v="24"/>
    <s v="수"/>
    <x v="11"/>
    <s v="카페24"/>
    <m/>
    <n v="3"/>
    <x v="0"/>
    <s v="이그나이트 + 스테이포에버 + 쇼핑백2개"/>
    <n v="200520"/>
    <m/>
    <n v="150000"/>
    <n v="141225"/>
    <n v="24273"/>
    <n v="136363.6363636364"/>
    <s v="카페24고체향수이그나이트 + 스테이포에버 + 쇼핑백2개200520"/>
  </r>
  <r>
    <x v="24"/>
    <s v="수"/>
    <x v="11"/>
    <s v="카페24"/>
    <m/>
    <n v="24"/>
    <x v="0"/>
    <s v="스테이포에버 + 쇼핑백"/>
    <n v="200520"/>
    <m/>
    <n v="691200"/>
    <n v="650764.8"/>
    <n v="95832"/>
    <n v="628363.6363636364"/>
    <s v="카페24고체향수스테이포에버 + 쇼핑백200520"/>
  </r>
  <r>
    <x v="24"/>
    <s v="수"/>
    <x v="11"/>
    <s v="카페24"/>
    <m/>
    <n v="3"/>
    <x v="0"/>
    <s v="이그나이트 + 쇼핑백"/>
    <n v="200520"/>
    <m/>
    <n v="86400"/>
    <n v="81345.60000000001"/>
    <n v="12294"/>
    <n v="78545.45454545454"/>
    <s v="카페24고체향수이그나이트 + 쇼핑백200520"/>
  </r>
  <r>
    <x v="25"/>
    <s v="목"/>
    <x v="11"/>
    <s v="카페24"/>
    <m/>
    <n v="41"/>
    <x v="0"/>
    <s v="스테이포에버 + 쇼핑백"/>
    <n v="200520"/>
    <m/>
    <n v="1180800"/>
    <n v="1111723.2"/>
    <n v="163713"/>
    <n v="1073454.545454545"/>
    <s v="카페24고체향수스테이포에버 + 쇼핑백200520"/>
  </r>
  <r>
    <x v="25"/>
    <s v="목"/>
    <x v="11"/>
    <s v="카페24"/>
    <m/>
    <n v="21"/>
    <x v="0"/>
    <s v="이그나이트 + 쇼핑백"/>
    <n v="200520"/>
    <m/>
    <n v="604800"/>
    <n v="569419.2"/>
    <n v="86058"/>
    <n v="549818.1818181818"/>
    <s v="카페24고체향수이그나이트 + 쇼핑백200520"/>
  </r>
  <r>
    <x v="26"/>
    <s v="금"/>
    <x v="11"/>
    <s v="카페24"/>
    <m/>
    <n v="1"/>
    <x v="0"/>
    <s v="이그나이트 + 스테이포에버 + 쇼핑백2개"/>
    <n v="200520"/>
    <m/>
    <n v="50000"/>
    <n v="47075"/>
    <n v="8091"/>
    <n v="45454.54545454545"/>
    <s v="카페24고체향수이그나이트 + 스테이포에버 + 쇼핑백2개200520"/>
  </r>
  <r>
    <x v="26"/>
    <s v="금"/>
    <x v="11"/>
    <s v="카페24"/>
    <m/>
    <n v="41"/>
    <x v="0"/>
    <s v="스테이포에버 + 쇼핑백"/>
    <n v="200520"/>
    <m/>
    <n v="1180800"/>
    <n v="1111723.2"/>
    <n v="163713"/>
    <n v="1073454.545454545"/>
    <s v="카페24고체향수스테이포에버 + 쇼핑백200520"/>
  </r>
  <r>
    <x v="26"/>
    <s v="금"/>
    <x v="11"/>
    <s v="카페24"/>
    <m/>
    <n v="23"/>
    <x v="0"/>
    <s v="이그나이트 + 쇼핑백"/>
    <n v="200520"/>
    <m/>
    <n v="662400"/>
    <n v="623649.6"/>
    <n v="94254"/>
    <n v="602181.8181818181"/>
    <s v="카페24고체향수이그나이트 + 쇼핑백200520"/>
  </r>
  <r>
    <x v="26"/>
    <s v="금"/>
    <x v="11"/>
    <s v="유즈 CS"/>
    <m/>
    <n v="1"/>
    <x v="0"/>
    <s v="스테이포에버"/>
    <n v="200520"/>
    <m/>
    <n v="0"/>
    <n v="0"/>
    <n v="2783"/>
    <n v="0"/>
    <s v="유즈 CS고체향수스테이포에버200520"/>
  </r>
  <r>
    <x v="26"/>
    <s v="금"/>
    <x v="11"/>
    <s v="유즈 CS"/>
    <m/>
    <n v="1"/>
    <x v="0"/>
    <s v="이그나이트"/>
    <n v="200520"/>
    <m/>
    <n v="0"/>
    <n v="0"/>
    <n v="2888"/>
    <n v="0"/>
    <s v="유즈 CS고체향수이그나이트200520"/>
  </r>
  <r>
    <x v="26"/>
    <s v="금"/>
    <x v="11"/>
    <s v="유즈 CS"/>
    <m/>
    <n v="1"/>
    <x v="2"/>
    <s v="유즈쇼핑백"/>
    <n v="200520"/>
    <m/>
    <n v="0"/>
    <n v="0"/>
    <n v="1210"/>
    <n v="0"/>
    <s v="유즈 CS쇼핑백유즈쇼핑백200520"/>
  </r>
  <r>
    <x v="27"/>
    <s v="토"/>
    <x v="11"/>
    <s v="카페24"/>
    <m/>
    <n v="9"/>
    <x v="0"/>
    <s v="이그나이트 + 스테이포에버 + 쇼핑백2개"/>
    <n v="200520"/>
    <m/>
    <n v="450000"/>
    <n v="423675"/>
    <n v="72819"/>
    <n v="409090.9090909091"/>
    <s v="카페24고체향수이그나이트 + 스테이포에버 + 쇼핑백2개200520"/>
  </r>
  <r>
    <x v="27"/>
    <s v="토"/>
    <x v="11"/>
    <s v="카페24"/>
    <m/>
    <n v="26"/>
    <x v="0"/>
    <s v="이그나이트 + 쇼핑백"/>
    <n v="200520"/>
    <m/>
    <n v="748800"/>
    <n v="704995.2"/>
    <n v="106548"/>
    <n v="680727.2727272727"/>
    <s v="카페24고체향수이그나이트 + 쇼핑백200520"/>
  </r>
  <r>
    <x v="27"/>
    <s v="토"/>
    <x v="11"/>
    <s v="카페24"/>
    <m/>
    <n v="57"/>
    <x v="0"/>
    <s v="스테이포에버 + 쇼핑백"/>
    <n v="200520"/>
    <m/>
    <n v="1641600"/>
    <n v="1545566.4"/>
    <n v="227601"/>
    <n v="1492363.636363636"/>
    <s v="카페24고체향수스테이포에버 + 쇼핑백200520"/>
  </r>
  <r>
    <x v="28"/>
    <s v="일"/>
    <x v="11"/>
    <s v="카페24"/>
    <m/>
    <n v="24"/>
    <x v="0"/>
    <s v="스테이포에버 + 쇼핑백"/>
    <n v="200520"/>
    <m/>
    <n v="691200"/>
    <n v="650764.8"/>
    <n v="95832"/>
    <n v="628363.6363636364"/>
    <s v="카페24고체향수스테이포에버 + 쇼핑백200520"/>
  </r>
  <r>
    <x v="28"/>
    <s v="일"/>
    <x v="11"/>
    <s v="카페24"/>
    <m/>
    <n v="1"/>
    <x v="0"/>
    <s v="이그나이트 + 스테이포에버"/>
    <n v="200520"/>
    <m/>
    <n v="69000"/>
    <n v="64963.5"/>
    <n v="5671"/>
    <n v="62727.27272727272"/>
    <s v="카페24고체향수이그나이트 + 스테이포에버200520"/>
  </r>
  <r>
    <x v="28"/>
    <s v="일"/>
    <x v="11"/>
    <s v="카페24"/>
    <m/>
    <n v="17"/>
    <x v="0"/>
    <s v="이그나이트"/>
    <n v="200520"/>
    <m/>
    <n v="646000"/>
    <n v="608209"/>
    <n v="49096"/>
    <n v="587272.7272727272"/>
    <s v="카페24고체향수이그나이트200520"/>
  </r>
  <r>
    <x v="28"/>
    <s v="일"/>
    <x v="11"/>
    <s v="카페24"/>
    <m/>
    <n v="46"/>
    <x v="0"/>
    <s v="스테이포에버"/>
    <n v="200520"/>
    <m/>
    <n v="1748000"/>
    <n v="1645742"/>
    <n v="128018"/>
    <n v="1589090.909090909"/>
    <s v="카페24고체향수스테이포에버200520"/>
  </r>
  <r>
    <x v="28"/>
    <s v="일"/>
    <x v="11"/>
    <s v="카페24"/>
    <m/>
    <n v="2"/>
    <x v="2"/>
    <s v="유즈쇼핑백"/>
    <n v="200520"/>
    <m/>
    <n v="4000"/>
    <n v="3766"/>
    <n v="2420"/>
    <n v="3636.363636363636"/>
    <s v="카페24쇼핑백유즈쇼핑백200520"/>
  </r>
  <r>
    <x v="28"/>
    <s v="일"/>
    <x v="11"/>
    <s v="카페24"/>
    <m/>
    <n v="7"/>
    <x v="0"/>
    <s v="이그나이트 + 쇼핑백"/>
    <n v="200520"/>
    <m/>
    <n v="201600"/>
    <n v="189806.4"/>
    <n v="28686"/>
    <n v="183272.7272727273"/>
    <s v="카페24고체향수이그나이트 + 쇼핑백200520"/>
  </r>
  <r>
    <x v="29"/>
    <s v="월"/>
    <x v="11"/>
    <s v="카페24"/>
    <m/>
    <n v="17"/>
    <x v="0"/>
    <s v="이그나이트"/>
    <n v="200622"/>
    <m/>
    <n v="578000"/>
    <n v="544187"/>
    <n v="49096"/>
    <n v="525454.5454545454"/>
    <s v="카페24고체향수이그나이트200622"/>
  </r>
  <r>
    <x v="29"/>
    <s v="월"/>
    <x v="11"/>
    <s v="카페24"/>
    <m/>
    <n v="57"/>
    <x v="0"/>
    <s v="스테이포에버"/>
    <n v="200622"/>
    <m/>
    <n v="1938000"/>
    <n v="1824627"/>
    <n v="158631"/>
    <n v="1761818.181818182"/>
    <s v="카페24고체향수스테이포에버200622"/>
  </r>
  <r>
    <x v="29"/>
    <s v="월"/>
    <x v="11"/>
    <s v="카페24"/>
    <m/>
    <n v="2"/>
    <x v="0"/>
    <s v="이그나이트 + 쇼핑백"/>
    <n v="200520"/>
    <m/>
    <n v="57600"/>
    <n v="54230.4"/>
    <n v="8196"/>
    <n v="52363.63636363636"/>
    <s v="카페24고체향수이그나이트 + 쇼핑백200520"/>
  </r>
  <r>
    <x v="30"/>
    <s v="화"/>
    <x v="11"/>
    <s v="카페24"/>
    <m/>
    <n v="1"/>
    <x v="0"/>
    <s v="이그나이트 + 스테이포에버"/>
    <n v="200622"/>
    <m/>
    <n v="65000"/>
    <n v="61197.5"/>
    <n v="5671"/>
    <n v="59090.90909090909"/>
    <s v="카페24고체향수이그나이트 + 스테이포에버200622"/>
  </r>
  <r>
    <x v="30"/>
    <s v="화"/>
    <x v="11"/>
    <s v="카페24"/>
    <m/>
    <n v="29"/>
    <x v="0"/>
    <s v="이그나이트"/>
    <n v="200622"/>
    <m/>
    <n v="986000"/>
    <n v="928319"/>
    <n v="83752"/>
    <n v="896363.6363636362"/>
    <s v="카페24고체향수이그나이트200622"/>
  </r>
  <r>
    <x v="30"/>
    <s v="화"/>
    <x v="11"/>
    <s v="카페24"/>
    <m/>
    <n v="59"/>
    <x v="0"/>
    <s v="스테이포에버"/>
    <n v="200622"/>
    <m/>
    <n v="2006000"/>
    <n v="1888649"/>
    <n v="164197"/>
    <n v="1823636.363636364"/>
    <s v="카페24고체향수스테이포에버200622"/>
  </r>
  <r>
    <x v="30"/>
    <s v="화"/>
    <x v="11"/>
    <s v="카페24"/>
    <m/>
    <n v="2"/>
    <x v="2"/>
    <s v="유즈쇼핑백"/>
    <n v="200622"/>
    <m/>
    <n v="4000"/>
    <n v="3766"/>
    <n v="2420"/>
    <n v="3636.363636363636"/>
    <s v="카페24쇼핑백유즈쇼핑백200622"/>
  </r>
  <r>
    <x v="31"/>
    <s v="수"/>
    <x v="11"/>
    <s v="카페24"/>
    <m/>
    <n v="4"/>
    <x v="0"/>
    <s v="이그나이트 + 스테이포에버"/>
    <n v="200622"/>
    <m/>
    <n v="260000"/>
    <n v="244790"/>
    <n v="22684"/>
    <n v="236363.6363636364"/>
    <s v="카페24고체향수이그나이트 + 스테이포에버200622"/>
  </r>
  <r>
    <x v="31"/>
    <s v="수"/>
    <x v="11"/>
    <s v="카페24"/>
    <m/>
    <n v="30"/>
    <x v="0"/>
    <s v="이그나이트"/>
    <n v="200622"/>
    <m/>
    <n v="1020000"/>
    <n v="960330"/>
    <n v="86640"/>
    <n v="927272.7272727272"/>
    <s v="카페24고체향수이그나이트200622"/>
  </r>
  <r>
    <x v="31"/>
    <s v="수"/>
    <x v="11"/>
    <s v="카페24"/>
    <m/>
    <n v="54"/>
    <x v="0"/>
    <s v="스테이포에버"/>
    <n v="200622"/>
    <m/>
    <n v="1836000"/>
    <n v="1728594"/>
    <n v="150282"/>
    <n v="1669090.909090909"/>
    <s v="카페24고체향수스테이포에버200622"/>
  </r>
  <r>
    <x v="32"/>
    <s v="목"/>
    <x v="11"/>
    <s v="카페24"/>
    <m/>
    <n v="1"/>
    <x v="0"/>
    <s v="이그나이트 + 스테이포에버"/>
    <n v="200622"/>
    <m/>
    <n v="65000"/>
    <n v="61197.5"/>
    <n v="5671"/>
    <n v="59090.90909090909"/>
    <s v="카페24고체향수이그나이트 + 스테이포에버200622"/>
  </r>
  <r>
    <x v="32"/>
    <s v="목"/>
    <x v="11"/>
    <s v="카페24"/>
    <m/>
    <n v="21"/>
    <x v="0"/>
    <s v="이그나이트"/>
    <n v="200622"/>
    <m/>
    <n v="714000"/>
    <n v="672231"/>
    <n v="60648"/>
    <n v="649090.9090909091"/>
    <s v="카페24고체향수이그나이트200622"/>
  </r>
  <r>
    <x v="32"/>
    <s v="목"/>
    <x v="11"/>
    <s v="카페24"/>
    <m/>
    <n v="71"/>
    <x v="0"/>
    <s v="스테이포에버"/>
    <n v="200622"/>
    <m/>
    <n v="2414000"/>
    <n v="2272781"/>
    <n v="197593"/>
    <n v="2194545.454545455"/>
    <s v="카페24고체향수스테이포에버200622"/>
  </r>
  <r>
    <x v="32"/>
    <s v="목"/>
    <x v="11"/>
    <s v="카페24"/>
    <m/>
    <n v="1"/>
    <x v="2"/>
    <s v="유즈쇼핑백"/>
    <n v="200622"/>
    <m/>
    <n v="2000"/>
    <n v="1883"/>
    <n v="1210"/>
    <n v="1818.181818181818"/>
    <s v="카페24쇼핑백유즈쇼핑백200622"/>
  </r>
  <r>
    <x v="33"/>
    <s v="금"/>
    <x v="11"/>
    <s v="카페24"/>
    <m/>
    <n v="2"/>
    <x v="0"/>
    <s v="이그나이트 + 스테이포에버"/>
    <n v="200622"/>
    <m/>
    <n v="130000"/>
    <n v="122395"/>
    <n v="11342"/>
    <n v="118181.8181818182"/>
    <s v="카페24고체향수이그나이트 + 스테이포에버200622"/>
  </r>
  <r>
    <x v="33"/>
    <s v="금"/>
    <x v="11"/>
    <s v="카페24"/>
    <m/>
    <n v="20"/>
    <x v="0"/>
    <s v="이그나이트"/>
    <n v="200622"/>
    <m/>
    <n v="680000"/>
    <n v="640220"/>
    <n v="57760"/>
    <n v="618181.8181818181"/>
    <s v="카페24고체향수이그나이트200622"/>
  </r>
  <r>
    <x v="33"/>
    <s v="금"/>
    <x v="11"/>
    <s v="카페24"/>
    <m/>
    <n v="53"/>
    <x v="0"/>
    <s v="스테이포에버"/>
    <n v="200622"/>
    <m/>
    <n v="1802000"/>
    <n v="1696583"/>
    <n v="147499"/>
    <n v="1638181.818181818"/>
    <s v="카페24고체향수스테이포에버200622"/>
  </r>
  <r>
    <x v="33"/>
    <s v="금"/>
    <x v="11"/>
    <s v="카페24"/>
    <m/>
    <n v="2"/>
    <x v="2"/>
    <s v="유즈쇼핑백"/>
    <n v="200622"/>
    <m/>
    <n v="4000"/>
    <n v="3766"/>
    <n v="2420"/>
    <n v="3636.363636363636"/>
    <s v="카페24쇼핑백유즈쇼핑백200622"/>
  </r>
  <r>
    <x v="34"/>
    <s v="토"/>
    <x v="11"/>
    <s v="카페24"/>
    <m/>
    <n v="21"/>
    <x v="0"/>
    <s v="이그나이트"/>
    <n v="200622"/>
    <m/>
    <n v="714000"/>
    <n v="672231"/>
    <n v="60648"/>
    <n v="649090.9090909091"/>
    <s v="카페24고체향수이그나이트200622"/>
  </r>
  <r>
    <x v="34"/>
    <s v="토"/>
    <x v="11"/>
    <s v="카페24"/>
    <m/>
    <n v="48"/>
    <x v="0"/>
    <s v="스테이포에버"/>
    <n v="200622"/>
    <m/>
    <n v="1632000"/>
    <n v="1536528"/>
    <n v="133584"/>
    <n v="1483636.363636364"/>
    <s v="카페24고체향수스테이포에버200622"/>
  </r>
  <r>
    <x v="34"/>
    <s v="토"/>
    <x v="11"/>
    <s v="카페24"/>
    <m/>
    <n v="1"/>
    <x v="2"/>
    <s v="유즈쇼핑백"/>
    <n v="200622"/>
    <m/>
    <n v="2000"/>
    <n v="1883"/>
    <n v="1210"/>
    <n v="1818.181818181818"/>
    <s v="카페24쇼핑백유즈쇼핑백200622"/>
  </r>
  <r>
    <x v="35"/>
    <s v="일"/>
    <x v="11"/>
    <s v="카페24"/>
    <m/>
    <n v="2"/>
    <x v="0"/>
    <s v="이그나이트 + 스테이포에버"/>
    <n v="200622"/>
    <m/>
    <n v="130000"/>
    <n v="122395"/>
    <n v="11342"/>
    <n v="118181.8181818182"/>
    <s v="카페24고체향수이그나이트 + 스테이포에버200622"/>
  </r>
  <r>
    <x v="35"/>
    <s v="일"/>
    <x v="11"/>
    <s v="카페24"/>
    <m/>
    <n v="15"/>
    <x v="0"/>
    <s v="이그나이트"/>
    <n v="200622"/>
    <m/>
    <n v="510000"/>
    <n v="480165"/>
    <n v="43320"/>
    <n v="463636.3636363636"/>
    <s v="카페24고체향수이그나이트200622"/>
  </r>
  <r>
    <x v="35"/>
    <s v="일"/>
    <x v="11"/>
    <s v="카페24"/>
    <m/>
    <n v="65"/>
    <x v="0"/>
    <s v="스테이포에버"/>
    <n v="200622"/>
    <m/>
    <n v="2210000"/>
    <n v="2080715"/>
    <n v="180895"/>
    <n v="2009090.909090909"/>
    <s v="카페24고체향수스테이포에버200622"/>
  </r>
  <r>
    <x v="35"/>
    <s v="일"/>
    <x v="11"/>
    <s v="카페24"/>
    <m/>
    <n v="2"/>
    <x v="2"/>
    <s v="유즈쇼핑백"/>
    <n v="200622"/>
    <m/>
    <n v="4000"/>
    <n v="3766"/>
    <n v="2420"/>
    <n v="3636.363636363636"/>
    <s v="카페24쇼핑백유즈쇼핑백200622"/>
  </r>
  <r>
    <x v="36"/>
    <s v="월"/>
    <x v="11"/>
    <s v="카페24"/>
    <m/>
    <n v="11"/>
    <x v="0"/>
    <s v="이그나이트"/>
    <n v="200622"/>
    <m/>
    <n v="374000"/>
    <n v="352121"/>
    <n v="31768"/>
    <n v="340000"/>
    <s v="카페24고체향수이그나이트200622"/>
  </r>
  <r>
    <x v="36"/>
    <s v="월"/>
    <x v="11"/>
    <s v="카페24"/>
    <m/>
    <n v="48"/>
    <x v="0"/>
    <s v="스테이포에버"/>
    <n v="200622"/>
    <m/>
    <n v="1632000"/>
    <n v="1536528"/>
    <n v="133584"/>
    <n v="1483636.363636364"/>
    <s v="카페24고체향수스테이포에버200622"/>
  </r>
  <r>
    <x v="36"/>
    <s v="월"/>
    <x v="11"/>
    <s v="카페24"/>
    <m/>
    <n v="1"/>
    <x v="2"/>
    <s v="유즈쇼핑백"/>
    <n v="200622"/>
    <m/>
    <n v="2000"/>
    <n v="1883"/>
    <n v="1210"/>
    <n v="1818.181818181818"/>
    <s v="카페24쇼핑백유즈쇼핑백200622"/>
  </r>
  <r>
    <x v="37"/>
    <s v="화"/>
    <x v="11"/>
    <s v="카페24"/>
    <m/>
    <n v="1"/>
    <x v="0"/>
    <s v="이그나이트 + 스테이포에버"/>
    <n v="200622"/>
    <m/>
    <n v="65000"/>
    <n v="61197.5"/>
    <n v="5671"/>
    <n v="59090.90909090909"/>
    <s v="카페24고체향수이그나이트 + 스테이포에버200622"/>
  </r>
  <r>
    <x v="37"/>
    <s v="화"/>
    <x v="11"/>
    <s v="카페24"/>
    <m/>
    <n v="13"/>
    <x v="0"/>
    <s v="이그나이트"/>
    <n v="200622"/>
    <m/>
    <n v="442000"/>
    <n v="416143"/>
    <n v="37544"/>
    <n v="401818.1818181818"/>
    <s v="카페24고체향수이그나이트200622"/>
  </r>
  <r>
    <x v="37"/>
    <s v="화"/>
    <x v="11"/>
    <s v="카페24"/>
    <m/>
    <n v="49"/>
    <x v="0"/>
    <s v="스테이포에버"/>
    <n v="200622"/>
    <m/>
    <n v="1666000"/>
    <n v="1568539"/>
    <n v="136367"/>
    <n v="1514545.454545454"/>
    <s v="카페24고체향수스테이포에버200622"/>
  </r>
  <r>
    <x v="37"/>
    <s v="화"/>
    <x v="11"/>
    <s v="카페24"/>
    <m/>
    <n v="1"/>
    <x v="2"/>
    <s v="유즈쇼핑백"/>
    <n v="200622"/>
    <m/>
    <n v="2000"/>
    <n v="1883"/>
    <n v="1210"/>
    <n v="1818.181818181818"/>
    <s v="카페24쇼핑백유즈쇼핑백200622"/>
  </r>
  <r>
    <x v="38"/>
    <s v="수"/>
    <x v="11"/>
    <s v="카페24"/>
    <m/>
    <n v="36"/>
    <x v="0"/>
    <s v="스테이포에버"/>
    <n v="200622"/>
    <m/>
    <n v="1224000"/>
    <n v="1152396"/>
    <n v="100188"/>
    <n v="1112727.272727273"/>
    <s v="카페24고체향수스테이포에버200622"/>
  </r>
  <r>
    <x v="38"/>
    <s v="수"/>
    <x v="11"/>
    <s v="카페24"/>
    <m/>
    <n v="21"/>
    <x v="0"/>
    <s v="이그나이트"/>
    <n v="200622"/>
    <m/>
    <n v="714000"/>
    <n v="672231"/>
    <n v="60648"/>
    <n v="649090.9090909091"/>
    <s v="카페24고체향수이그나이트200622"/>
  </r>
  <r>
    <x v="39"/>
    <s v="목"/>
    <x v="11"/>
    <s v="카페24"/>
    <m/>
    <n v="24"/>
    <x v="0"/>
    <s v="스테이포에버"/>
    <n v="200622"/>
    <m/>
    <n v="816000"/>
    <n v="768264"/>
    <n v="66792"/>
    <n v="741818.1818181818"/>
    <s v="카페24고체향수스테이포에버200622"/>
  </r>
  <r>
    <x v="39"/>
    <s v="목"/>
    <x v="11"/>
    <s v="카페24"/>
    <m/>
    <n v="11"/>
    <x v="0"/>
    <s v="이그나이트"/>
    <n v="200622"/>
    <m/>
    <n v="374000"/>
    <n v="352121"/>
    <n v="31768"/>
    <n v="340000"/>
    <s v="카페24고체향수이그나이트200622"/>
  </r>
  <r>
    <x v="39"/>
    <s v="목"/>
    <x v="11"/>
    <s v="카페24"/>
    <m/>
    <n v="1"/>
    <x v="2"/>
    <s v="유즈쇼핑백"/>
    <n v="200622"/>
    <m/>
    <n v="2000"/>
    <n v="1883"/>
    <n v="1210"/>
    <n v="1818.181818181818"/>
    <s v="카페24쇼핑백유즈쇼핑백200622"/>
  </r>
  <r>
    <x v="40"/>
    <s v="금"/>
    <x v="11"/>
    <s v="카페24"/>
    <m/>
    <n v="19"/>
    <x v="0"/>
    <s v="스테이포에버"/>
    <n v="200622"/>
    <m/>
    <n v="646000"/>
    <n v="608209"/>
    <n v="52877"/>
    <n v="587272.7272727272"/>
    <s v="카페24고체향수스테이포에버200622"/>
  </r>
  <r>
    <x v="40"/>
    <s v="금"/>
    <x v="11"/>
    <s v="카페24"/>
    <m/>
    <n v="1"/>
    <x v="2"/>
    <s v="유즈쇼핑백"/>
    <n v="200622"/>
    <m/>
    <n v="2000"/>
    <n v="1883"/>
    <n v="1210"/>
    <n v="1818.181818181818"/>
    <s v="카페24쇼핑백유즈쇼핑백200622"/>
  </r>
  <r>
    <x v="40"/>
    <s v="금"/>
    <x v="11"/>
    <s v="카페24"/>
    <m/>
    <n v="2"/>
    <x v="0"/>
    <s v="이그나이트"/>
    <n v="200622"/>
    <m/>
    <n v="68000"/>
    <n v="64022"/>
    <n v="5776"/>
    <n v="61818.18181818182"/>
    <s v="카페24고체향수이그나이트200622"/>
  </r>
  <r>
    <x v="41"/>
    <s v="토"/>
    <x v="11"/>
    <s v="카페24"/>
    <m/>
    <n v="7"/>
    <x v="0"/>
    <s v="스테이포에버"/>
    <n v="200622"/>
    <m/>
    <n v="238000"/>
    <n v="224077"/>
    <n v="19481"/>
    <n v="216363.6363636364"/>
    <s v="카페24고체향수스테이포에버200622"/>
  </r>
  <r>
    <x v="42"/>
    <s v="일"/>
    <x v="11"/>
    <s v="카페24"/>
    <m/>
    <n v="2"/>
    <x v="0"/>
    <s v="이그나이트"/>
    <n v="200622"/>
    <m/>
    <n v="68000"/>
    <n v="64022"/>
    <n v="5776"/>
    <n v="61818.18181818182"/>
    <s v="카페24고체향수이그나이트200622"/>
  </r>
  <r>
    <x v="42"/>
    <s v="일"/>
    <x v="11"/>
    <s v="카페24"/>
    <m/>
    <n v="13"/>
    <x v="0"/>
    <s v="스테이포에버"/>
    <n v="200622"/>
    <m/>
    <n v="442000"/>
    <n v="416143"/>
    <n v="36179"/>
    <n v="401818.1818181818"/>
    <s v="카페24고체향수스테이포에버200622"/>
  </r>
  <r>
    <x v="42"/>
    <s v="일"/>
    <x v="11"/>
    <s v="카페24"/>
    <m/>
    <n v="1"/>
    <x v="2"/>
    <s v="유즈쇼핑백"/>
    <n v="200622"/>
    <m/>
    <n v="2000"/>
    <n v="1883"/>
    <n v="1210"/>
    <n v="1818.181818181818"/>
    <s v="카페24쇼핑백유즈쇼핑백200622"/>
  </r>
  <r>
    <x v="43"/>
    <s v="월"/>
    <x v="11"/>
    <s v="카페24"/>
    <m/>
    <n v="24"/>
    <x v="0"/>
    <s v="스테이포에버"/>
    <n v="200622"/>
    <m/>
    <n v="816000"/>
    <n v="768264"/>
    <n v="66792"/>
    <n v="741818.1818181818"/>
    <s v="카페24고체향수스테이포에버200622"/>
  </r>
  <r>
    <x v="43"/>
    <s v="월"/>
    <x v="11"/>
    <s v="카페24"/>
    <m/>
    <n v="7"/>
    <x v="0"/>
    <s v="이그나이트"/>
    <n v="200622"/>
    <m/>
    <n v="238000"/>
    <n v="224077"/>
    <n v="20216"/>
    <n v="216363.6363636364"/>
    <s v="카페24고체향수이그나이트200622"/>
  </r>
  <r>
    <x v="44"/>
    <s v="화"/>
    <x v="11"/>
    <s v="카페24"/>
    <m/>
    <n v="3"/>
    <x v="0"/>
    <s v="이그나이트 + 스테이포에버"/>
    <n v="200622"/>
    <m/>
    <n v="195000"/>
    <n v="183592.5"/>
    <n v="17013"/>
    <n v="177272.7272727273"/>
    <s v="카페24고체향수이그나이트 + 스테이포에버200622"/>
  </r>
  <r>
    <x v="44"/>
    <s v="화"/>
    <x v="11"/>
    <s v="카페24"/>
    <m/>
    <n v="36"/>
    <x v="0"/>
    <s v="스테이포에버"/>
    <n v="200622"/>
    <m/>
    <n v="1224000"/>
    <n v="1152396"/>
    <n v="100188"/>
    <n v="1112727.272727273"/>
    <s v="카페24고체향수스테이포에버200622"/>
  </r>
  <r>
    <x v="44"/>
    <s v="화"/>
    <x v="11"/>
    <s v="카페24"/>
    <m/>
    <n v="5"/>
    <x v="0"/>
    <s v="이그나이트"/>
    <n v="200622"/>
    <m/>
    <n v="170000"/>
    <n v="160055"/>
    <n v="14440"/>
    <n v="154545.4545454545"/>
    <s v="카페24고체향수이그나이트200622"/>
  </r>
  <r>
    <x v="45"/>
    <s v="수"/>
    <x v="11"/>
    <s v="카페24"/>
    <m/>
    <n v="1"/>
    <x v="0"/>
    <s v="이그나이트 + 스테이포에버"/>
    <n v="200622"/>
    <m/>
    <n v="65000"/>
    <n v="61197.5"/>
    <n v="5671"/>
    <n v="59090.90909090909"/>
    <s v="카페24고체향수이그나이트 + 스테이포에버200622"/>
  </r>
  <r>
    <x v="45"/>
    <s v="수"/>
    <x v="11"/>
    <s v="카페24"/>
    <m/>
    <n v="27"/>
    <x v="0"/>
    <s v="스테이포에버"/>
    <n v="200622"/>
    <m/>
    <n v="918000"/>
    <n v="864297"/>
    <n v="75141"/>
    <n v="834545.4545454545"/>
    <s v="카페24고체향수스테이포에버200622"/>
  </r>
  <r>
    <x v="45"/>
    <s v="수"/>
    <x v="11"/>
    <s v="카페24"/>
    <m/>
    <n v="3"/>
    <x v="0"/>
    <s v="이그나이트"/>
    <n v="200622"/>
    <m/>
    <n v="102000"/>
    <n v="96033"/>
    <n v="8664"/>
    <n v="92727.27272727272"/>
    <s v="카페24고체향수이그나이트200622"/>
  </r>
  <r>
    <x v="45"/>
    <s v="수"/>
    <x v="11"/>
    <s v="카페24"/>
    <m/>
    <n v="1"/>
    <x v="2"/>
    <s v="유즈쇼핑백"/>
    <n v="200622"/>
    <m/>
    <n v="2000"/>
    <n v="1883"/>
    <n v="1210"/>
    <n v="1818.181818181818"/>
    <s v="카페24쇼핑백유즈쇼핑백200622"/>
  </r>
  <r>
    <x v="46"/>
    <s v="목"/>
    <x v="11"/>
    <s v="카페24"/>
    <m/>
    <n v="1"/>
    <x v="0"/>
    <s v="이그나이트 + 스테이포에버"/>
    <n v="200622"/>
    <m/>
    <n v="65000"/>
    <n v="61197.5"/>
    <n v="5671"/>
    <n v="59090.90909090909"/>
    <s v="카페24고체향수이그나이트 + 스테이포에버200622"/>
  </r>
  <r>
    <x v="46"/>
    <s v="목"/>
    <x v="11"/>
    <s v="카페24"/>
    <m/>
    <n v="41"/>
    <x v="0"/>
    <s v="스테이포에버"/>
    <n v="200622"/>
    <m/>
    <n v="1394000"/>
    <n v="1312451"/>
    <n v="114103"/>
    <n v="1267272.727272727"/>
    <s v="카페24고체향수스테이포에버200622"/>
  </r>
  <r>
    <x v="47"/>
    <s v="금"/>
    <x v="11"/>
    <s v="카페24"/>
    <m/>
    <n v="29"/>
    <x v="0"/>
    <s v="스테이포에버"/>
    <n v="200622"/>
    <m/>
    <n v="986000"/>
    <n v="928319"/>
    <n v="80707"/>
    <n v="896363.6363636362"/>
    <s v="카페24고체향수스테이포에버200622"/>
  </r>
  <r>
    <x v="47"/>
    <s v="금"/>
    <x v="11"/>
    <s v="카페24"/>
    <m/>
    <n v="1"/>
    <x v="2"/>
    <s v="유즈쇼핑백"/>
    <n v="200622"/>
    <m/>
    <n v="2000"/>
    <n v="1883"/>
    <n v="1210"/>
    <n v="1818.181818181818"/>
    <s v="카페24쇼핑백유즈쇼핑백200622"/>
  </r>
  <r>
    <x v="47"/>
    <s v="금"/>
    <x v="11"/>
    <s v="카페24"/>
    <m/>
    <n v="1"/>
    <x v="0"/>
    <s v="이그나이트"/>
    <n v="200622"/>
    <m/>
    <n v="34000"/>
    <n v="32011"/>
    <n v="2888"/>
    <n v="30909.09090909091"/>
    <s v="카페24고체향수이그나이트200622"/>
  </r>
  <r>
    <x v="48"/>
    <s v="토"/>
    <x v="11"/>
    <s v="카페24"/>
    <m/>
    <n v="29"/>
    <x v="0"/>
    <s v="스테이포에버"/>
    <n v="200622"/>
    <m/>
    <n v="986000"/>
    <n v="928319"/>
    <n v="80707"/>
    <n v="896363.6363636362"/>
    <s v="카페24고체향수스테이포에버200622"/>
  </r>
  <r>
    <x v="48"/>
    <s v="토"/>
    <x v="11"/>
    <s v="카페24"/>
    <m/>
    <n v="1"/>
    <x v="2"/>
    <s v="유즈쇼핑백"/>
    <n v="200622"/>
    <m/>
    <n v="2000"/>
    <n v="1883"/>
    <n v="1210"/>
    <n v="1818.181818181818"/>
    <s v="카페24쇼핑백유즈쇼핑백200622"/>
  </r>
  <r>
    <x v="48"/>
    <s v="토"/>
    <x v="11"/>
    <s v="카페24"/>
    <m/>
    <n v="7"/>
    <x v="0"/>
    <s v="이그나이트"/>
    <n v="200622"/>
    <m/>
    <n v="238000"/>
    <n v="224077"/>
    <n v="20216"/>
    <n v="216363.6363636364"/>
    <s v="카페24고체향수이그나이트200622"/>
  </r>
  <r>
    <x v="49"/>
    <s v="일"/>
    <x v="11"/>
    <s v="카페24"/>
    <m/>
    <n v="3"/>
    <x v="0"/>
    <s v="이그나이트"/>
    <n v="200622"/>
    <m/>
    <n v="102000"/>
    <n v="96033"/>
    <n v="8664"/>
    <n v="92727.27272727272"/>
    <s v="카페24고체향수이그나이트200622"/>
  </r>
  <r>
    <x v="49"/>
    <s v="일"/>
    <x v="11"/>
    <s v="카페24"/>
    <m/>
    <n v="65"/>
    <x v="0"/>
    <s v="스테이포에버"/>
    <n v="200622"/>
    <m/>
    <n v="2210000"/>
    <n v="2080715"/>
    <n v="180895"/>
    <n v="2009090.909090909"/>
    <s v="카페24고체향수스테이포에버200622"/>
  </r>
  <r>
    <x v="50"/>
    <s v="월"/>
    <x v="11"/>
    <s v="카페24"/>
    <m/>
    <n v="2"/>
    <x v="0"/>
    <s v="이그나이트 + 스테이포에버"/>
    <n v="200622"/>
    <m/>
    <n v="130000"/>
    <n v="122395"/>
    <n v="11342"/>
    <n v="118181.8181818182"/>
    <s v="카페24고체향수이그나이트 + 스테이포에버200622"/>
  </r>
  <r>
    <x v="50"/>
    <s v="월"/>
    <x v="11"/>
    <s v="카페24"/>
    <m/>
    <n v="2"/>
    <x v="0"/>
    <s v="이그나이트"/>
    <n v="200622"/>
    <m/>
    <n v="68000"/>
    <n v="64022"/>
    <n v="5776"/>
    <n v="61818.18181818182"/>
    <s v="카페24고체향수이그나이트200622"/>
  </r>
  <r>
    <x v="50"/>
    <s v="월"/>
    <x v="11"/>
    <s v="카페24"/>
    <m/>
    <n v="46"/>
    <x v="0"/>
    <s v="스테이포에버"/>
    <n v="200622"/>
    <m/>
    <n v="1564000"/>
    <n v="1472506"/>
    <n v="128018"/>
    <n v="1421818.181818182"/>
    <s v="카페24고체향수스테이포에버200622"/>
  </r>
  <r>
    <x v="51"/>
    <s v="화"/>
    <x v="11"/>
    <s v="카페24"/>
    <m/>
    <n v="3"/>
    <x v="0"/>
    <s v="이그나이트 + 스테이포에버"/>
    <n v="200622"/>
    <m/>
    <n v="195000"/>
    <n v="183592.5"/>
    <n v="17013"/>
    <n v="177272.7272727273"/>
    <s v="카페24고체향수이그나이트 + 스테이포에버200622"/>
  </r>
  <r>
    <x v="51"/>
    <s v="화"/>
    <x v="11"/>
    <s v="카페24"/>
    <m/>
    <n v="77"/>
    <x v="0"/>
    <s v="스테이포에버"/>
    <n v="200622"/>
    <m/>
    <n v="2618000"/>
    <n v="2464847"/>
    <n v="214291"/>
    <n v="2380000"/>
    <s v="카페24고체향수스테이포에버200622"/>
  </r>
  <r>
    <x v="51"/>
    <s v="화"/>
    <x v="11"/>
    <s v="카페24"/>
    <m/>
    <n v="3"/>
    <x v="2"/>
    <s v="유즈쇼핑백"/>
    <n v="200622"/>
    <m/>
    <n v="6000"/>
    <n v="5649"/>
    <n v="3630"/>
    <n v="5454.545454545454"/>
    <s v="카페24쇼핑백유즈쇼핑백200622"/>
  </r>
  <r>
    <x v="51"/>
    <s v="화"/>
    <x v="11"/>
    <s v="카페24"/>
    <m/>
    <n v="2"/>
    <x v="0"/>
    <s v="이그나이트"/>
    <n v="200622"/>
    <m/>
    <n v="68000"/>
    <n v="64022"/>
    <n v="5776"/>
    <n v="61818.18181818182"/>
    <s v="카페24고체향수이그나이트200622"/>
  </r>
  <r>
    <x v="52"/>
    <s v="수"/>
    <x v="11"/>
    <s v="카페24"/>
    <m/>
    <n v="1"/>
    <x v="0"/>
    <s v="이그나이트 + 스테이포에버"/>
    <n v="200622"/>
    <m/>
    <n v="65000"/>
    <n v="61197.5"/>
    <n v="5671"/>
    <n v="59090.90909090909"/>
    <s v="카페24고체향수이그나이트 + 스테이포에버200622"/>
  </r>
  <r>
    <x v="52"/>
    <s v="수"/>
    <x v="11"/>
    <s v="카페24"/>
    <m/>
    <n v="112"/>
    <x v="0"/>
    <s v="스테이포에버"/>
    <n v="200622"/>
    <m/>
    <n v="3808000"/>
    <n v="3585232"/>
    <n v="311696"/>
    <n v="3461818.181818182"/>
    <s v="카페24고체향수스테이포에버200622"/>
  </r>
  <r>
    <x v="52"/>
    <s v="수"/>
    <x v="11"/>
    <s v="카페24"/>
    <m/>
    <n v="1"/>
    <x v="2"/>
    <s v="유즈쇼핑백"/>
    <n v="200622"/>
    <m/>
    <n v="2000"/>
    <n v="1883"/>
    <n v="1210"/>
    <n v="1818.181818181818"/>
    <s v="카페24쇼핑백유즈쇼핑백200622"/>
  </r>
  <r>
    <x v="52"/>
    <s v="수"/>
    <x v="11"/>
    <s v="카페24"/>
    <m/>
    <n v="3"/>
    <x v="0"/>
    <s v="이그나이트"/>
    <n v="200622"/>
    <m/>
    <n v="102000"/>
    <n v="96033"/>
    <n v="8664"/>
    <n v="92727.27272727272"/>
    <s v="카페24고체향수이그나이트200622"/>
  </r>
  <r>
    <x v="53"/>
    <s v="목"/>
    <x v="11"/>
    <s v="유즈 CS"/>
    <m/>
    <n v="1"/>
    <x v="0"/>
    <s v="이그나이트"/>
    <n v="200520"/>
    <m/>
    <n v="0"/>
    <n v="0"/>
    <n v="2888"/>
    <n v="0"/>
    <s v="유즈 CS고체향수이그나이트200520"/>
  </r>
  <r>
    <x v="53"/>
    <s v="목"/>
    <x v="11"/>
    <s v="유즈 CS"/>
    <m/>
    <n v="1"/>
    <x v="2"/>
    <s v="유즈쇼핑백"/>
    <n v="200520"/>
    <m/>
    <n v="0"/>
    <n v="0"/>
    <n v="1210"/>
    <n v="0"/>
    <s v="유즈 CS쇼핑백유즈쇼핑백200520"/>
  </r>
  <r>
    <x v="53"/>
    <s v="목"/>
    <x v="11"/>
    <s v="카페24"/>
    <m/>
    <n v="51"/>
    <x v="0"/>
    <s v="스테이포에버"/>
    <n v="200622"/>
    <m/>
    <n v="1734000"/>
    <n v="1632561"/>
    <n v="141933"/>
    <n v="1576363.636363636"/>
    <s v="카페24고체향수스테이포에버200622"/>
  </r>
  <r>
    <x v="54"/>
    <s v="금"/>
    <x v="11"/>
    <s v="카페24"/>
    <m/>
    <n v="86"/>
    <x v="0"/>
    <s v="스테이포에버"/>
    <n v="200622"/>
    <m/>
    <n v="2924000"/>
    <n v="2752946"/>
    <n v="239338"/>
    <n v="2658181.818181818"/>
    <s v="카페24고체향수스테이포에버200622"/>
  </r>
  <r>
    <x v="54"/>
    <s v="금"/>
    <x v="11"/>
    <s v="카페24"/>
    <m/>
    <n v="2"/>
    <x v="2"/>
    <s v="유즈쇼핑백"/>
    <n v="200622"/>
    <m/>
    <n v="4000"/>
    <n v="3766"/>
    <n v="2420"/>
    <n v="3636.363636363636"/>
    <s v="카페24쇼핑백유즈쇼핑백200622"/>
  </r>
  <r>
    <x v="54"/>
    <s v="금"/>
    <x v="11"/>
    <s v="카페24"/>
    <m/>
    <n v="3"/>
    <x v="0"/>
    <s v="이그나이트"/>
    <n v="200622"/>
    <m/>
    <n v="102000"/>
    <n v="96033"/>
    <n v="8664"/>
    <n v="92727.27272727272"/>
    <s v="카페24고체향수이그나이트200622"/>
  </r>
  <r>
    <x v="55"/>
    <s v="토"/>
    <x v="11"/>
    <s v="카페24"/>
    <m/>
    <n v="41"/>
    <x v="0"/>
    <s v="스테이포에버"/>
    <n v="200622"/>
    <m/>
    <n v="1394000"/>
    <n v="1312451"/>
    <n v="114103"/>
    <n v="1267272.727272727"/>
    <s v="카페24고체향수스테이포에버200622"/>
  </r>
  <r>
    <x v="55"/>
    <s v="토"/>
    <x v="11"/>
    <s v="카페24"/>
    <m/>
    <n v="1"/>
    <x v="0"/>
    <s v="이그나이트"/>
    <n v="200622"/>
    <m/>
    <n v="34000"/>
    <n v="32011"/>
    <n v="2888"/>
    <n v="30909.09090909091"/>
    <s v="카페24고체향수이그나이트200622"/>
  </r>
  <r>
    <x v="56"/>
    <s v="일"/>
    <x v="11"/>
    <s v="카페24"/>
    <m/>
    <n v="46"/>
    <x v="0"/>
    <s v="스테이포에버"/>
    <n v="200622"/>
    <m/>
    <n v="1564000"/>
    <n v="1472506"/>
    <n v="128018"/>
    <n v="1421818.181818182"/>
    <s v="카페24고체향수스테이포에버200622"/>
  </r>
  <r>
    <x v="56"/>
    <s v="일"/>
    <x v="11"/>
    <s v="카페24"/>
    <m/>
    <n v="1"/>
    <x v="2"/>
    <s v="유즈쇼핑백"/>
    <n v="200622"/>
    <m/>
    <n v="2000"/>
    <n v="1883"/>
    <n v="1210"/>
    <n v="1818.181818181818"/>
    <s v="카페24쇼핑백유즈쇼핑백200622"/>
  </r>
  <r>
    <x v="57"/>
    <s v="월"/>
    <x v="11"/>
    <s v="카페24"/>
    <m/>
    <n v="1"/>
    <x v="0"/>
    <s v="이그나이트 + 스테이포에버"/>
    <n v="200622"/>
    <m/>
    <n v="65000"/>
    <n v="61197.5"/>
    <n v="5671"/>
    <n v="59090.90909090909"/>
    <s v="카페24고체향수이그나이트 + 스테이포에버200622"/>
  </r>
  <r>
    <x v="57"/>
    <s v="월"/>
    <x v="11"/>
    <s v="카페24"/>
    <m/>
    <n v="3"/>
    <x v="0"/>
    <s v="이그나이트"/>
    <n v="200622"/>
    <m/>
    <n v="102000"/>
    <n v="96033"/>
    <n v="8664"/>
    <n v="92727.27272727272"/>
    <s v="카페24고체향수이그나이트200622"/>
  </r>
  <r>
    <x v="57"/>
    <s v="월"/>
    <x v="11"/>
    <s v="카페24"/>
    <m/>
    <n v="59"/>
    <x v="0"/>
    <s v="스테이포에버"/>
    <n v="200622"/>
    <m/>
    <n v="2006000"/>
    <n v="1888649"/>
    <n v="164197"/>
    <n v="1823636.363636364"/>
    <s v="카페24고체향수스테이포에버200622"/>
  </r>
  <r>
    <x v="57"/>
    <s v="월"/>
    <x v="11"/>
    <s v="카페24"/>
    <m/>
    <n v="4"/>
    <x v="0"/>
    <s v="스테이포에버 2set"/>
    <n v="200622"/>
    <m/>
    <n v="235200"/>
    <n v="221440.8"/>
    <n v="22264"/>
    <n v="213818.1818181818"/>
    <s v="카페24고체향수스테이포에버 2set200622"/>
  </r>
  <r>
    <x v="58"/>
    <s v="화"/>
    <x v="11"/>
    <s v="카페24"/>
    <m/>
    <n v="2"/>
    <x v="0"/>
    <s v="이그나이트 + 스테이포에버"/>
    <n v="200622"/>
    <m/>
    <n v="130000"/>
    <n v="122395"/>
    <n v="11342"/>
    <n v="118181.8181818182"/>
    <s v="카페24고체향수이그나이트 + 스테이포에버200622"/>
  </r>
  <r>
    <x v="58"/>
    <s v="화"/>
    <x v="11"/>
    <s v="카페24"/>
    <m/>
    <n v="9"/>
    <x v="0"/>
    <s v="이그나이트"/>
    <n v="200622"/>
    <m/>
    <n v="306000"/>
    <n v="288099"/>
    <n v="25992"/>
    <n v="278181.8181818182"/>
    <s v="카페24고체향수이그나이트200622"/>
  </r>
  <r>
    <x v="58"/>
    <s v="화"/>
    <x v="11"/>
    <s v="카페24"/>
    <m/>
    <n v="77"/>
    <x v="0"/>
    <s v="스테이포에버"/>
    <n v="200622"/>
    <m/>
    <n v="2618000"/>
    <n v="2464847"/>
    <n v="214291"/>
    <n v="2380000"/>
    <s v="카페24고체향수스테이포에버200622"/>
  </r>
  <r>
    <x v="58"/>
    <s v="화"/>
    <x v="11"/>
    <s v="카페24"/>
    <m/>
    <n v="8"/>
    <x v="0"/>
    <s v="스테이포에버 2set"/>
    <n v="200622"/>
    <m/>
    <n v="470400"/>
    <n v="442881.6"/>
    <n v="44528"/>
    <n v="427636.3636363636"/>
    <s v="카페24고체향수스테이포에버 2set200622"/>
  </r>
  <r>
    <x v="58"/>
    <s v="화"/>
    <x v="11"/>
    <s v="카페24"/>
    <m/>
    <n v="2"/>
    <x v="0"/>
    <s v="이그나이트 2set"/>
    <n v="200622"/>
    <m/>
    <n v="117600"/>
    <n v="110720.4"/>
    <n v="11552"/>
    <n v="106909.0909090909"/>
    <s v="카페24고체향수이그나이트 2set200622"/>
  </r>
  <r>
    <x v="58"/>
    <s v="화"/>
    <x v="11"/>
    <s v="카페24"/>
    <m/>
    <n v="1"/>
    <x v="2"/>
    <s v="유즈쇼핑백"/>
    <n v="200622"/>
    <m/>
    <n v="2000"/>
    <n v="1883"/>
    <n v="1210"/>
    <n v="1818.181818181818"/>
    <s v="카페24쇼핑백유즈쇼핑백200622"/>
  </r>
  <r>
    <x v="59"/>
    <s v="수"/>
    <x v="11"/>
    <s v="카페24"/>
    <m/>
    <n v="4"/>
    <x v="0"/>
    <s v="이그나이트 + 스테이포에버"/>
    <n v="200622"/>
    <m/>
    <n v="260000"/>
    <n v="244790"/>
    <n v="22684"/>
    <n v="236363.6363636364"/>
    <s v="카페24고체향수이그나이트 + 스테이포에버200622"/>
  </r>
  <r>
    <x v="59"/>
    <s v="수"/>
    <x v="11"/>
    <s v="카페24"/>
    <m/>
    <n v="90"/>
    <x v="0"/>
    <s v="스테이포에버"/>
    <n v="200622"/>
    <m/>
    <n v="3060000"/>
    <n v="2880990"/>
    <n v="250470"/>
    <n v="2781818.181818182"/>
    <s v="카페24고체향수스테이포에버200622"/>
  </r>
  <r>
    <x v="59"/>
    <s v="수"/>
    <x v="11"/>
    <s v="카페24"/>
    <m/>
    <n v="10"/>
    <x v="0"/>
    <s v="스테이포에버 2set"/>
    <n v="200622"/>
    <m/>
    <n v="588000"/>
    <n v="553602"/>
    <n v="55660"/>
    <n v="534545.4545454545"/>
    <s v="카페24고체향수스테이포에버 2set200622"/>
  </r>
  <r>
    <x v="59"/>
    <s v="수"/>
    <x v="11"/>
    <s v="카페24"/>
    <m/>
    <n v="1"/>
    <x v="2"/>
    <s v="유즈쇼핑백"/>
    <n v="200622"/>
    <m/>
    <n v="2000"/>
    <n v="1883"/>
    <n v="1210"/>
    <n v="1818.181818181818"/>
    <s v="카페24쇼핑백유즈쇼핑백200622"/>
  </r>
  <r>
    <x v="59"/>
    <s v="수"/>
    <x v="11"/>
    <s v="카페24"/>
    <m/>
    <n v="1"/>
    <x v="0"/>
    <s v="이그나이트"/>
    <n v="200622"/>
    <m/>
    <n v="34000"/>
    <n v="32011"/>
    <n v="2888"/>
    <n v="30909.09090909091"/>
    <s v="카페24고체향수이그나이트200622"/>
  </r>
  <r>
    <x v="60"/>
    <s v="목"/>
    <x v="11"/>
    <s v="카페24"/>
    <m/>
    <n v="1"/>
    <x v="0"/>
    <s v="이그나이트 + 스테이포에버"/>
    <n v="200622"/>
    <m/>
    <n v="65000"/>
    <n v="61197.5"/>
    <n v="5671"/>
    <n v="59090.90909090909"/>
    <s v="카페24고체향수이그나이트 + 스테이포에버200622"/>
  </r>
  <r>
    <x v="60"/>
    <s v="목"/>
    <x v="11"/>
    <s v="카페24"/>
    <m/>
    <n v="2"/>
    <x v="0"/>
    <s v="이그나이트"/>
    <n v="200622"/>
    <m/>
    <n v="68000"/>
    <n v="64022"/>
    <n v="5776"/>
    <n v="61818.18181818182"/>
    <s v="카페24고체향수이그나이트200622"/>
  </r>
  <r>
    <x v="60"/>
    <s v="목"/>
    <x v="11"/>
    <s v="카페24"/>
    <m/>
    <n v="16"/>
    <x v="0"/>
    <s v="스테이포에버 2set"/>
    <n v="200622"/>
    <m/>
    <n v="940800"/>
    <n v="885763.2"/>
    <n v="89056"/>
    <n v="855272.7272727272"/>
    <s v="카페24고체향수스테이포에버 2set200622"/>
  </r>
  <r>
    <x v="60"/>
    <s v="목"/>
    <x v="11"/>
    <s v="카페24"/>
    <m/>
    <n v="97"/>
    <x v="0"/>
    <s v="스테이포에버"/>
    <n v="200622"/>
    <m/>
    <n v="3298000"/>
    <n v="3105067"/>
    <n v="269951"/>
    <n v="2998181.818181818"/>
    <s v="카페24고체향수스테이포에버200622"/>
  </r>
  <r>
    <x v="60"/>
    <s v="목"/>
    <x v="11"/>
    <s v="카페24"/>
    <m/>
    <n v="3"/>
    <x v="2"/>
    <s v="유즈쇼핑백"/>
    <n v="200622"/>
    <m/>
    <n v="6000"/>
    <n v="5649"/>
    <n v="3630"/>
    <n v="5454.545454545454"/>
    <s v="카페24쇼핑백유즈쇼핑백200622"/>
  </r>
  <r>
    <x v="61"/>
    <s v="금"/>
    <x v="11"/>
    <s v="카페24"/>
    <m/>
    <n v="2"/>
    <x v="0"/>
    <s v="이그나이트 + 스테이포에버"/>
    <n v="200622"/>
    <m/>
    <n v="130000"/>
    <n v="122395"/>
    <n v="11342"/>
    <n v="118181.8181818182"/>
    <s v="카페24고체향수이그나이트 + 스테이포에버200622"/>
  </r>
  <r>
    <x v="61"/>
    <s v="금"/>
    <x v="11"/>
    <s v="카페24"/>
    <m/>
    <n v="108"/>
    <x v="0"/>
    <s v="스테이포에버"/>
    <n v="200622"/>
    <m/>
    <n v="3672000"/>
    <n v="3457188"/>
    <n v="300564"/>
    <n v="3338181.818181818"/>
    <s v="카페24고체향수스테이포에버200622"/>
  </r>
  <r>
    <x v="61"/>
    <s v="금"/>
    <x v="11"/>
    <s v="카페24"/>
    <m/>
    <n v="12"/>
    <x v="0"/>
    <s v="스테이포에버 2set"/>
    <n v="200622"/>
    <m/>
    <n v="705600"/>
    <n v="664322.4"/>
    <n v="66792"/>
    <n v="641454.5454545454"/>
    <s v="카페24고체향수스테이포에버 2set200622"/>
  </r>
  <r>
    <x v="61"/>
    <s v="금"/>
    <x v="11"/>
    <s v="카페24"/>
    <m/>
    <n v="2"/>
    <x v="2"/>
    <s v="유즈쇼핑백"/>
    <n v="200622"/>
    <m/>
    <n v="4000"/>
    <n v="3766"/>
    <n v="2420"/>
    <n v="3636.363636363636"/>
    <s v="카페24쇼핑백유즈쇼핑백200622"/>
  </r>
  <r>
    <x v="61"/>
    <s v="금"/>
    <x v="11"/>
    <s v="카페24"/>
    <m/>
    <n v="5"/>
    <x v="0"/>
    <s v="이그나이트"/>
    <n v="200622"/>
    <m/>
    <n v="170000"/>
    <n v="160055"/>
    <n v="14440"/>
    <n v="154545.4545454545"/>
    <s v="카페24고체향수이그나이트200622"/>
  </r>
  <r>
    <x v="62"/>
    <s v="토"/>
    <x v="11"/>
    <s v="카페24"/>
    <m/>
    <n v="3"/>
    <x v="0"/>
    <s v="이그나이트 + 스테이포에버"/>
    <n v="200622"/>
    <m/>
    <n v="195000"/>
    <n v="183592.5"/>
    <n v="17013"/>
    <n v="177272.7272727273"/>
    <s v="카페24고체향수이그나이트 + 스테이포에버200622"/>
  </r>
  <r>
    <x v="62"/>
    <s v="토"/>
    <x v="11"/>
    <s v="카페24"/>
    <m/>
    <n v="88"/>
    <x v="0"/>
    <s v="스테이포에버"/>
    <n v="200622"/>
    <m/>
    <n v="2992000"/>
    <n v="2816968"/>
    <n v="244904"/>
    <n v="2720000"/>
    <s v="카페24고체향수스테이포에버200622"/>
  </r>
  <r>
    <x v="62"/>
    <s v="토"/>
    <x v="11"/>
    <s v="카페24"/>
    <m/>
    <n v="15"/>
    <x v="0"/>
    <s v="스테이포에버 2set"/>
    <n v="200622"/>
    <m/>
    <n v="882000"/>
    <n v="830403"/>
    <n v="83490"/>
    <n v="801818.1818181818"/>
    <s v="카페24고체향수스테이포에버 2set200622"/>
  </r>
  <r>
    <x v="62"/>
    <s v="토"/>
    <x v="11"/>
    <s v="카페24"/>
    <m/>
    <n v="2"/>
    <x v="2"/>
    <s v="유즈쇼핑백"/>
    <n v="200622"/>
    <m/>
    <n v="4000"/>
    <n v="3766"/>
    <n v="2420"/>
    <n v="3636.363636363636"/>
    <s v="카페24쇼핑백유즈쇼핑백200622"/>
  </r>
  <r>
    <x v="62"/>
    <s v="토"/>
    <x v="11"/>
    <s v="카페24"/>
    <m/>
    <n v="1"/>
    <x v="0"/>
    <s v="이그나이트"/>
    <n v="200622"/>
    <m/>
    <n v="34000"/>
    <n v="32011"/>
    <n v="2888"/>
    <n v="30909.09090909091"/>
    <s v="카페24고체향수이그나이트200622"/>
  </r>
  <r>
    <x v="63"/>
    <s v="일"/>
    <x v="11"/>
    <s v="카페24"/>
    <m/>
    <n v="3"/>
    <x v="0"/>
    <s v="이그나이트 + 스테이포에버"/>
    <n v="200622"/>
    <m/>
    <n v="195000"/>
    <n v="183592.5"/>
    <n v="17013"/>
    <n v="177272.7272727273"/>
    <s v="카페24고체향수이그나이트 + 스테이포에버200622"/>
  </r>
  <r>
    <x v="63"/>
    <s v="일"/>
    <x v="11"/>
    <s v="카페24"/>
    <m/>
    <n v="124"/>
    <x v="0"/>
    <s v="스테이포에버"/>
    <n v="200622"/>
    <m/>
    <n v="4216000"/>
    <n v="3969364"/>
    <n v="345092"/>
    <n v="3832727.272727272"/>
    <s v="카페24고체향수스테이포에버200622"/>
  </r>
  <r>
    <x v="63"/>
    <s v="일"/>
    <x v="11"/>
    <s v="카페24"/>
    <m/>
    <n v="21"/>
    <x v="0"/>
    <s v="스테이포에버 2set"/>
    <n v="200622"/>
    <m/>
    <n v="1234800"/>
    <n v="1162564.2"/>
    <n v="116886"/>
    <n v="1122545.454545454"/>
    <s v="카페24고체향수스테이포에버 2set200622"/>
  </r>
  <r>
    <x v="63"/>
    <s v="일"/>
    <x v="11"/>
    <s v="카페24"/>
    <m/>
    <n v="1"/>
    <x v="2"/>
    <s v="유즈쇼핑백"/>
    <n v="200622"/>
    <m/>
    <n v="2000"/>
    <n v="1883"/>
    <n v="1210"/>
    <n v="1818.181818181818"/>
    <s v="카페24쇼핑백유즈쇼핑백200622"/>
  </r>
  <r>
    <x v="63"/>
    <s v="일"/>
    <x v="11"/>
    <s v="카페24"/>
    <m/>
    <n v="4"/>
    <x v="0"/>
    <s v="이그나이트"/>
    <n v="200622"/>
    <m/>
    <n v="136000"/>
    <n v="128044"/>
    <n v="11552"/>
    <n v="123636.3636363636"/>
    <s v="카페24고체향수이그나이트200622"/>
  </r>
  <r>
    <x v="64"/>
    <s v="월"/>
    <x v="11"/>
    <s v="카페24"/>
    <m/>
    <n v="3"/>
    <x v="0"/>
    <s v="이그나이트 + 스테이포에버"/>
    <n v="200622"/>
    <m/>
    <n v="195000"/>
    <n v="183592.5"/>
    <n v="17013"/>
    <n v="177272.7272727273"/>
    <s v="카페24고체향수이그나이트 + 스테이포에버200622"/>
  </r>
  <r>
    <x v="64"/>
    <s v="월"/>
    <x v="11"/>
    <s v="카페24"/>
    <m/>
    <n v="84"/>
    <x v="0"/>
    <s v="스테이포에버"/>
    <n v="200622"/>
    <m/>
    <n v="2856000"/>
    <n v="2688924"/>
    <n v="233772"/>
    <n v="2596363.636363636"/>
    <s v="카페24고체향수스테이포에버200622"/>
  </r>
  <r>
    <x v="64"/>
    <s v="월"/>
    <x v="11"/>
    <s v="카페24"/>
    <m/>
    <n v="17"/>
    <x v="0"/>
    <s v="스테이포에버 2set"/>
    <n v="200622"/>
    <m/>
    <n v="999600"/>
    <n v="941123.4"/>
    <n v="94622"/>
    <n v="908727.2727272727"/>
    <s v="카페24고체향수스테이포에버 2set200622"/>
  </r>
  <r>
    <x v="64"/>
    <s v="월"/>
    <x v="11"/>
    <s v="카페24"/>
    <m/>
    <n v="1"/>
    <x v="2"/>
    <s v="유즈쇼핑백"/>
    <n v="200622"/>
    <m/>
    <n v="2000"/>
    <n v="1883"/>
    <n v="1210"/>
    <n v="1818.181818181818"/>
    <s v="카페24쇼핑백유즈쇼핑백200622"/>
  </r>
  <r>
    <x v="64"/>
    <s v="월"/>
    <x v="11"/>
    <s v="카페24"/>
    <m/>
    <n v="6"/>
    <x v="0"/>
    <s v="이그나이트"/>
    <n v="200622"/>
    <m/>
    <n v="204000"/>
    <n v="192066"/>
    <n v="17328"/>
    <n v="185454.5454545454"/>
    <s v="카페24고체향수이그나이트200622"/>
  </r>
  <r>
    <x v="65"/>
    <s v="화"/>
    <x v="11"/>
    <s v="카페24"/>
    <m/>
    <n v="103"/>
    <x v="0"/>
    <s v="스테이포에버"/>
    <n v="200622"/>
    <m/>
    <n v="3502000"/>
    <n v="3297133"/>
    <n v="286649"/>
    <n v="3183636.363636363"/>
    <s v="카페24고체향수스테이포에버200622"/>
  </r>
  <r>
    <x v="65"/>
    <s v="화"/>
    <x v="11"/>
    <s v="카페24"/>
    <m/>
    <n v="17"/>
    <x v="0"/>
    <s v="스테이포에버 2set"/>
    <n v="200622"/>
    <m/>
    <n v="999600"/>
    <n v="941123.4"/>
    <n v="94622"/>
    <n v="908727.2727272727"/>
    <s v="카페24고체향수스테이포에버 2set200622"/>
  </r>
  <r>
    <x v="65"/>
    <s v="화"/>
    <x v="11"/>
    <s v="카페24"/>
    <m/>
    <n v="5"/>
    <x v="0"/>
    <s v="이그나이트"/>
    <n v="200622"/>
    <m/>
    <n v="170000"/>
    <n v="160055"/>
    <n v="14440"/>
    <n v="154545.4545454545"/>
    <s v="카페24고체향수이그나이트200622"/>
  </r>
  <r>
    <x v="65"/>
    <s v="화"/>
    <x v="11"/>
    <s v="카페24"/>
    <m/>
    <n v="1"/>
    <x v="0"/>
    <s v="이그나이트 2set"/>
    <n v="200622"/>
    <m/>
    <n v="58800"/>
    <n v="55360.2"/>
    <n v="5776"/>
    <n v="53454.54545454545"/>
    <s v="카페24고체향수이그나이트 2set200622"/>
  </r>
  <r>
    <x v="65"/>
    <s v="화"/>
    <x v="11"/>
    <s v="카페24"/>
    <m/>
    <n v="2"/>
    <x v="2"/>
    <s v="유즈쇼핑백"/>
    <n v="200622"/>
    <m/>
    <n v="4000"/>
    <n v="3766"/>
    <n v="2420"/>
    <n v="3636.363636363636"/>
    <s v="카페24쇼핑백유즈쇼핑백200622"/>
  </r>
  <r>
    <x v="66"/>
    <s v="수"/>
    <x v="11"/>
    <s v="카페24"/>
    <m/>
    <n v="3"/>
    <x v="0"/>
    <s v="이그나이트 + 스테이포에버"/>
    <n v="200622"/>
    <m/>
    <n v="195000"/>
    <n v="183592.5"/>
    <n v="17013"/>
    <n v="177272.7272727273"/>
    <s v="카페24고체향수이그나이트 + 스테이포에버200622"/>
  </r>
  <r>
    <x v="66"/>
    <s v="수"/>
    <x v="11"/>
    <s v="카페24"/>
    <m/>
    <n v="85"/>
    <x v="0"/>
    <s v="스테이포에버"/>
    <n v="200622"/>
    <m/>
    <n v="2890000"/>
    <n v="2720935"/>
    <n v="236555"/>
    <n v="2627272.727272727"/>
    <s v="카페24고체향수스테이포에버200622"/>
  </r>
  <r>
    <x v="66"/>
    <s v="수"/>
    <x v="11"/>
    <s v="카페24"/>
    <m/>
    <n v="11"/>
    <x v="0"/>
    <s v="스테이포에버 2set"/>
    <n v="200622"/>
    <m/>
    <n v="646800"/>
    <n v="608962.2"/>
    <n v="61226"/>
    <n v="588000"/>
    <s v="카페24고체향수스테이포에버 2set200622"/>
  </r>
  <r>
    <x v="66"/>
    <s v="수"/>
    <x v="11"/>
    <s v="카페24"/>
    <m/>
    <n v="4"/>
    <x v="0"/>
    <s v="이그나이트"/>
    <n v="200622"/>
    <m/>
    <n v="136000"/>
    <n v="128044"/>
    <n v="11552"/>
    <n v="123636.3636363636"/>
    <s v="카페24고체향수이그나이트200622"/>
  </r>
  <r>
    <x v="66"/>
    <s v="수"/>
    <x v="11"/>
    <s v="카페24"/>
    <m/>
    <n v="1"/>
    <x v="2"/>
    <s v="유즈쇼핑백"/>
    <n v="200622"/>
    <m/>
    <n v="2000"/>
    <n v="1883"/>
    <n v="1210"/>
    <n v="1818.181818181818"/>
    <s v="카페24쇼핑백유즈쇼핑백200622"/>
  </r>
  <r>
    <x v="67"/>
    <s v="목"/>
    <x v="11"/>
    <s v="카페24"/>
    <m/>
    <n v="2"/>
    <x v="0"/>
    <s v="이그나이트 + 스테이포에버"/>
    <n v="200622"/>
    <m/>
    <n v="130000"/>
    <n v="122395"/>
    <n v="11342"/>
    <n v="118181.8181818182"/>
    <s v="카페24고체향수이그나이트 + 스테이포에버200622"/>
  </r>
  <r>
    <x v="67"/>
    <s v="목"/>
    <x v="11"/>
    <s v="카페24"/>
    <m/>
    <n v="49"/>
    <x v="0"/>
    <s v="스테이포에버"/>
    <n v="200622"/>
    <m/>
    <n v="1666000"/>
    <n v="1568539"/>
    <n v="136367"/>
    <n v="1514545.454545454"/>
    <s v="카페24고체향수스테이포에버200622"/>
  </r>
  <r>
    <x v="67"/>
    <s v="목"/>
    <x v="11"/>
    <s v="카페24"/>
    <m/>
    <n v="9"/>
    <x v="0"/>
    <s v="스테이포에버 2set"/>
    <n v="200622"/>
    <m/>
    <n v="529200"/>
    <n v="498241.8"/>
    <n v="50094"/>
    <n v="481090.9090909091"/>
    <s v="카페24고체향수스테이포에버 2set200622"/>
  </r>
  <r>
    <x v="67"/>
    <s v="목"/>
    <x v="11"/>
    <s v="카페24"/>
    <m/>
    <n v="5"/>
    <x v="0"/>
    <s v="이그나이트"/>
    <n v="200622"/>
    <m/>
    <n v="170000"/>
    <n v="160055"/>
    <n v="14440"/>
    <n v="154545.4545454545"/>
    <s v="카페24고체향수이그나이트200622"/>
  </r>
  <r>
    <x v="67"/>
    <s v="목"/>
    <x v="11"/>
    <s v="카페24"/>
    <m/>
    <n v="1"/>
    <x v="0"/>
    <s v="이그나이트 2set"/>
    <n v="200622"/>
    <m/>
    <n v="58800"/>
    <n v="55360.2"/>
    <n v="5776"/>
    <n v="53454.54545454545"/>
    <s v="카페24고체향수이그나이트 2set200622"/>
  </r>
  <r>
    <x v="68"/>
    <s v="금"/>
    <x v="11"/>
    <s v="카페24"/>
    <m/>
    <n v="52"/>
    <x v="0"/>
    <s v="스테이포에버"/>
    <n v="200622"/>
    <m/>
    <n v="1768000"/>
    <n v="1664572"/>
    <n v="144716"/>
    <n v="1607272.727272727"/>
    <s v="카페24고체향수스테이포에버200622"/>
  </r>
  <r>
    <x v="68"/>
    <s v="금"/>
    <x v="11"/>
    <s v="카페24"/>
    <m/>
    <n v="8"/>
    <x v="0"/>
    <s v="스테이포에버 2set"/>
    <n v="200622"/>
    <m/>
    <n v="470400"/>
    <n v="442881.6"/>
    <n v="44528"/>
    <n v="427636.3636363636"/>
    <s v="카페24고체향수스테이포에버 2set200622"/>
  </r>
  <r>
    <x v="68"/>
    <s v="금"/>
    <x v="11"/>
    <s v="카페24"/>
    <m/>
    <n v="3"/>
    <x v="0"/>
    <s v="이그나이트"/>
    <n v="200622"/>
    <m/>
    <n v="102000"/>
    <n v="96033"/>
    <n v="8664"/>
    <n v="92727.27272727272"/>
    <s v="카페24고체향수이그나이트200622"/>
  </r>
  <r>
    <x v="69"/>
    <s v="토"/>
    <x v="11"/>
    <s v="카페24"/>
    <m/>
    <n v="50"/>
    <x v="0"/>
    <s v="스테이포에버"/>
    <n v="200720"/>
    <m/>
    <n v="1700000"/>
    <n v="1600550"/>
    <n v="139150"/>
    <n v="1545454.545454545"/>
    <s v="카페24고체향수스테이포에버200720"/>
  </r>
  <r>
    <x v="69"/>
    <s v="토"/>
    <x v="11"/>
    <s v="카페24"/>
    <m/>
    <n v="11"/>
    <x v="0"/>
    <s v="스테이포에버 2set"/>
    <n v="200720"/>
    <m/>
    <n v="646800"/>
    <n v="608962.2"/>
    <n v="61226"/>
    <n v="588000"/>
    <s v="카페24고체향수스테이포에버 2set200720"/>
  </r>
  <r>
    <x v="69"/>
    <s v="토"/>
    <x v="11"/>
    <s v="카페24"/>
    <m/>
    <n v="2"/>
    <x v="0"/>
    <s v="이그나이트"/>
    <n v="200720"/>
    <m/>
    <n v="68000"/>
    <n v="64022"/>
    <n v="5776"/>
    <n v="61818.18181818182"/>
    <s v="카페24고체향수이그나이트200720"/>
  </r>
  <r>
    <x v="69"/>
    <s v="토"/>
    <x v="11"/>
    <s v="카페24"/>
    <m/>
    <n v="2"/>
    <x v="0"/>
    <s v="이그나이트 2set"/>
    <n v="200720"/>
    <m/>
    <n v="117600"/>
    <n v="110720.4"/>
    <n v="11552"/>
    <n v="106909.0909090909"/>
    <s v="카페24고체향수이그나이트 2set200720"/>
  </r>
  <r>
    <x v="70"/>
    <s v="일"/>
    <x v="11"/>
    <s v="카페24"/>
    <m/>
    <n v="55"/>
    <x v="0"/>
    <s v="스테이포에버"/>
    <n v="200720"/>
    <m/>
    <n v="1870000"/>
    <n v="1760605"/>
    <n v="153065"/>
    <n v="1700000"/>
    <s v="카페24고체향수스테이포에버200720"/>
  </r>
  <r>
    <x v="70"/>
    <s v="일"/>
    <x v="11"/>
    <s v="카페24"/>
    <m/>
    <n v="9"/>
    <x v="0"/>
    <s v="스테이포에버 2set"/>
    <n v="200720"/>
    <m/>
    <n v="529200"/>
    <n v="498241.8"/>
    <n v="50094"/>
    <n v="481090.9090909091"/>
    <s v="카페24고체향수스테이포에버 2set200720"/>
  </r>
  <r>
    <x v="70"/>
    <s v="일"/>
    <x v="11"/>
    <s v="카페24"/>
    <m/>
    <n v="2"/>
    <x v="0"/>
    <s v="이그나이트"/>
    <n v="200720"/>
    <m/>
    <n v="68000"/>
    <n v="64022"/>
    <n v="5776"/>
    <n v="61818.18181818182"/>
    <s v="카페24고체향수이그나이트200720"/>
  </r>
  <r>
    <x v="70"/>
    <s v="일"/>
    <x v="11"/>
    <s v="카페24"/>
    <m/>
    <n v="1"/>
    <x v="2"/>
    <s v="유즈쇼핑백"/>
    <n v="200720"/>
    <m/>
    <n v="2000"/>
    <n v="1883"/>
    <n v="1210"/>
    <n v="1818.181818181818"/>
    <s v="카페24쇼핑백유즈쇼핑백200720"/>
  </r>
  <r>
    <x v="71"/>
    <s v="월"/>
    <x v="11"/>
    <s v="카페24"/>
    <m/>
    <n v="2"/>
    <x v="0"/>
    <s v="이그나이트 + 스테이포에버"/>
    <n v="200720"/>
    <m/>
    <n v="117600"/>
    <n v="110720.4"/>
    <n v="11342"/>
    <n v="106909.0909090909"/>
    <s v="카페24고체향수이그나이트 + 스테이포에버200720"/>
  </r>
  <r>
    <x v="71"/>
    <s v="월"/>
    <x v="11"/>
    <s v="카페24"/>
    <m/>
    <n v="61"/>
    <x v="0"/>
    <s v="스테이포에버"/>
    <n v="200720"/>
    <m/>
    <n v="2074000"/>
    <n v="1952671"/>
    <n v="169763"/>
    <n v="1885454.545454545"/>
    <s v="카페24고체향수스테이포에버200720"/>
  </r>
  <r>
    <x v="71"/>
    <s v="월"/>
    <x v="11"/>
    <s v="카페24"/>
    <m/>
    <n v="14"/>
    <x v="0"/>
    <s v="스테이포에버 2set"/>
    <n v="200720"/>
    <m/>
    <n v="823200"/>
    <n v="775042.8"/>
    <n v="77924"/>
    <n v="748363.6363636364"/>
    <s v="카페24고체향수스테이포에버 2set200720"/>
  </r>
  <r>
    <x v="71"/>
    <s v="월"/>
    <x v="11"/>
    <s v="카페24"/>
    <m/>
    <n v="5"/>
    <x v="0"/>
    <s v="이그나이트"/>
    <n v="200720"/>
    <m/>
    <n v="170000"/>
    <n v="160055"/>
    <n v="14440"/>
    <n v="154545.4545454545"/>
    <s v="카페24고체향수이그나이트200720"/>
  </r>
  <r>
    <x v="72"/>
    <s v="화"/>
    <x v="11"/>
    <s v="카페24"/>
    <m/>
    <n v="4"/>
    <x v="0"/>
    <s v="이그나이트 + 스테이포에버"/>
    <n v="200720"/>
    <m/>
    <n v="235200"/>
    <n v="221440.8"/>
    <n v="22684"/>
    <n v="213818.1818181818"/>
    <s v="카페24고체향수이그나이트 + 스테이포에버200720"/>
  </r>
  <r>
    <x v="72"/>
    <s v="화"/>
    <x v="11"/>
    <s v="카페24"/>
    <m/>
    <n v="69"/>
    <x v="0"/>
    <s v="스테이포에버"/>
    <n v="200720"/>
    <m/>
    <n v="2346000"/>
    <n v="2208759"/>
    <n v="192027"/>
    <n v="2132727.272727272"/>
    <s v="카페24고체향수스테이포에버200720"/>
  </r>
  <r>
    <x v="72"/>
    <s v="화"/>
    <x v="11"/>
    <s v="카페24"/>
    <m/>
    <n v="12"/>
    <x v="0"/>
    <s v="스테이포에버 2set"/>
    <n v="200720"/>
    <m/>
    <n v="705600"/>
    <n v="664322.4"/>
    <n v="66792"/>
    <n v="641454.5454545454"/>
    <s v="카페24고체향수스테이포에버 2set200720"/>
  </r>
  <r>
    <x v="72"/>
    <s v="화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72"/>
    <s v="화"/>
    <x v="11"/>
    <s v="카페24"/>
    <m/>
    <n v="1"/>
    <x v="2"/>
    <s v="유즈쇼핑백"/>
    <n v="200720"/>
    <m/>
    <n v="2000"/>
    <n v="1883"/>
    <n v="1210"/>
    <n v="1818.181818181818"/>
    <s v="카페24쇼핑백유즈쇼핑백200720"/>
  </r>
  <r>
    <x v="73"/>
    <s v="수"/>
    <x v="11"/>
    <s v="카페24"/>
    <m/>
    <n v="2"/>
    <x v="0"/>
    <s v="이그나이트 + 스테이포에버"/>
    <n v="200720"/>
    <m/>
    <n v="117600"/>
    <n v="110720.4"/>
    <n v="11342"/>
    <n v="106909.0909090909"/>
    <s v="카페24고체향수이그나이트 + 스테이포에버200720"/>
  </r>
  <r>
    <x v="73"/>
    <s v="수"/>
    <x v="11"/>
    <s v="카페24"/>
    <m/>
    <n v="70"/>
    <x v="0"/>
    <s v="스테이포에버"/>
    <n v="200720"/>
    <m/>
    <n v="2380000"/>
    <n v="2240770"/>
    <n v="194810"/>
    <n v="2163636.363636363"/>
    <s v="카페24고체향수스테이포에버200720"/>
  </r>
  <r>
    <x v="73"/>
    <s v="수"/>
    <x v="11"/>
    <s v="카페24"/>
    <m/>
    <n v="6"/>
    <x v="0"/>
    <s v="스테이포에버 2set"/>
    <n v="200720"/>
    <m/>
    <n v="352800"/>
    <n v="332161.2"/>
    <n v="33396"/>
    <n v="320727.2727272727"/>
    <s v="카페24고체향수스테이포에버 2set200720"/>
  </r>
  <r>
    <x v="73"/>
    <s v="수"/>
    <x v="11"/>
    <s v="카페24"/>
    <m/>
    <n v="2"/>
    <x v="0"/>
    <s v="이그나이트"/>
    <n v="200720"/>
    <m/>
    <n v="68000"/>
    <n v="64022"/>
    <n v="5776"/>
    <n v="61818.18181818182"/>
    <s v="카페24고체향수이그나이트200720"/>
  </r>
  <r>
    <x v="73"/>
    <s v="수"/>
    <x v="11"/>
    <s v="카페24"/>
    <m/>
    <n v="3"/>
    <x v="2"/>
    <s v="유즈쇼핑백"/>
    <n v="200720"/>
    <m/>
    <n v="6000"/>
    <n v="5649"/>
    <n v="3630"/>
    <n v="5454.545454545454"/>
    <s v="카페24쇼핑백유즈쇼핑백200720"/>
  </r>
  <r>
    <x v="74"/>
    <s v="목"/>
    <x v="11"/>
    <s v="카페24"/>
    <m/>
    <n v="2"/>
    <x v="0"/>
    <s v="이그나이트 + 스테이포에버"/>
    <n v="200720"/>
    <m/>
    <n v="117600"/>
    <n v="110720.4"/>
    <n v="11342"/>
    <n v="106909.0909090909"/>
    <s v="카페24고체향수이그나이트 + 스테이포에버200720"/>
  </r>
  <r>
    <x v="74"/>
    <s v="목"/>
    <x v="11"/>
    <s v="카페24"/>
    <m/>
    <n v="54"/>
    <x v="0"/>
    <s v="스테이포에버"/>
    <n v="200720"/>
    <m/>
    <n v="1836000"/>
    <n v="1728594"/>
    <n v="150282"/>
    <n v="1669090.909090909"/>
    <s v="카페24고체향수스테이포에버200720"/>
  </r>
  <r>
    <x v="74"/>
    <s v="목"/>
    <x v="11"/>
    <s v="카페24"/>
    <m/>
    <n v="11"/>
    <x v="0"/>
    <s v="스테이포에버 2set"/>
    <n v="200720"/>
    <m/>
    <n v="646800"/>
    <n v="608962.2"/>
    <n v="61226"/>
    <n v="588000"/>
    <s v="카페24고체향수스테이포에버 2set200720"/>
  </r>
  <r>
    <x v="74"/>
    <s v="목"/>
    <x v="11"/>
    <s v="카페24"/>
    <m/>
    <n v="2"/>
    <x v="2"/>
    <s v="유즈쇼핑백"/>
    <n v="200720"/>
    <m/>
    <n v="4000"/>
    <n v="3766"/>
    <n v="2420"/>
    <n v="3636.363636363636"/>
    <s v="카페24쇼핑백유즈쇼핑백200720"/>
  </r>
  <r>
    <x v="75"/>
    <s v="금"/>
    <x v="11"/>
    <s v="카페24"/>
    <m/>
    <n v="2"/>
    <x v="0"/>
    <s v="이그나이트 + 스테이포에버"/>
    <n v="200720"/>
    <m/>
    <n v="117600"/>
    <n v="110720.4"/>
    <n v="11342"/>
    <n v="106909.0909090909"/>
    <s v="카페24고체향수이그나이트 + 스테이포에버200720"/>
  </r>
  <r>
    <x v="75"/>
    <s v="금"/>
    <x v="11"/>
    <s v="카페24"/>
    <m/>
    <n v="68"/>
    <x v="0"/>
    <s v="스테이포에버"/>
    <n v="200720"/>
    <m/>
    <n v="2312000"/>
    <n v="2176748"/>
    <n v="189244"/>
    <n v="2101818.181818182"/>
    <s v="카페24고체향수스테이포에버200720"/>
  </r>
  <r>
    <x v="75"/>
    <s v="금"/>
    <x v="11"/>
    <s v="카페24"/>
    <m/>
    <n v="8"/>
    <x v="0"/>
    <s v="스테이포에버 2set"/>
    <n v="200720"/>
    <m/>
    <n v="470400"/>
    <n v="442881.6"/>
    <n v="44528"/>
    <n v="427636.3636363636"/>
    <s v="카페24고체향수스테이포에버 2set200720"/>
  </r>
  <r>
    <x v="75"/>
    <s v="금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75"/>
    <s v="금"/>
    <x v="11"/>
    <s v="카페24"/>
    <m/>
    <n v="1"/>
    <x v="2"/>
    <s v="유즈쇼핑백"/>
    <n v="200720"/>
    <m/>
    <n v="2000"/>
    <n v="1883"/>
    <n v="1210"/>
    <n v="1818.181818181818"/>
    <s v="카페24쇼핑백유즈쇼핑백200720"/>
  </r>
  <r>
    <x v="76"/>
    <s v="토"/>
    <x v="11"/>
    <s v="카페24"/>
    <m/>
    <n v="2"/>
    <x v="0"/>
    <s v="이그나이트 + 스테이포에버"/>
    <n v="200720"/>
    <m/>
    <n v="117600"/>
    <n v="110720.4"/>
    <n v="11342"/>
    <n v="106909.0909090909"/>
    <s v="카페24고체향수이그나이트 + 스테이포에버200720"/>
  </r>
  <r>
    <x v="76"/>
    <s v="토"/>
    <x v="11"/>
    <s v="카페24"/>
    <m/>
    <n v="65"/>
    <x v="0"/>
    <s v="스테이포에버"/>
    <n v="200720"/>
    <m/>
    <n v="2210000"/>
    <n v="2080715"/>
    <n v="180895"/>
    <n v="2009090.909090909"/>
    <s v="카페24고체향수스테이포에버200720"/>
  </r>
  <r>
    <x v="76"/>
    <s v="토"/>
    <x v="11"/>
    <s v="카페24"/>
    <m/>
    <n v="8"/>
    <x v="0"/>
    <s v="스테이포에버 2set"/>
    <n v="200720"/>
    <m/>
    <n v="470400"/>
    <n v="442881.6"/>
    <n v="44528"/>
    <n v="427636.3636363636"/>
    <s v="카페24고체향수스테이포에버 2set200720"/>
  </r>
  <r>
    <x v="76"/>
    <s v="토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77"/>
    <s v="일"/>
    <x v="11"/>
    <s v="카페24"/>
    <m/>
    <n v="2"/>
    <x v="0"/>
    <s v="이그나이트 + 스테이포에버"/>
    <n v="200720"/>
    <m/>
    <n v="117600"/>
    <n v="110720.4"/>
    <n v="11342"/>
    <n v="106909.0909090909"/>
    <s v="카페24고체향수이그나이트 + 스테이포에버200720"/>
  </r>
  <r>
    <x v="77"/>
    <s v="일"/>
    <x v="11"/>
    <s v="카페24"/>
    <m/>
    <n v="76"/>
    <x v="0"/>
    <s v="스테이포에버"/>
    <n v="200720"/>
    <m/>
    <n v="2584000"/>
    <n v="2432836"/>
    <n v="211508"/>
    <n v="2349090.909090909"/>
    <s v="카페24고체향수스테이포에버200720"/>
  </r>
  <r>
    <x v="77"/>
    <s v="일"/>
    <x v="11"/>
    <s v="카페24"/>
    <m/>
    <n v="12"/>
    <x v="0"/>
    <s v="스테이포에버 2set"/>
    <n v="200720"/>
    <m/>
    <n v="705600"/>
    <n v="664322.4"/>
    <n v="66792"/>
    <n v="641454.5454545454"/>
    <s v="카페24고체향수스테이포에버 2set200720"/>
  </r>
  <r>
    <x v="77"/>
    <s v="일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78"/>
    <s v="월"/>
    <x v="11"/>
    <s v="카페24"/>
    <m/>
    <n v="2"/>
    <x v="0"/>
    <s v="이그나이트 + 스테이포에버"/>
    <n v="200720"/>
    <m/>
    <n v="117600"/>
    <n v="110720.4"/>
    <n v="11342"/>
    <n v="106909.0909090909"/>
    <s v="카페24고체향수이그나이트 + 스테이포에버200720"/>
  </r>
  <r>
    <x v="78"/>
    <s v="월"/>
    <x v="11"/>
    <s v="카페24"/>
    <m/>
    <n v="69"/>
    <x v="0"/>
    <s v="스테이포에버"/>
    <n v="200720"/>
    <m/>
    <n v="2346000"/>
    <n v="2208759"/>
    <n v="192027"/>
    <n v="2132727.272727272"/>
    <s v="카페24고체향수스테이포에버200720"/>
  </r>
  <r>
    <x v="78"/>
    <s v="월"/>
    <x v="11"/>
    <s v="카페24"/>
    <m/>
    <n v="14"/>
    <x v="0"/>
    <s v="스테이포에버 2set"/>
    <n v="200720"/>
    <m/>
    <n v="823200"/>
    <n v="775042.8"/>
    <n v="77924"/>
    <n v="748363.6363636364"/>
    <s v="카페24고체향수스테이포에버 2set200720"/>
  </r>
  <r>
    <x v="78"/>
    <s v="월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78"/>
    <s v="월"/>
    <x v="11"/>
    <s v="카페24"/>
    <m/>
    <n v="1"/>
    <x v="2"/>
    <s v="유즈쇼핑백"/>
    <n v="200720"/>
    <m/>
    <n v="2000"/>
    <n v="1883"/>
    <n v="1210"/>
    <n v="1818.181818181818"/>
    <s v="카페24쇼핑백유즈쇼핑백200720"/>
  </r>
  <r>
    <x v="79"/>
    <s v="화"/>
    <x v="11"/>
    <s v="유즈 CS"/>
    <m/>
    <n v="1"/>
    <x v="0"/>
    <s v="이그나이트"/>
    <n v="200520"/>
    <m/>
    <n v="0"/>
    <n v="0"/>
    <n v="2888"/>
    <n v="0"/>
    <s v="유즈 CS고체향수이그나이트200520"/>
  </r>
  <r>
    <x v="79"/>
    <s v="화"/>
    <x v="11"/>
    <s v="카페24"/>
    <m/>
    <n v="2"/>
    <x v="0"/>
    <s v="이그나이트 + 스테이포에버"/>
    <n v="200720"/>
    <m/>
    <n v="117600"/>
    <n v="110720.4"/>
    <n v="11342"/>
    <n v="106909.0909090909"/>
    <s v="카페24고체향수이그나이트 + 스테이포에버200720"/>
  </r>
  <r>
    <x v="79"/>
    <s v="화"/>
    <x v="11"/>
    <s v="카페24"/>
    <m/>
    <n v="64"/>
    <x v="0"/>
    <s v="스테이포에버"/>
    <n v="200720"/>
    <m/>
    <n v="2176000"/>
    <n v="2048704"/>
    <n v="178112"/>
    <n v="1978181.818181818"/>
    <s v="카페24고체향수스테이포에버200720"/>
  </r>
  <r>
    <x v="79"/>
    <s v="화"/>
    <x v="11"/>
    <s v="카페24"/>
    <m/>
    <n v="7"/>
    <x v="0"/>
    <s v="스테이포에버 2set"/>
    <n v="200720"/>
    <m/>
    <n v="411600"/>
    <n v="387521.4"/>
    <n v="38962"/>
    <n v="374181.8181818182"/>
    <s v="카페24고체향수스테이포에버 2set200720"/>
  </r>
  <r>
    <x v="79"/>
    <s v="화"/>
    <x v="11"/>
    <s v="카페24"/>
    <m/>
    <n v="2"/>
    <x v="2"/>
    <s v="유즈쇼핑백"/>
    <n v="200720"/>
    <m/>
    <n v="4000"/>
    <n v="3766"/>
    <n v="2420"/>
    <n v="3636.363636363636"/>
    <s v="카페24쇼핑백유즈쇼핑백200720"/>
  </r>
  <r>
    <x v="80"/>
    <s v="수"/>
    <x v="11"/>
    <s v="카페24"/>
    <m/>
    <n v="7"/>
    <x v="0"/>
    <s v="이그나이트 + 스테이포에버"/>
    <n v="200720"/>
    <m/>
    <n v="411600"/>
    <n v="387521.4"/>
    <n v="39697"/>
    <n v="374181.8181818182"/>
    <s v="카페24고체향수이그나이트 + 스테이포에버200720"/>
  </r>
  <r>
    <x v="80"/>
    <s v="수"/>
    <x v="11"/>
    <s v="카페24"/>
    <m/>
    <n v="59"/>
    <x v="0"/>
    <s v="스테이포에버"/>
    <n v="200720"/>
    <m/>
    <n v="2006000"/>
    <n v="1888649"/>
    <n v="164197"/>
    <n v="1823636.363636364"/>
    <s v="카페24고체향수스테이포에버200720"/>
  </r>
  <r>
    <x v="80"/>
    <s v="수"/>
    <x v="11"/>
    <s v="카페24"/>
    <m/>
    <n v="8"/>
    <x v="0"/>
    <s v="스테이포에버 2set"/>
    <n v="200720"/>
    <m/>
    <n v="470400"/>
    <n v="442881.6"/>
    <n v="44528"/>
    <n v="427636.3636363636"/>
    <s v="카페24고체향수스테이포에버 2set200720"/>
  </r>
  <r>
    <x v="80"/>
    <s v="수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80"/>
    <s v="수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80"/>
    <s v="수"/>
    <x v="11"/>
    <s v="카페24"/>
    <m/>
    <n v="2"/>
    <x v="2"/>
    <s v="유즈쇼핑백"/>
    <n v="200720"/>
    <m/>
    <n v="4000"/>
    <n v="3766"/>
    <n v="2420"/>
    <n v="3636.363636363636"/>
    <s v="카페24쇼핑백유즈쇼핑백200720"/>
  </r>
  <r>
    <x v="81"/>
    <s v="목"/>
    <x v="11"/>
    <s v="카페24"/>
    <m/>
    <n v="2"/>
    <x v="0"/>
    <s v="이그나이트 + 스테이포에버"/>
    <n v="200720"/>
    <m/>
    <n v="117600"/>
    <n v="110720.4"/>
    <n v="11342"/>
    <n v="106909.0909090909"/>
    <s v="카페24고체향수이그나이트 + 스테이포에버200720"/>
  </r>
  <r>
    <x v="81"/>
    <s v="목"/>
    <x v="11"/>
    <s v="카페24"/>
    <m/>
    <n v="49"/>
    <x v="0"/>
    <s v="스테이포에버"/>
    <n v="200720"/>
    <m/>
    <n v="1666000"/>
    <n v="1568539"/>
    <n v="136367"/>
    <n v="1514545.454545454"/>
    <s v="카페24고체향수스테이포에버200720"/>
  </r>
  <r>
    <x v="81"/>
    <s v="목"/>
    <x v="11"/>
    <s v="카페24"/>
    <m/>
    <n v="10"/>
    <x v="0"/>
    <s v="스테이포에버 2set"/>
    <n v="200720"/>
    <m/>
    <n v="588000"/>
    <n v="553602"/>
    <n v="55660"/>
    <n v="534545.4545454545"/>
    <s v="카페24고체향수스테이포에버 2set200720"/>
  </r>
  <r>
    <x v="81"/>
    <s v="목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82"/>
    <s v="금"/>
    <x v="11"/>
    <s v="카페24"/>
    <m/>
    <n v="3"/>
    <x v="0"/>
    <s v="이그나이트 + 스테이포에버"/>
    <n v="200720"/>
    <m/>
    <n v="176400"/>
    <n v="166080.6"/>
    <n v="17013"/>
    <n v="160363.6363636364"/>
    <s v="카페24고체향수이그나이트 + 스테이포에버200720"/>
  </r>
  <r>
    <x v="82"/>
    <s v="금"/>
    <x v="11"/>
    <s v="카페24"/>
    <m/>
    <n v="37"/>
    <x v="0"/>
    <s v="스테이포에버"/>
    <n v="200720"/>
    <m/>
    <n v="1258000"/>
    <n v="1184407"/>
    <n v="102971"/>
    <n v="1143636.363636364"/>
    <s v="카페24고체향수스테이포에버200720"/>
  </r>
  <r>
    <x v="82"/>
    <s v="금"/>
    <x v="11"/>
    <s v="카페24"/>
    <m/>
    <n v="10"/>
    <x v="0"/>
    <s v="스테이포에버 2set"/>
    <n v="200720"/>
    <m/>
    <n v="588000"/>
    <n v="553602"/>
    <n v="55660"/>
    <n v="534545.4545454545"/>
    <s v="카페24고체향수스테이포에버 2set200720"/>
  </r>
  <r>
    <x v="82"/>
    <s v="금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82"/>
    <s v="금"/>
    <x v="11"/>
    <s v="카페24"/>
    <m/>
    <n v="3"/>
    <x v="2"/>
    <s v="유즈쇼핑백"/>
    <n v="200720"/>
    <m/>
    <n v="6000"/>
    <n v="5649"/>
    <n v="3630"/>
    <n v="5454.545454545454"/>
    <s v="카페24쇼핑백유즈쇼핑백200720"/>
  </r>
  <r>
    <x v="83"/>
    <s v="토"/>
    <x v="11"/>
    <s v="카페24"/>
    <m/>
    <n v="6"/>
    <x v="0"/>
    <s v="이그나이트 + 스테이포에버"/>
    <n v="200720"/>
    <m/>
    <n v="352800"/>
    <n v="332161.2"/>
    <n v="34026"/>
    <n v="320727.2727272727"/>
    <s v="카페24고체향수이그나이트 + 스테이포에버200720"/>
  </r>
  <r>
    <x v="83"/>
    <s v="토"/>
    <x v="11"/>
    <s v="카페24"/>
    <m/>
    <n v="35"/>
    <x v="0"/>
    <s v="스테이포에버"/>
    <n v="200720"/>
    <m/>
    <n v="1190000"/>
    <n v="1120385"/>
    <n v="97405"/>
    <n v="1081818.181818182"/>
    <s v="카페24고체향수스테이포에버200720"/>
  </r>
  <r>
    <x v="83"/>
    <s v="토"/>
    <x v="11"/>
    <s v="카페24"/>
    <m/>
    <n v="3"/>
    <x v="0"/>
    <s v="스테이포에버 2set"/>
    <n v="200720"/>
    <m/>
    <n v="176400"/>
    <n v="166080.6"/>
    <n v="16698"/>
    <n v="160363.6363636364"/>
    <s v="카페24고체향수스테이포에버 2set200720"/>
  </r>
  <r>
    <x v="83"/>
    <s v="토"/>
    <x v="11"/>
    <s v="카페24"/>
    <m/>
    <n v="2"/>
    <x v="2"/>
    <s v="유즈쇼핑백"/>
    <n v="200720"/>
    <m/>
    <n v="4000"/>
    <n v="3766"/>
    <n v="2420"/>
    <n v="3636.363636363636"/>
    <s v="카페24쇼핑백유즈쇼핑백200720"/>
  </r>
  <r>
    <x v="84"/>
    <s v="일"/>
    <x v="11"/>
    <s v="카페24"/>
    <m/>
    <n v="1"/>
    <x v="0"/>
    <s v="이그나이트 + 스테이포에버"/>
    <n v="200720"/>
    <m/>
    <n v="58800"/>
    <n v="55360.2"/>
    <n v="5671"/>
    <n v="53454.54545454545"/>
    <s v="카페24고체향수이그나이트 + 스테이포에버200720"/>
  </r>
  <r>
    <x v="84"/>
    <s v="일"/>
    <x v="11"/>
    <s v="카페24"/>
    <m/>
    <n v="38"/>
    <x v="0"/>
    <s v="스테이포에버"/>
    <n v="200720"/>
    <m/>
    <n v="1292000"/>
    <n v="1216418"/>
    <n v="105754"/>
    <n v="1174545.454545454"/>
    <s v="카페24고체향수스테이포에버200720"/>
  </r>
  <r>
    <x v="84"/>
    <s v="일"/>
    <x v="11"/>
    <s v="카페24"/>
    <m/>
    <n v="7"/>
    <x v="0"/>
    <s v="스테이포에버 2set"/>
    <n v="200720"/>
    <m/>
    <n v="411600"/>
    <n v="387521.4"/>
    <n v="38962"/>
    <n v="374181.8181818182"/>
    <s v="카페24고체향수스테이포에버 2set200720"/>
  </r>
  <r>
    <x v="84"/>
    <s v="일"/>
    <x v="11"/>
    <s v="카페24"/>
    <m/>
    <n v="2"/>
    <x v="0"/>
    <s v="이그나이트"/>
    <n v="200720"/>
    <m/>
    <n v="68000"/>
    <n v="64022"/>
    <n v="5776"/>
    <n v="61818.18181818182"/>
    <s v="카페24고체향수이그나이트200720"/>
  </r>
  <r>
    <x v="84"/>
    <s v="일"/>
    <x v="11"/>
    <s v="카페24"/>
    <m/>
    <n v="2"/>
    <x v="2"/>
    <s v="유즈쇼핑백"/>
    <n v="200720"/>
    <m/>
    <n v="4000"/>
    <n v="3766"/>
    <n v="2420"/>
    <n v="3636.363636363636"/>
    <s v="카페24쇼핑백유즈쇼핑백200720"/>
  </r>
  <r>
    <x v="85"/>
    <s v="월"/>
    <x v="11"/>
    <s v="카페24"/>
    <m/>
    <n v="51"/>
    <x v="0"/>
    <s v="스테이포에버"/>
    <n v="200720"/>
    <m/>
    <n v="1734000"/>
    <n v="1632561"/>
    <n v="141933"/>
    <n v="1576363.636363636"/>
    <s v="카페24고체향수스테이포에버200720"/>
  </r>
  <r>
    <x v="85"/>
    <s v="월"/>
    <x v="11"/>
    <s v="카페24"/>
    <m/>
    <n v="9"/>
    <x v="0"/>
    <s v="스테이포에버 2set"/>
    <n v="200720"/>
    <m/>
    <n v="529200"/>
    <n v="498241.8"/>
    <n v="50094"/>
    <n v="481090.9090909091"/>
    <s v="카페24고체향수스테이포에버 2set200720"/>
  </r>
  <r>
    <x v="85"/>
    <s v="월"/>
    <x v="11"/>
    <s v="카페24"/>
    <m/>
    <n v="2"/>
    <x v="0"/>
    <s v="이그나이트"/>
    <n v="200720"/>
    <m/>
    <n v="68000"/>
    <n v="64022"/>
    <n v="5776"/>
    <n v="61818.18181818182"/>
    <s v="카페24고체향수이그나이트200720"/>
  </r>
  <r>
    <x v="85"/>
    <s v="월"/>
    <x v="11"/>
    <s v="카페24"/>
    <m/>
    <n v="5"/>
    <x v="2"/>
    <s v="유즈쇼핑백"/>
    <n v="200720"/>
    <m/>
    <n v="10000"/>
    <n v="9415"/>
    <n v="6050"/>
    <n v="9090.90909090909"/>
    <s v="카페24쇼핑백유즈쇼핑백200720"/>
  </r>
  <r>
    <x v="86"/>
    <s v="화"/>
    <x v="11"/>
    <s v="카페24"/>
    <m/>
    <n v="60"/>
    <x v="0"/>
    <s v="스테이포에버"/>
    <n v="200720"/>
    <m/>
    <n v="2040000"/>
    <n v="1920660"/>
    <n v="166980"/>
    <n v="1854545.454545454"/>
    <s v="카페24고체향수스테이포에버200720"/>
  </r>
  <r>
    <x v="86"/>
    <s v="화"/>
    <x v="11"/>
    <s v="카페24"/>
    <m/>
    <n v="13"/>
    <x v="0"/>
    <s v="스테이포에버 2set"/>
    <n v="200720"/>
    <m/>
    <n v="764400"/>
    <n v="719682.6"/>
    <n v="72358"/>
    <n v="694909.0909090908"/>
    <s v="카페24고체향수스테이포에버 2set200720"/>
  </r>
  <r>
    <x v="86"/>
    <s v="화"/>
    <x v="11"/>
    <s v="카페24"/>
    <m/>
    <n v="2"/>
    <x v="0"/>
    <s v="이그나이트"/>
    <n v="200720"/>
    <m/>
    <n v="68000"/>
    <n v="64022"/>
    <n v="5776"/>
    <n v="61818.18181818182"/>
    <s v="카페24고체향수이그나이트200720"/>
  </r>
  <r>
    <x v="86"/>
    <s v="화"/>
    <x v="11"/>
    <s v="카페24"/>
    <m/>
    <n v="1"/>
    <x v="2"/>
    <s v="유즈쇼핑백"/>
    <n v="200720"/>
    <m/>
    <n v="2000"/>
    <n v="1883"/>
    <n v="1210"/>
    <n v="1818.181818181818"/>
    <s v="카페24쇼핑백유즈쇼핑백200720"/>
  </r>
  <r>
    <x v="87"/>
    <s v="수"/>
    <x v="11"/>
    <s v="카페24"/>
    <m/>
    <n v="3"/>
    <x v="0"/>
    <s v="이그나이트 + 스테이포에버"/>
    <n v="200720"/>
    <m/>
    <n v="176400"/>
    <n v="166080.6"/>
    <n v="17013"/>
    <n v="160363.6363636364"/>
    <s v="카페24고체향수이그나이트 + 스테이포에버200720"/>
  </r>
  <r>
    <x v="87"/>
    <s v="수"/>
    <x v="11"/>
    <s v="카페24"/>
    <m/>
    <n v="65"/>
    <x v="0"/>
    <s v="스테이포에버"/>
    <n v="200720"/>
    <m/>
    <n v="2210000"/>
    <n v="2080715"/>
    <n v="180895"/>
    <n v="2009090.909090909"/>
    <s v="카페24고체향수스테이포에버200720"/>
  </r>
  <r>
    <x v="87"/>
    <s v="수"/>
    <x v="11"/>
    <s v="카페24"/>
    <m/>
    <n v="14"/>
    <x v="0"/>
    <s v="스테이포에버 2set"/>
    <n v="200720"/>
    <m/>
    <n v="823200"/>
    <n v="775042.8"/>
    <n v="77924"/>
    <n v="748363.6363636364"/>
    <s v="카페24고체향수스테이포에버 2set200720"/>
  </r>
  <r>
    <x v="87"/>
    <s v="수"/>
    <x v="11"/>
    <s v="카페24"/>
    <m/>
    <n v="4"/>
    <x v="0"/>
    <s v="이그나이트"/>
    <n v="200720"/>
    <m/>
    <n v="136000"/>
    <n v="128044"/>
    <n v="11552"/>
    <n v="123636.3636363636"/>
    <s v="카페24고체향수이그나이트200720"/>
  </r>
  <r>
    <x v="87"/>
    <s v="수"/>
    <x v="11"/>
    <s v="카페24"/>
    <m/>
    <n v="1"/>
    <x v="2"/>
    <s v="유즈쇼핑백"/>
    <n v="200720"/>
    <m/>
    <n v="2000"/>
    <n v="1883"/>
    <n v="1210"/>
    <n v="1818.181818181818"/>
    <s v="카페24쇼핑백유즈쇼핑백200720"/>
  </r>
  <r>
    <x v="88"/>
    <s v="목"/>
    <x v="11"/>
    <s v="카페24"/>
    <m/>
    <n v="2"/>
    <x v="0"/>
    <s v="이그나이트 + 스테이포에버"/>
    <n v="200720"/>
    <m/>
    <n v="117600"/>
    <n v="110720.4"/>
    <n v="11342"/>
    <n v="106909.0909090909"/>
    <s v="카페24고체향수이그나이트 + 스테이포에버200720"/>
  </r>
  <r>
    <x v="88"/>
    <s v="목"/>
    <x v="11"/>
    <s v="카페24"/>
    <m/>
    <n v="69"/>
    <x v="0"/>
    <s v="스테이포에버"/>
    <n v="200720"/>
    <m/>
    <n v="2346000"/>
    <n v="2208759"/>
    <n v="192027"/>
    <n v="2132727.272727272"/>
    <s v="카페24고체향수스테이포에버200720"/>
  </r>
  <r>
    <x v="88"/>
    <s v="목"/>
    <x v="11"/>
    <s v="카페24"/>
    <m/>
    <n v="11"/>
    <x v="0"/>
    <s v="스테이포에버 2set"/>
    <n v="200720"/>
    <m/>
    <n v="646800"/>
    <n v="608962.2"/>
    <n v="61226"/>
    <n v="588000"/>
    <s v="카페24고체향수스테이포에버 2set200720"/>
  </r>
  <r>
    <x v="88"/>
    <s v="목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88"/>
    <s v="목"/>
    <x v="11"/>
    <s v="카페24"/>
    <m/>
    <n v="1"/>
    <x v="2"/>
    <s v="유즈쇼핑백"/>
    <n v="200720"/>
    <m/>
    <n v="2000"/>
    <n v="1883"/>
    <n v="1210"/>
    <n v="1818.181818181818"/>
    <s v="카페24쇼핑백유즈쇼핑백200720"/>
  </r>
  <r>
    <x v="89"/>
    <s v="금"/>
    <x v="11"/>
    <s v="카페24"/>
    <m/>
    <n v="1"/>
    <x v="0"/>
    <s v="이그나이트 + 스테이포에버"/>
    <n v="200720"/>
    <m/>
    <n v="58800"/>
    <n v="55360.2"/>
    <n v="5671"/>
    <n v="53454.54545454545"/>
    <s v="카페24고체향수이그나이트 + 스테이포에버200720"/>
  </r>
  <r>
    <x v="89"/>
    <s v="금"/>
    <x v="11"/>
    <s v="카페24"/>
    <m/>
    <n v="54"/>
    <x v="0"/>
    <s v="스테이포에버"/>
    <n v="200720"/>
    <m/>
    <n v="1836000"/>
    <n v="1728594"/>
    <n v="150282"/>
    <n v="1669090.909090909"/>
    <s v="카페24고체향수스테이포에버200720"/>
  </r>
  <r>
    <x v="89"/>
    <s v="금"/>
    <x v="11"/>
    <s v="카페24"/>
    <m/>
    <n v="10"/>
    <x v="0"/>
    <s v="스테이포에버 2set"/>
    <n v="200720"/>
    <m/>
    <n v="588000"/>
    <n v="553602"/>
    <n v="55660"/>
    <n v="534545.4545454545"/>
    <s v="카페24고체향수스테이포에버 2set200720"/>
  </r>
  <r>
    <x v="89"/>
    <s v="금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89"/>
    <s v="금"/>
    <x v="11"/>
    <s v="카페24"/>
    <m/>
    <n v="3"/>
    <x v="2"/>
    <s v="유즈쇼핑백"/>
    <n v="200720"/>
    <m/>
    <n v="6000"/>
    <n v="5649"/>
    <n v="3630"/>
    <n v="5454.545454545454"/>
    <s v="카페24쇼핑백유즈쇼핑백200720"/>
  </r>
  <r>
    <x v="90"/>
    <s v="토"/>
    <x v="11"/>
    <s v="카페24"/>
    <m/>
    <n v="2"/>
    <x v="0"/>
    <s v="이그나이트 + 스테이포에버"/>
    <n v="200720"/>
    <m/>
    <n v="117600"/>
    <n v="110720.4"/>
    <n v="11342"/>
    <n v="106909.0909090909"/>
    <s v="카페24고체향수이그나이트 + 스테이포에버200720"/>
  </r>
  <r>
    <x v="90"/>
    <s v="토"/>
    <x v="11"/>
    <s v="카페24"/>
    <m/>
    <n v="49"/>
    <x v="0"/>
    <s v="스테이포에버"/>
    <n v="200720"/>
    <m/>
    <n v="1666000"/>
    <n v="1568539"/>
    <n v="136367"/>
    <n v="1514545.454545454"/>
    <s v="카페24고체향수스테이포에버200720"/>
  </r>
  <r>
    <x v="90"/>
    <s v="토"/>
    <x v="11"/>
    <s v="카페24"/>
    <m/>
    <n v="13"/>
    <x v="0"/>
    <s v="스테이포에버 2set"/>
    <n v="200720"/>
    <m/>
    <n v="764400"/>
    <n v="719682.6"/>
    <n v="72358"/>
    <n v="694909.0909090908"/>
    <s v="카페24고체향수스테이포에버 2set200720"/>
  </r>
  <r>
    <x v="90"/>
    <s v="토"/>
    <x v="11"/>
    <s v="카페24"/>
    <m/>
    <n v="3"/>
    <x v="0"/>
    <s v="이그나이트"/>
    <n v="200720"/>
    <m/>
    <n v="102000"/>
    <n v="96033"/>
    <n v="8664"/>
    <n v="92727.27272727272"/>
    <s v="카페24고체향수이그나이트200720"/>
  </r>
  <r>
    <x v="90"/>
    <s v="토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90"/>
    <s v="토"/>
    <x v="11"/>
    <s v="카페24"/>
    <m/>
    <n v="2"/>
    <x v="2"/>
    <s v="유즈쇼핑백"/>
    <n v="200720"/>
    <m/>
    <n v="4000"/>
    <n v="3766"/>
    <n v="2420"/>
    <n v="3636.363636363636"/>
    <s v="카페24쇼핑백유즈쇼핑백200720"/>
  </r>
  <r>
    <x v="91"/>
    <s v="일"/>
    <x v="11"/>
    <s v="카페24"/>
    <m/>
    <n v="1"/>
    <x v="0"/>
    <s v="이그나이트 + 스테이포에버"/>
    <n v="200720"/>
    <m/>
    <n v="58800"/>
    <n v="55360.2"/>
    <n v="5671"/>
    <n v="53454.54545454545"/>
    <s v="카페24고체향수이그나이트 + 스테이포에버200720"/>
  </r>
  <r>
    <x v="91"/>
    <s v="일"/>
    <x v="11"/>
    <s v="카페24"/>
    <m/>
    <n v="68"/>
    <x v="0"/>
    <s v="스테이포에버"/>
    <n v="200720"/>
    <m/>
    <n v="2312000"/>
    <n v="2176748"/>
    <n v="189244"/>
    <n v="2101818.181818182"/>
    <s v="카페24고체향수스테이포에버200720"/>
  </r>
  <r>
    <x v="91"/>
    <s v="일"/>
    <x v="11"/>
    <s v="카페24"/>
    <m/>
    <n v="21"/>
    <x v="0"/>
    <s v="스테이포에버 2set"/>
    <n v="200720"/>
    <m/>
    <n v="1234800"/>
    <n v="1162564.2"/>
    <n v="116886"/>
    <n v="1122545.454545454"/>
    <s v="카페24고체향수스테이포에버 2set200720"/>
  </r>
  <r>
    <x v="91"/>
    <s v="일"/>
    <x v="11"/>
    <s v="카페24"/>
    <m/>
    <n v="2"/>
    <x v="0"/>
    <s v="이그나이트"/>
    <n v="200720"/>
    <m/>
    <n v="68000"/>
    <n v="64022"/>
    <n v="5776"/>
    <n v="61818.18181818182"/>
    <s v="카페24고체향수이그나이트200720"/>
  </r>
  <r>
    <x v="91"/>
    <s v="일"/>
    <x v="11"/>
    <s v="카페24"/>
    <m/>
    <n v="1"/>
    <x v="2"/>
    <s v="유즈쇼핑백"/>
    <n v="200720"/>
    <m/>
    <n v="2000"/>
    <n v="1883"/>
    <n v="1210"/>
    <n v="1818.181818181818"/>
    <s v="카페24쇼핑백유즈쇼핑백200720"/>
  </r>
  <r>
    <x v="92"/>
    <s v="월"/>
    <x v="11"/>
    <s v="카페24"/>
    <m/>
    <n v="4"/>
    <x v="0"/>
    <s v="이그나이트 + 스테이포에버"/>
    <n v="200720"/>
    <m/>
    <n v="235200"/>
    <n v="221440.8"/>
    <n v="22684"/>
    <n v="213818.1818181818"/>
    <s v="카페24고체향수이그나이트 + 스테이포에버200720"/>
  </r>
  <r>
    <x v="92"/>
    <s v="월"/>
    <x v="11"/>
    <s v="카페24"/>
    <m/>
    <n v="58"/>
    <x v="0"/>
    <s v="스테이포에버"/>
    <n v="200720"/>
    <m/>
    <n v="1972000"/>
    <n v="1856638"/>
    <n v="161414"/>
    <n v="1792727.272727272"/>
    <s v="카페24고체향수스테이포에버200720"/>
  </r>
  <r>
    <x v="92"/>
    <s v="월"/>
    <x v="11"/>
    <s v="카페24"/>
    <m/>
    <n v="13"/>
    <x v="0"/>
    <s v="스테이포에버 2set"/>
    <n v="200720"/>
    <m/>
    <n v="764400"/>
    <n v="719682.6"/>
    <n v="72358"/>
    <n v="694909.0909090908"/>
    <s v="카페24고체향수스테이포에버 2set200720"/>
  </r>
  <r>
    <x v="92"/>
    <s v="월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92"/>
    <s v="월"/>
    <x v="11"/>
    <s v="카페24"/>
    <m/>
    <n v="2"/>
    <x v="2"/>
    <s v="유즈쇼핑백"/>
    <n v="200720"/>
    <m/>
    <n v="4000"/>
    <n v="3766"/>
    <n v="2420"/>
    <n v="3636.363636363636"/>
    <s v="카페24쇼핑백유즈쇼핑백200720"/>
  </r>
  <r>
    <x v="93"/>
    <s v="화"/>
    <x v="11"/>
    <s v="카페24"/>
    <m/>
    <n v="1"/>
    <x v="0"/>
    <s v="이그나이트 + 스테이포에버"/>
    <n v="200720"/>
    <m/>
    <n v="58800"/>
    <n v="55360.2"/>
    <n v="5671"/>
    <n v="53454.54545454545"/>
    <s v="카페24고체향수이그나이트 + 스테이포에버200720"/>
  </r>
  <r>
    <x v="93"/>
    <s v="화"/>
    <x v="11"/>
    <s v="카페24"/>
    <m/>
    <n v="66"/>
    <x v="0"/>
    <s v="스테이포에버"/>
    <n v="200720"/>
    <m/>
    <n v="2244000"/>
    <n v="2112726"/>
    <n v="183678"/>
    <n v="2040000"/>
    <s v="카페24고체향수스테이포에버200720"/>
  </r>
  <r>
    <x v="93"/>
    <s v="화"/>
    <x v="11"/>
    <s v="카페24"/>
    <m/>
    <n v="7"/>
    <x v="0"/>
    <s v="스테이포에버 2set"/>
    <n v="200720"/>
    <m/>
    <n v="411600"/>
    <n v="387521.4"/>
    <n v="38962"/>
    <n v="374181.8181818182"/>
    <s v="카페24고체향수스테이포에버 2set200720"/>
  </r>
  <r>
    <x v="93"/>
    <s v="화"/>
    <x v="11"/>
    <s v="카페24"/>
    <m/>
    <n v="3"/>
    <x v="2"/>
    <s v="유즈쇼핑백"/>
    <n v="200720"/>
    <m/>
    <n v="6000"/>
    <n v="5649"/>
    <n v="3630"/>
    <n v="5454.545454545454"/>
    <s v="카페24쇼핑백유즈쇼핑백200720"/>
  </r>
  <r>
    <x v="94"/>
    <s v="수"/>
    <x v="11"/>
    <s v="카페24"/>
    <m/>
    <n v="3"/>
    <x v="0"/>
    <s v="이그나이트 + 스테이포에버"/>
    <n v="200720"/>
    <m/>
    <n v="176400"/>
    <n v="166080.6"/>
    <n v="17013"/>
    <n v="160363.6363636364"/>
    <s v="카페24고체향수이그나이트 + 스테이포에버200720"/>
  </r>
  <r>
    <x v="94"/>
    <s v="수"/>
    <x v="11"/>
    <s v="카페24"/>
    <m/>
    <n v="71"/>
    <x v="0"/>
    <s v="스테이포에버"/>
    <n v="200720"/>
    <m/>
    <n v="2414000"/>
    <n v="2272781"/>
    <n v="197593"/>
    <n v="2194545.454545455"/>
    <s v="카페24고체향수스테이포에버200720"/>
  </r>
  <r>
    <x v="94"/>
    <s v="수"/>
    <x v="11"/>
    <s v="카페24"/>
    <m/>
    <n v="13"/>
    <x v="0"/>
    <s v="스테이포에버 2set"/>
    <n v="200720"/>
    <m/>
    <n v="764400"/>
    <n v="719682.6"/>
    <n v="72358"/>
    <n v="694909.0909090908"/>
    <s v="카페24고체향수스테이포에버 2set200720"/>
  </r>
  <r>
    <x v="94"/>
    <s v="수"/>
    <x v="11"/>
    <s v="카페24"/>
    <m/>
    <n v="2"/>
    <x v="0"/>
    <s v="이그나이트"/>
    <n v="200720"/>
    <m/>
    <n v="68000"/>
    <n v="64022"/>
    <n v="5776"/>
    <n v="61818.18181818182"/>
    <s v="카페24고체향수이그나이트200720"/>
  </r>
  <r>
    <x v="94"/>
    <s v="수"/>
    <x v="11"/>
    <s v="카페24"/>
    <m/>
    <n v="1"/>
    <x v="2"/>
    <s v="유즈쇼핑백"/>
    <n v="200720"/>
    <m/>
    <n v="2000"/>
    <n v="1883"/>
    <n v="1210"/>
    <n v="1818.181818181818"/>
    <s v="카페24쇼핑백유즈쇼핑백200720"/>
  </r>
  <r>
    <x v="95"/>
    <s v="목"/>
    <x v="11"/>
    <s v="카페24"/>
    <m/>
    <n v="75"/>
    <x v="0"/>
    <s v="스테이포에버"/>
    <n v="200720"/>
    <m/>
    <n v="2550000"/>
    <n v="2400825"/>
    <n v="208725"/>
    <n v="2318181.818181818"/>
    <s v="카페24고체향수스테이포에버200720"/>
  </r>
  <r>
    <x v="95"/>
    <s v="목"/>
    <x v="11"/>
    <s v="카페24"/>
    <m/>
    <n v="18"/>
    <x v="0"/>
    <s v="스테이포에버 2set"/>
    <n v="200720"/>
    <m/>
    <n v="1058400"/>
    <n v="996483.6"/>
    <n v="100188"/>
    <n v="962181.8181818181"/>
    <s v="카페24고체향수스테이포에버 2set200720"/>
  </r>
  <r>
    <x v="95"/>
    <s v="목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95"/>
    <s v="목"/>
    <x v="11"/>
    <s v="카페24"/>
    <m/>
    <n v="1"/>
    <x v="2"/>
    <s v="유즈쇼핑백"/>
    <n v="200720"/>
    <m/>
    <n v="2000"/>
    <n v="1883"/>
    <n v="1210"/>
    <n v="1818.181818181818"/>
    <s v="카페24쇼핑백유즈쇼핑백200720"/>
  </r>
  <r>
    <x v="96"/>
    <s v="금"/>
    <x v="11"/>
    <s v="유즈 CS"/>
    <m/>
    <n v="50"/>
    <x v="2"/>
    <s v="유즈쇼핑백"/>
    <n v="200520"/>
    <m/>
    <n v="0"/>
    <n v="0"/>
    <n v="60500"/>
    <n v="0"/>
    <s v="유즈 CS쇼핑백유즈쇼핑백200520"/>
  </r>
  <r>
    <x v="96"/>
    <s v="금"/>
    <x v="11"/>
    <s v="카페24"/>
    <m/>
    <n v="1"/>
    <x v="0"/>
    <s v="이그나이트 + 스테이포에버"/>
    <n v="200720"/>
    <m/>
    <n v="58800"/>
    <n v="55360.2"/>
    <n v="5671"/>
    <n v="53454.54545454545"/>
    <s v="카페24고체향수이그나이트 + 스테이포에버200720"/>
  </r>
  <r>
    <x v="96"/>
    <s v="금"/>
    <x v="11"/>
    <s v="카페24"/>
    <m/>
    <n v="62"/>
    <x v="0"/>
    <s v="스테이포에버"/>
    <n v="200720"/>
    <m/>
    <n v="2108000"/>
    <n v="1984682"/>
    <n v="172546"/>
    <n v="1916363.636363636"/>
    <s v="카페24고체향수스테이포에버200720"/>
  </r>
  <r>
    <x v="96"/>
    <s v="금"/>
    <x v="11"/>
    <s v="카페24"/>
    <m/>
    <n v="16"/>
    <x v="0"/>
    <s v="스테이포에버 2set"/>
    <n v="200720"/>
    <m/>
    <n v="940800"/>
    <n v="885763.2"/>
    <n v="89056"/>
    <n v="855272.7272727272"/>
    <s v="카페24고체향수스테이포에버 2set200720"/>
  </r>
  <r>
    <x v="96"/>
    <s v="금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97"/>
    <s v="토"/>
    <x v="11"/>
    <s v="카페24"/>
    <m/>
    <n v="1"/>
    <x v="0"/>
    <s v="이그나이트 + 스테이포에버"/>
    <n v="200720"/>
    <m/>
    <n v="58800"/>
    <n v="55360.2"/>
    <n v="5671"/>
    <n v="53454.54545454545"/>
    <s v="카페24고체향수이그나이트 + 스테이포에버200720"/>
  </r>
  <r>
    <x v="97"/>
    <s v="토"/>
    <x v="11"/>
    <s v="카페24"/>
    <m/>
    <n v="68"/>
    <x v="0"/>
    <s v="스테이포에버"/>
    <n v="200720"/>
    <m/>
    <n v="2312000"/>
    <n v="2176748"/>
    <n v="189244"/>
    <n v="2101818.181818182"/>
    <s v="카페24고체향수스테이포에버200720"/>
  </r>
  <r>
    <x v="97"/>
    <s v="토"/>
    <x v="11"/>
    <s v="카페24"/>
    <m/>
    <n v="11"/>
    <x v="0"/>
    <s v="스테이포에버 2set"/>
    <n v="200720"/>
    <m/>
    <n v="646800"/>
    <n v="608962.2"/>
    <n v="61226"/>
    <n v="588000"/>
    <s v="카페24고체향수스테이포에버 2set200720"/>
  </r>
  <r>
    <x v="97"/>
    <s v="토"/>
    <x v="11"/>
    <s v="카페24"/>
    <m/>
    <n v="1"/>
    <x v="2"/>
    <s v="유즈쇼핑백"/>
    <n v="200720"/>
    <m/>
    <n v="2000"/>
    <n v="1883"/>
    <n v="1210"/>
    <n v="1818.181818181818"/>
    <s v="카페24쇼핑백유즈쇼핑백200720"/>
  </r>
  <r>
    <x v="98"/>
    <s v="일"/>
    <x v="11"/>
    <s v="카페24"/>
    <m/>
    <n v="4"/>
    <x v="0"/>
    <s v="이그나이트 + 스테이포에버"/>
    <n v="200720"/>
    <m/>
    <n v="235200"/>
    <n v="221440.8"/>
    <n v="22684"/>
    <n v="213818.1818181818"/>
    <s v="카페24고체향수이그나이트 + 스테이포에버200720"/>
  </r>
  <r>
    <x v="98"/>
    <s v="일"/>
    <x v="11"/>
    <s v="카페24"/>
    <m/>
    <n v="74"/>
    <x v="0"/>
    <s v="스테이포에버"/>
    <n v="200720"/>
    <m/>
    <n v="2516000"/>
    <n v="2368814"/>
    <n v="205942"/>
    <n v="2287272.727272727"/>
    <s v="카페24고체향수스테이포에버200720"/>
  </r>
  <r>
    <x v="98"/>
    <s v="일"/>
    <x v="11"/>
    <s v="카페24"/>
    <m/>
    <n v="15"/>
    <x v="0"/>
    <s v="스테이포에버 2set"/>
    <n v="200720"/>
    <m/>
    <n v="882000"/>
    <n v="830403"/>
    <n v="83490"/>
    <n v="801818.1818181818"/>
    <s v="카페24고체향수스테이포에버 2set200720"/>
  </r>
  <r>
    <x v="98"/>
    <s v="일"/>
    <x v="11"/>
    <s v="카페24"/>
    <m/>
    <n v="2"/>
    <x v="0"/>
    <s v="이그나이트"/>
    <n v="200720"/>
    <m/>
    <n v="68000"/>
    <n v="64022"/>
    <n v="5776"/>
    <n v="61818.18181818182"/>
    <s v="카페24고체향수이그나이트200720"/>
  </r>
  <r>
    <x v="98"/>
    <s v="일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98"/>
    <s v="일"/>
    <x v="11"/>
    <s v="카페24"/>
    <m/>
    <n v="2"/>
    <x v="2"/>
    <s v="유즈쇼핑백"/>
    <n v="200720"/>
    <m/>
    <n v="4000"/>
    <n v="3766"/>
    <n v="2420"/>
    <n v="3636.363636363636"/>
    <s v="카페24쇼핑백유즈쇼핑백200720"/>
  </r>
  <r>
    <x v="99"/>
    <s v="월"/>
    <x v="11"/>
    <s v="카페24"/>
    <m/>
    <n v="2"/>
    <x v="0"/>
    <s v="이그나이트 + 스테이포에버"/>
    <n v="200720"/>
    <m/>
    <n v="117600"/>
    <n v="110720.4"/>
    <n v="11342"/>
    <n v="106909.0909090909"/>
    <s v="카페24고체향수이그나이트 + 스테이포에버200720"/>
  </r>
  <r>
    <x v="99"/>
    <s v="월"/>
    <x v="11"/>
    <s v="카페24"/>
    <m/>
    <n v="83"/>
    <x v="0"/>
    <s v="스테이포에버"/>
    <n v="200720"/>
    <m/>
    <n v="2822000"/>
    <n v="2656913"/>
    <n v="230989"/>
    <n v="2565454.545454545"/>
    <s v="카페24고체향수스테이포에버200720"/>
  </r>
  <r>
    <x v="99"/>
    <s v="월"/>
    <x v="11"/>
    <s v="카페24"/>
    <m/>
    <n v="10"/>
    <x v="0"/>
    <s v="스테이포에버 2set"/>
    <n v="200720"/>
    <m/>
    <n v="588000"/>
    <n v="553602"/>
    <n v="55660"/>
    <n v="534545.4545454545"/>
    <s v="카페24고체향수스테이포에버 2set200720"/>
  </r>
  <r>
    <x v="99"/>
    <s v="월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99"/>
    <s v="월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99"/>
    <s v="월"/>
    <x v="11"/>
    <s v="카페24"/>
    <m/>
    <n v="1"/>
    <x v="2"/>
    <s v="유즈쇼핑백"/>
    <n v="200720"/>
    <m/>
    <n v="2000"/>
    <n v="1883"/>
    <n v="1210"/>
    <n v="1818.181818181818"/>
    <s v="카페24쇼핑백유즈쇼핑백200720"/>
  </r>
  <r>
    <x v="100"/>
    <s v="화"/>
    <x v="11"/>
    <s v="카페24"/>
    <m/>
    <n v="1"/>
    <x v="0"/>
    <s v="이그나이트 + 스테이포에버"/>
    <n v="200720"/>
    <m/>
    <n v="58800"/>
    <n v="55360.2"/>
    <n v="5671"/>
    <n v="53454.54545454545"/>
    <s v="카페24고체향수이그나이트 + 스테이포에버200720"/>
  </r>
  <r>
    <x v="100"/>
    <s v="화"/>
    <x v="11"/>
    <s v="카페24"/>
    <m/>
    <n v="85"/>
    <x v="0"/>
    <s v="스테이포에버"/>
    <n v="200720"/>
    <m/>
    <n v="2890000"/>
    <n v="2720935"/>
    <n v="236555"/>
    <n v="2627272.727272727"/>
    <s v="카페24고체향수스테이포에버200720"/>
  </r>
  <r>
    <x v="100"/>
    <s v="화"/>
    <x v="11"/>
    <s v="카페24"/>
    <m/>
    <n v="17"/>
    <x v="0"/>
    <s v="스테이포에버 2set"/>
    <n v="200720"/>
    <m/>
    <n v="999600"/>
    <n v="941123.4"/>
    <n v="94622"/>
    <n v="908727.2727272727"/>
    <s v="카페24고체향수스테이포에버 2set200720"/>
  </r>
  <r>
    <x v="100"/>
    <s v="화"/>
    <x v="11"/>
    <s v="카페24"/>
    <m/>
    <n v="5"/>
    <x v="0"/>
    <s v="이그나이트"/>
    <n v="200720"/>
    <m/>
    <n v="170000"/>
    <n v="160055"/>
    <n v="14440"/>
    <n v="154545.4545454545"/>
    <s v="카페24고체향수이그나이트200720"/>
  </r>
  <r>
    <x v="100"/>
    <s v="화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100"/>
    <s v="화"/>
    <x v="11"/>
    <s v="카페24"/>
    <m/>
    <n v="2"/>
    <x v="2"/>
    <s v="유즈쇼핑백"/>
    <n v="200720"/>
    <m/>
    <n v="4000"/>
    <n v="3766"/>
    <n v="2420"/>
    <n v="3636.363636363636"/>
    <s v="카페24쇼핑백유즈쇼핑백200720"/>
  </r>
  <r>
    <x v="101"/>
    <s v="수"/>
    <x v="11"/>
    <s v="카페24"/>
    <m/>
    <n v="3"/>
    <x v="0"/>
    <s v="이그나이트 + 스테이포에버"/>
    <n v="200720"/>
    <m/>
    <n v="176400"/>
    <n v="166080.6"/>
    <n v="17013"/>
    <n v="160363.6363636364"/>
    <s v="카페24고체향수이그나이트 + 스테이포에버200720"/>
  </r>
  <r>
    <x v="101"/>
    <s v="수"/>
    <x v="11"/>
    <s v="카페24"/>
    <m/>
    <n v="88"/>
    <x v="0"/>
    <s v="스테이포에버"/>
    <n v="200720"/>
    <m/>
    <n v="2992000"/>
    <n v="2816968"/>
    <n v="244904"/>
    <n v="2720000"/>
    <s v="카페24고체향수스테이포에버200720"/>
  </r>
  <r>
    <x v="101"/>
    <s v="수"/>
    <x v="11"/>
    <s v="카페24"/>
    <m/>
    <n v="10"/>
    <x v="0"/>
    <s v="스테이포에버 2set"/>
    <n v="200720"/>
    <m/>
    <n v="588000"/>
    <n v="553602"/>
    <n v="55660"/>
    <n v="534545.4545454545"/>
    <s v="카페24고체향수스테이포에버 2set200720"/>
  </r>
  <r>
    <x v="101"/>
    <s v="수"/>
    <x v="11"/>
    <s v="카페24"/>
    <m/>
    <n v="2"/>
    <x v="0"/>
    <s v="이그나이트"/>
    <n v="200720"/>
    <m/>
    <n v="68000"/>
    <n v="64022"/>
    <n v="5776"/>
    <n v="61818.18181818182"/>
    <s v="카페24고체향수이그나이트200720"/>
  </r>
  <r>
    <x v="101"/>
    <s v="수"/>
    <x v="11"/>
    <s v="카페24"/>
    <m/>
    <n v="3"/>
    <x v="0"/>
    <s v="이그나이트 2set"/>
    <n v="200720"/>
    <m/>
    <n v="176400"/>
    <n v="166080.6"/>
    <n v="17328"/>
    <n v="160363.6363636364"/>
    <s v="카페24고체향수이그나이트 2set200720"/>
  </r>
  <r>
    <x v="101"/>
    <s v="수"/>
    <x v="11"/>
    <s v="카페24"/>
    <m/>
    <n v="3"/>
    <x v="2"/>
    <s v="유즈쇼핑백"/>
    <n v="200720"/>
    <m/>
    <n v="6000"/>
    <n v="5649"/>
    <n v="3630"/>
    <n v="5454.545454545454"/>
    <s v="카페24쇼핑백유즈쇼핑백200720"/>
  </r>
  <r>
    <x v="102"/>
    <s v="목"/>
    <x v="11"/>
    <s v="카페24"/>
    <m/>
    <n v="3"/>
    <x v="0"/>
    <s v="이그나이트 + 스테이포에버"/>
    <n v="200720"/>
    <m/>
    <n v="176400"/>
    <n v="166080.6"/>
    <n v="17013"/>
    <n v="160363.6363636364"/>
    <s v="카페24고체향수이그나이트 + 스테이포에버200720"/>
  </r>
  <r>
    <x v="102"/>
    <s v="목"/>
    <x v="11"/>
    <s v="카페24"/>
    <m/>
    <n v="66"/>
    <x v="0"/>
    <s v="스테이포에버"/>
    <n v="200720"/>
    <m/>
    <n v="2244000"/>
    <n v="2112726"/>
    <n v="183678"/>
    <n v="2040000"/>
    <s v="카페24고체향수스테이포에버200720"/>
  </r>
  <r>
    <x v="102"/>
    <s v="목"/>
    <x v="11"/>
    <s v="카페24"/>
    <m/>
    <n v="16"/>
    <x v="0"/>
    <s v="스테이포에버 2set"/>
    <n v="200720"/>
    <m/>
    <n v="940800"/>
    <n v="885763.2"/>
    <n v="89056"/>
    <n v="855272.7272727272"/>
    <s v="카페24고체향수스테이포에버 2set200720"/>
  </r>
  <r>
    <x v="102"/>
    <s v="목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102"/>
    <s v="목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102"/>
    <s v="목"/>
    <x v="11"/>
    <s v="카페24"/>
    <m/>
    <n v="2"/>
    <x v="2"/>
    <s v="유즈쇼핑백"/>
    <n v="200720"/>
    <m/>
    <n v="4000"/>
    <n v="3766"/>
    <n v="2420"/>
    <n v="3636.363636363636"/>
    <s v="카페24쇼핑백유즈쇼핑백200720"/>
  </r>
  <r>
    <x v="103"/>
    <s v="금"/>
    <x v="11"/>
    <s v="카페24"/>
    <m/>
    <n v="4"/>
    <x v="0"/>
    <s v="이그나이트 + 스테이포에버"/>
    <n v="200720"/>
    <m/>
    <n v="235200"/>
    <n v="221440.8"/>
    <n v="22684"/>
    <n v="213818.1818181818"/>
    <s v="카페24고체향수이그나이트 + 스테이포에버200720"/>
  </r>
  <r>
    <x v="103"/>
    <s v="금"/>
    <x v="11"/>
    <s v="카페24"/>
    <m/>
    <n v="79"/>
    <x v="0"/>
    <s v="스테이포에버"/>
    <n v="200720"/>
    <m/>
    <n v="2686000"/>
    <n v="2528869"/>
    <n v="219857"/>
    <n v="2441818.181818182"/>
    <s v="카페24고체향수스테이포에버200720"/>
  </r>
  <r>
    <x v="103"/>
    <s v="금"/>
    <x v="11"/>
    <s v="카페24"/>
    <m/>
    <n v="13"/>
    <x v="0"/>
    <s v="스테이포에버 2set"/>
    <n v="200720"/>
    <m/>
    <n v="764400"/>
    <n v="719682.6"/>
    <n v="72358"/>
    <n v="694909.0909090908"/>
    <s v="카페24고체향수스테이포에버 2set200720"/>
  </r>
  <r>
    <x v="103"/>
    <s v="금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104"/>
    <s v="토"/>
    <x v="11"/>
    <s v="카페24"/>
    <m/>
    <n v="4"/>
    <x v="0"/>
    <s v="이그나이트 + 스테이포에버"/>
    <n v="200720"/>
    <m/>
    <n v="235200"/>
    <n v="221440.8"/>
    <n v="22684"/>
    <n v="213818.1818181818"/>
    <s v="카페24고체향수이그나이트 + 스테이포에버200720"/>
  </r>
  <r>
    <x v="104"/>
    <s v="토"/>
    <x v="11"/>
    <s v="카페24"/>
    <m/>
    <n v="67"/>
    <x v="0"/>
    <s v="스테이포에버"/>
    <n v="200720"/>
    <m/>
    <n v="2278000"/>
    <n v="2144737"/>
    <n v="186461"/>
    <n v="2070909.090909091"/>
    <s v="카페24고체향수스테이포에버200720"/>
  </r>
  <r>
    <x v="104"/>
    <s v="토"/>
    <x v="11"/>
    <s v="카페24"/>
    <m/>
    <n v="9"/>
    <x v="0"/>
    <s v="스테이포에버 2set"/>
    <n v="200720"/>
    <m/>
    <n v="529200"/>
    <n v="498241.8"/>
    <n v="50094"/>
    <n v="481090.9090909091"/>
    <s v="카페24고체향수스테이포에버 2set200720"/>
  </r>
  <r>
    <x v="104"/>
    <s v="토"/>
    <x v="11"/>
    <s v="카페24"/>
    <m/>
    <n v="2"/>
    <x v="2"/>
    <s v="유즈쇼핑백"/>
    <n v="200720"/>
    <m/>
    <n v="4000"/>
    <n v="3766"/>
    <n v="2420"/>
    <n v="3636.363636363636"/>
    <s v="카페24쇼핑백유즈쇼핑백200720"/>
  </r>
  <r>
    <x v="105"/>
    <s v="일"/>
    <x v="11"/>
    <s v="카페24"/>
    <m/>
    <n v="3"/>
    <x v="0"/>
    <s v="이그나이트 + 스테이포에버"/>
    <n v="200720"/>
    <m/>
    <n v="176400"/>
    <n v="166080.6"/>
    <n v="17013"/>
    <n v="160363.6363636364"/>
    <s v="카페24고체향수이그나이트 + 스테이포에버200720"/>
  </r>
  <r>
    <x v="105"/>
    <s v="일"/>
    <x v="11"/>
    <s v="카페24"/>
    <m/>
    <n v="1"/>
    <x v="0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05"/>
    <s v="일"/>
    <x v="11"/>
    <s v="카페24"/>
    <m/>
    <n v="72"/>
    <x v="0"/>
    <s v="스테이포에버"/>
    <n v="200720"/>
    <m/>
    <n v="2448000"/>
    <n v="2304792"/>
    <n v="200376"/>
    <n v="2225454.545454545"/>
    <s v="카페24고체향수스테이포에버200720"/>
  </r>
  <r>
    <x v="105"/>
    <s v="일"/>
    <x v="11"/>
    <s v="카페24"/>
    <m/>
    <n v="7"/>
    <x v="0"/>
    <s v="스테이포에버 2set"/>
    <n v="200720"/>
    <m/>
    <n v="411600"/>
    <n v="387521.4"/>
    <n v="38962"/>
    <n v="374181.8181818182"/>
    <s v="카페24고체향수스테이포에버 2set200720"/>
  </r>
  <r>
    <x v="105"/>
    <s v="일"/>
    <x v="11"/>
    <s v="카페24"/>
    <m/>
    <n v="1"/>
    <x v="2"/>
    <s v="유즈쇼핑백"/>
    <n v="200720"/>
    <m/>
    <n v="2000"/>
    <n v="1883"/>
    <n v="1210"/>
    <n v="1818.181818181818"/>
    <s v="카페24쇼핑백유즈쇼핑백200720"/>
  </r>
  <r>
    <x v="106"/>
    <s v="월"/>
    <x v="11"/>
    <s v="유즈 CS"/>
    <m/>
    <n v="1"/>
    <x v="0"/>
    <s v="스테이포에버"/>
    <n v="200520"/>
    <m/>
    <n v="0"/>
    <n v="0"/>
    <n v="2783"/>
    <n v="0"/>
    <s v="유즈 CS고체향수스테이포에버200520"/>
  </r>
  <r>
    <x v="106"/>
    <s v="월"/>
    <x v="11"/>
    <s v="카페24"/>
    <m/>
    <n v="3"/>
    <x v="0"/>
    <s v="이그나이트 + 스테이포에버"/>
    <n v="200720"/>
    <m/>
    <n v="176400"/>
    <n v="166080.6"/>
    <n v="17013"/>
    <n v="160363.6363636364"/>
    <s v="카페24고체향수이그나이트 + 스테이포에버200720"/>
  </r>
  <r>
    <x v="106"/>
    <s v="월"/>
    <x v="11"/>
    <s v="카페24"/>
    <m/>
    <n v="71"/>
    <x v="0"/>
    <s v="스테이포에버"/>
    <n v="200720"/>
    <m/>
    <n v="2414000"/>
    <n v="2272781"/>
    <n v="197593"/>
    <n v="2194545.454545455"/>
    <s v="카페24고체향수스테이포에버200720"/>
  </r>
  <r>
    <x v="106"/>
    <s v="월"/>
    <x v="11"/>
    <s v="카페24"/>
    <m/>
    <n v="8"/>
    <x v="0"/>
    <s v="스테이포에버 2set"/>
    <n v="200720"/>
    <m/>
    <n v="470400"/>
    <n v="442881.6"/>
    <n v="44528"/>
    <n v="427636.3636363636"/>
    <s v="카페24고체향수스테이포에버 2set200720"/>
  </r>
  <r>
    <x v="106"/>
    <s v="월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106"/>
    <s v="월"/>
    <x v="11"/>
    <s v="카페24"/>
    <m/>
    <n v="4"/>
    <x v="2"/>
    <s v="유즈쇼핑백"/>
    <n v="200720"/>
    <m/>
    <n v="8000"/>
    <n v="7532"/>
    <n v="4840"/>
    <n v="7272.727272727272"/>
    <s v="카페24쇼핑백유즈쇼핑백200720"/>
  </r>
  <r>
    <x v="107"/>
    <s v="화"/>
    <x v="11"/>
    <s v="유즈 CS"/>
    <m/>
    <n v="3"/>
    <x v="0"/>
    <s v="스테이포에버"/>
    <n v="200520"/>
    <m/>
    <n v="0"/>
    <n v="0"/>
    <n v="8349"/>
    <n v="0"/>
    <s v="유즈 CS고체향수스테이포에버200520"/>
  </r>
  <r>
    <x v="107"/>
    <s v="화"/>
    <x v="11"/>
    <s v="유즈 CS"/>
    <m/>
    <n v="3"/>
    <x v="0"/>
    <s v="이그나이트"/>
    <n v="200520"/>
    <m/>
    <n v="0"/>
    <n v="0"/>
    <n v="8664"/>
    <n v="0"/>
    <s v="유즈 CS고체향수이그나이트200520"/>
  </r>
  <r>
    <x v="107"/>
    <s v="화"/>
    <x v="11"/>
    <s v="카페24"/>
    <m/>
    <n v="9"/>
    <x v="0"/>
    <s v="이그나이트 + 스테이포에버"/>
    <n v="200720"/>
    <m/>
    <n v="529200"/>
    <n v="498241.8"/>
    <n v="51039"/>
    <n v="481090.9090909091"/>
    <s v="카페24고체향수이그나이트 + 스테이포에버200720"/>
  </r>
  <r>
    <x v="107"/>
    <s v="화"/>
    <x v="11"/>
    <s v="카페24"/>
    <m/>
    <n v="60"/>
    <x v="0"/>
    <s v="스테이포에버"/>
    <n v="200720"/>
    <m/>
    <n v="2040000"/>
    <n v="1920660"/>
    <n v="166980"/>
    <n v="1854545.454545454"/>
    <s v="카페24고체향수스테이포에버200720"/>
  </r>
  <r>
    <x v="107"/>
    <s v="화"/>
    <x v="11"/>
    <s v="카페24"/>
    <m/>
    <n v="8"/>
    <x v="0"/>
    <s v="스테이포에버 2set"/>
    <n v="200720"/>
    <m/>
    <n v="470400"/>
    <n v="442881.6"/>
    <n v="44528"/>
    <n v="427636.3636363636"/>
    <s v="카페24고체향수스테이포에버 2set200720"/>
  </r>
  <r>
    <x v="107"/>
    <s v="화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107"/>
    <s v="화"/>
    <x v="11"/>
    <s v="카페24"/>
    <m/>
    <n v="7"/>
    <x v="2"/>
    <s v="유즈쇼핑백"/>
    <n v="200720"/>
    <m/>
    <n v="14000"/>
    <n v="13181"/>
    <n v="8470"/>
    <n v="12727.27272727273"/>
    <s v="카페24쇼핑백유즈쇼핑백200720"/>
  </r>
  <r>
    <x v="108"/>
    <s v="수"/>
    <x v="11"/>
    <s v="유즈 CS"/>
    <m/>
    <n v="11"/>
    <x v="0"/>
    <s v="스테이포에버"/>
    <n v="200520"/>
    <m/>
    <n v="0"/>
    <n v="0"/>
    <n v="30613"/>
    <n v="0"/>
    <s v="유즈 CS고체향수스테이포에버200520"/>
  </r>
  <r>
    <x v="108"/>
    <s v="수"/>
    <x v="11"/>
    <s v="유즈 CS"/>
    <m/>
    <n v="1"/>
    <x v="0"/>
    <s v="이그나이트"/>
    <n v="200520"/>
    <m/>
    <n v="0"/>
    <n v="0"/>
    <n v="2888"/>
    <n v="0"/>
    <s v="유즈 CS고체향수이그나이트200520"/>
  </r>
  <r>
    <x v="108"/>
    <s v="수"/>
    <x v="11"/>
    <s v="카페24"/>
    <m/>
    <n v="6"/>
    <x v="0"/>
    <s v="이그나이트 + 스테이포에버"/>
    <n v="200720"/>
    <m/>
    <n v="352800"/>
    <n v="332161.2"/>
    <n v="34026"/>
    <n v="320727.2727272727"/>
    <s v="카페24고체향수이그나이트 + 스테이포에버200720"/>
  </r>
  <r>
    <x v="108"/>
    <s v="수"/>
    <x v="11"/>
    <s v="카페24"/>
    <m/>
    <n v="69"/>
    <x v="0"/>
    <s v="스테이포에버"/>
    <n v="200720"/>
    <m/>
    <n v="2346000"/>
    <n v="2208759"/>
    <n v="192027"/>
    <n v="2132727.272727272"/>
    <s v="카페24고체향수스테이포에버200720"/>
  </r>
  <r>
    <x v="108"/>
    <s v="수"/>
    <x v="11"/>
    <s v="카페24"/>
    <m/>
    <n v="13"/>
    <x v="0"/>
    <s v="스테이포에버 2set"/>
    <n v="200720"/>
    <m/>
    <n v="764400"/>
    <n v="719682.6"/>
    <n v="72358"/>
    <n v="694909.0909090908"/>
    <s v="카페24고체향수스테이포에버 2set200720"/>
  </r>
  <r>
    <x v="108"/>
    <s v="수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108"/>
    <s v="수"/>
    <x v="11"/>
    <s v="카페24"/>
    <m/>
    <n v="2"/>
    <x v="2"/>
    <s v="유즈쇼핑백"/>
    <n v="200720"/>
    <m/>
    <n v="4000"/>
    <n v="3766"/>
    <n v="2420"/>
    <n v="3636.363636363636"/>
    <s v="카페24쇼핑백유즈쇼핑백200720"/>
  </r>
  <r>
    <x v="109"/>
    <s v="목"/>
    <x v="11"/>
    <s v="유즈 CS"/>
    <m/>
    <n v="9"/>
    <x v="0"/>
    <s v="스테이포에버"/>
    <n v="200520"/>
    <m/>
    <n v="0"/>
    <n v="0"/>
    <n v="25047"/>
    <n v="0"/>
    <s v="유즈 CS고체향수스테이포에버200520"/>
  </r>
  <r>
    <x v="109"/>
    <s v="목"/>
    <x v="11"/>
    <s v="유즈 CS"/>
    <m/>
    <n v="1"/>
    <x v="0"/>
    <s v="이그나이트"/>
    <n v="200520"/>
    <m/>
    <n v="0"/>
    <n v="0"/>
    <n v="2888"/>
    <n v="0"/>
    <s v="유즈 CS고체향수이그나이트200520"/>
  </r>
  <r>
    <x v="109"/>
    <s v="목"/>
    <x v="11"/>
    <s v="카페24"/>
    <m/>
    <n v="3"/>
    <x v="0"/>
    <s v="이그나이트 + 스테이포에버"/>
    <n v="200720"/>
    <m/>
    <n v="176400"/>
    <n v="166080.6"/>
    <n v="17013"/>
    <n v="160363.6363636364"/>
    <s v="카페24고체향수이그나이트 + 스테이포에버200720"/>
  </r>
  <r>
    <x v="109"/>
    <s v="목"/>
    <x v="11"/>
    <s v="카페24"/>
    <m/>
    <n v="66"/>
    <x v="0"/>
    <s v="스테이포에버"/>
    <n v="200720"/>
    <m/>
    <n v="2244000"/>
    <n v="2112726"/>
    <n v="183678"/>
    <n v="2040000"/>
    <s v="카페24고체향수스테이포에버200720"/>
  </r>
  <r>
    <x v="109"/>
    <s v="목"/>
    <x v="11"/>
    <s v="카페24"/>
    <m/>
    <n v="8"/>
    <x v="0"/>
    <s v="스테이포에버 2set"/>
    <n v="200720"/>
    <m/>
    <n v="470400"/>
    <n v="442881.6"/>
    <n v="44528"/>
    <n v="427636.3636363636"/>
    <s v="카페24고체향수스테이포에버 2set200720"/>
  </r>
  <r>
    <x v="109"/>
    <s v="목"/>
    <x v="11"/>
    <s v="카페24"/>
    <m/>
    <n v="3"/>
    <x v="0"/>
    <s v="이그나이트"/>
    <n v="200720"/>
    <m/>
    <n v="102000"/>
    <n v="96033"/>
    <n v="8664"/>
    <n v="92727.27272727272"/>
    <s v="카페24고체향수이그나이트200720"/>
  </r>
  <r>
    <x v="109"/>
    <s v="목"/>
    <x v="11"/>
    <s v="카페24"/>
    <m/>
    <n v="1"/>
    <x v="2"/>
    <s v="유즈쇼핑백"/>
    <n v="200720"/>
    <m/>
    <n v="2000"/>
    <n v="1883"/>
    <n v="1210"/>
    <n v="1818.181818181818"/>
    <s v="카페24쇼핑백유즈쇼핑백200720"/>
  </r>
  <r>
    <x v="110"/>
    <s v="금"/>
    <x v="11"/>
    <s v="카페24"/>
    <m/>
    <n v="5"/>
    <x v="0"/>
    <s v="이그나이트 + 스테이포에버"/>
    <n v="200720"/>
    <m/>
    <n v="294000"/>
    <n v="276801"/>
    <n v="28355"/>
    <n v="267272.7272727272"/>
    <s v="카페24고체향수이그나이트 + 스테이포에버200720"/>
  </r>
  <r>
    <x v="110"/>
    <s v="금"/>
    <x v="11"/>
    <s v="카페24"/>
    <m/>
    <n v="66"/>
    <x v="0"/>
    <s v="스테이포에버"/>
    <n v="200720"/>
    <m/>
    <n v="2244000"/>
    <n v="2112726"/>
    <n v="183678"/>
    <n v="2040000"/>
    <s v="카페24고체향수스테이포에버200720"/>
  </r>
  <r>
    <x v="110"/>
    <s v="금"/>
    <x v="11"/>
    <s v="카페24"/>
    <m/>
    <n v="15"/>
    <x v="0"/>
    <s v="스테이포에버 2set"/>
    <n v="200720"/>
    <m/>
    <n v="882000"/>
    <n v="830403"/>
    <n v="83490"/>
    <n v="801818.1818181818"/>
    <s v="카페24고체향수스테이포에버 2set200720"/>
  </r>
  <r>
    <x v="110"/>
    <s v="금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110"/>
    <s v="금"/>
    <x v="11"/>
    <s v="카페24"/>
    <m/>
    <n v="3"/>
    <x v="2"/>
    <s v="유즈쇼핑백"/>
    <n v="200720"/>
    <m/>
    <n v="6000"/>
    <n v="5649"/>
    <n v="3630"/>
    <n v="5454.545454545454"/>
    <s v="카페24쇼핑백유즈쇼핑백200720"/>
  </r>
  <r>
    <x v="111"/>
    <s v="토"/>
    <x v="11"/>
    <s v="카페24"/>
    <m/>
    <n v="5"/>
    <x v="0"/>
    <s v="이그나이트 + 스테이포에버"/>
    <n v="200720"/>
    <m/>
    <n v="294000"/>
    <n v="276801"/>
    <n v="28355"/>
    <n v="267272.7272727272"/>
    <s v="카페24고체향수이그나이트 + 스테이포에버200720"/>
  </r>
  <r>
    <x v="111"/>
    <s v="토"/>
    <x v="11"/>
    <s v="카페24"/>
    <m/>
    <n v="64"/>
    <x v="0"/>
    <s v="스테이포에버"/>
    <n v="200720"/>
    <m/>
    <n v="2176000"/>
    <n v="2048704"/>
    <n v="178112"/>
    <n v="1978181.818181818"/>
    <s v="카페24고체향수스테이포에버200720"/>
  </r>
  <r>
    <x v="111"/>
    <s v="토"/>
    <x v="11"/>
    <s v="카페24"/>
    <m/>
    <n v="8"/>
    <x v="0"/>
    <s v="스테이포에버 2set"/>
    <n v="200720"/>
    <m/>
    <n v="470400"/>
    <n v="442881.6"/>
    <n v="44528"/>
    <n v="427636.3636363636"/>
    <s v="카페24고체향수스테이포에버 2set200720"/>
  </r>
  <r>
    <x v="111"/>
    <s v="토"/>
    <x v="11"/>
    <s v="카페24"/>
    <m/>
    <n v="2"/>
    <x v="2"/>
    <s v="유즈쇼핑백"/>
    <n v="200720"/>
    <m/>
    <n v="4000"/>
    <n v="3766"/>
    <n v="2420"/>
    <n v="3636.363636363636"/>
    <s v="카페24쇼핑백유즈쇼핑백200720"/>
  </r>
  <r>
    <x v="112"/>
    <s v="일"/>
    <x v="11"/>
    <s v="카페24"/>
    <m/>
    <n v="4"/>
    <x v="0"/>
    <s v="이그나이트 + 스테이포에버"/>
    <n v="200720"/>
    <m/>
    <n v="235200"/>
    <n v="221440.8"/>
    <n v="22684"/>
    <n v="213818.1818181818"/>
    <s v="카페24고체향수이그나이트 + 스테이포에버200720"/>
  </r>
  <r>
    <x v="112"/>
    <s v="일"/>
    <x v="11"/>
    <s v="카페24"/>
    <m/>
    <n v="59"/>
    <x v="0"/>
    <s v="스테이포에버"/>
    <n v="200720"/>
    <m/>
    <n v="2006000"/>
    <n v="1888649"/>
    <n v="164197"/>
    <n v="1823636.363636364"/>
    <s v="카페24고체향수스테이포에버200720"/>
  </r>
  <r>
    <x v="112"/>
    <s v="일"/>
    <x v="11"/>
    <s v="카페24"/>
    <m/>
    <n v="16"/>
    <x v="0"/>
    <s v="스테이포에버 2set"/>
    <n v="200720"/>
    <m/>
    <n v="940800"/>
    <n v="885763.2"/>
    <n v="89056"/>
    <n v="855272.7272727272"/>
    <s v="카페24고체향수스테이포에버 2set200720"/>
  </r>
  <r>
    <x v="112"/>
    <s v="일"/>
    <x v="11"/>
    <s v="카페24"/>
    <m/>
    <n v="3"/>
    <x v="0"/>
    <s v="이그나이트"/>
    <n v="200720"/>
    <m/>
    <n v="102000"/>
    <n v="96033"/>
    <n v="8664"/>
    <n v="92727.27272727272"/>
    <s v="카페24고체향수이그나이트200720"/>
  </r>
  <r>
    <x v="112"/>
    <s v="일"/>
    <x v="11"/>
    <s v="카페24"/>
    <m/>
    <n v="3"/>
    <x v="2"/>
    <s v="유즈쇼핑백"/>
    <n v="200720"/>
    <m/>
    <n v="6000"/>
    <n v="5649"/>
    <n v="3630"/>
    <n v="5454.545454545454"/>
    <s v="카페24쇼핑백유즈쇼핑백200720"/>
  </r>
  <r>
    <x v="113"/>
    <s v="월"/>
    <x v="11"/>
    <s v="유즈 CS"/>
    <m/>
    <n v="4"/>
    <x v="0"/>
    <s v="스테이포에버"/>
    <n v="200520"/>
    <m/>
    <n v="0"/>
    <n v="0"/>
    <n v="11132"/>
    <n v="0"/>
    <s v="유즈 CS고체향수스테이포에버200520"/>
  </r>
  <r>
    <x v="113"/>
    <s v="월"/>
    <x v="11"/>
    <s v="카페24"/>
    <m/>
    <n v="4"/>
    <x v="0"/>
    <s v="이그나이트 + 스테이포에버"/>
    <n v="200720"/>
    <m/>
    <n v="235200"/>
    <n v="221440.8"/>
    <n v="22684"/>
    <n v="213818.1818181818"/>
    <s v="카페24고체향수이그나이트 + 스테이포에버200720"/>
  </r>
  <r>
    <x v="113"/>
    <s v="월"/>
    <x v="11"/>
    <s v="카페24"/>
    <m/>
    <n v="1"/>
    <x v="0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13"/>
    <s v="월"/>
    <x v="11"/>
    <s v="카페24"/>
    <m/>
    <n v="73"/>
    <x v="0"/>
    <s v="스테이포에버"/>
    <n v="200720"/>
    <m/>
    <n v="2482000"/>
    <n v="2336803"/>
    <n v="203159"/>
    <n v="2256363.636363636"/>
    <s v="카페24고체향수스테이포에버200720"/>
  </r>
  <r>
    <x v="113"/>
    <s v="월"/>
    <x v="11"/>
    <s v="카페24"/>
    <m/>
    <n v="13"/>
    <x v="0"/>
    <s v="스테이포에버 2set"/>
    <n v="200720"/>
    <m/>
    <n v="764400"/>
    <n v="719682.6"/>
    <n v="72358"/>
    <n v="694909.0909090908"/>
    <s v="카페24고체향수스테이포에버 2set200720"/>
  </r>
  <r>
    <x v="113"/>
    <s v="월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113"/>
    <s v="월"/>
    <x v="11"/>
    <s v="카페24"/>
    <m/>
    <n v="3"/>
    <x v="2"/>
    <s v="유즈쇼핑백"/>
    <n v="200720"/>
    <m/>
    <n v="6000"/>
    <n v="5649"/>
    <n v="3630"/>
    <n v="5454.545454545454"/>
    <s v="카페24쇼핑백유즈쇼핑백200720"/>
  </r>
  <r>
    <x v="114"/>
    <s v="화"/>
    <x v="11"/>
    <s v="카페24"/>
    <m/>
    <n v="5"/>
    <x v="0"/>
    <s v="이그나이트 + 스테이포에버"/>
    <n v="200720"/>
    <m/>
    <n v="294000"/>
    <n v="276801"/>
    <n v="28355"/>
    <n v="267272.7272727272"/>
    <s v="카페24고체향수이그나이트 + 스테이포에버200720"/>
  </r>
  <r>
    <x v="114"/>
    <s v="화"/>
    <x v="11"/>
    <s v="카페24"/>
    <m/>
    <n v="72"/>
    <x v="0"/>
    <s v="스테이포에버"/>
    <n v="200720"/>
    <m/>
    <n v="2448000"/>
    <n v="2304792"/>
    <n v="200376"/>
    <n v="2225454.545454545"/>
    <s v="카페24고체향수스테이포에버200720"/>
  </r>
  <r>
    <x v="114"/>
    <s v="화"/>
    <x v="11"/>
    <s v="카페24"/>
    <m/>
    <n v="18"/>
    <x v="0"/>
    <s v="스테이포에버 2set"/>
    <n v="200720"/>
    <m/>
    <n v="1058400"/>
    <n v="996483.6"/>
    <n v="100188"/>
    <n v="962181.8181818181"/>
    <s v="카페24고체향수스테이포에버 2set200720"/>
  </r>
  <r>
    <x v="114"/>
    <s v="화"/>
    <x v="11"/>
    <s v="카페24"/>
    <m/>
    <n v="3"/>
    <x v="0"/>
    <s v="이그나이트"/>
    <n v="200720"/>
    <m/>
    <n v="102000"/>
    <n v="96033"/>
    <n v="8664"/>
    <n v="92727.27272727272"/>
    <s v="카페24고체향수이그나이트200720"/>
  </r>
  <r>
    <x v="114"/>
    <s v="화"/>
    <x v="11"/>
    <s v="카페24"/>
    <m/>
    <n v="1"/>
    <x v="2"/>
    <s v="유즈쇼핑백"/>
    <n v="200720"/>
    <m/>
    <n v="2000"/>
    <n v="1883"/>
    <n v="1210"/>
    <n v="1818.181818181818"/>
    <s v="카페24쇼핑백유즈쇼핑백200720"/>
  </r>
  <r>
    <x v="115"/>
    <s v="수"/>
    <x v="11"/>
    <s v="카페24"/>
    <m/>
    <n v="1"/>
    <x v="0"/>
    <s v="이그나이트 + 스테이포에버"/>
    <n v="200720"/>
    <m/>
    <n v="58800"/>
    <n v="55360.2"/>
    <n v="5671"/>
    <n v="53454.54545454545"/>
    <s v="카페24고체향수이그나이트 + 스테이포에버200720"/>
  </r>
  <r>
    <x v="115"/>
    <s v="수"/>
    <x v="11"/>
    <s v="카페24"/>
    <m/>
    <n v="63"/>
    <x v="0"/>
    <s v="스테이포에버"/>
    <n v="200720"/>
    <m/>
    <n v="2142000"/>
    <n v="2016693"/>
    <n v="175329"/>
    <n v="1947272.727272727"/>
    <s v="카페24고체향수스테이포에버200720"/>
  </r>
  <r>
    <x v="115"/>
    <s v="수"/>
    <x v="11"/>
    <s v="카페24"/>
    <m/>
    <n v="12"/>
    <x v="0"/>
    <s v="스테이포에버 2set"/>
    <n v="200720"/>
    <m/>
    <n v="705600"/>
    <n v="664322.4"/>
    <n v="66792"/>
    <n v="641454.5454545454"/>
    <s v="카페24고체향수스테이포에버 2set200720"/>
  </r>
  <r>
    <x v="115"/>
    <s v="수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115"/>
    <s v="수"/>
    <x v="11"/>
    <s v="카페24"/>
    <m/>
    <n v="1"/>
    <x v="2"/>
    <s v="유즈쇼핑백"/>
    <n v="200720"/>
    <m/>
    <n v="2000"/>
    <n v="1883"/>
    <n v="1210"/>
    <n v="1818.181818181818"/>
    <s v="카페24쇼핑백유즈쇼핑백200720"/>
  </r>
  <r>
    <x v="116"/>
    <s v="목"/>
    <x v="11"/>
    <s v="카페24"/>
    <m/>
    <n v="5"/>
    <x v="0"/>
    <s v="이그나이트 + 스테이포에버"/>
    <n v="200720"/>
    <m/>
    <n v="294000"/>
    <n v="276801"/>
    <n v="28355"/>
    <n v="267272.7272727272"/>
    <s v="카페24고체향수이그나이트 + 스테이포에버200720"/>
  </r>
  <r>
    <x v="116"/>
    <s v="목"/>
    <x v="11"/>
    <s v="카페24"/>
    <m/>
    <n v="69"/>
    <x v="0"/>
    <s v="스테이포에버"/>
    <n v="200720"/>
    <m/>
    <n v="2346000"/>
    <n v="2208759"/>
    <n v="192027"/>
    <n v="2132727.272727272"/>
    <s v="카페24고체향수스테이포에버200720"/>
  </r>
  <r>
    <x v="116"/>
    <s v="목"/>
    <x v="11"/>
    <s v="카페24"/>
    <m/>
    <n v="13"/>
    <x v="0"/>
    <s v="스테이포에버 2set"/>
    <n v="200720"/>
    <m/>
    <n v="764400"/>
    <n v="719682.6"/>
    <n v="72358"/>
    <n v="694909.0909090908"/>
    <s v="카페24고체향수스테이포에버 2set200720"/>
  </r>
  <r>
    <x v="116"/>
    <s v="목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116"/>
    <s v="목"/>
    <x v="11"/>
    <s v="카페24"/>
    <m/>
    <n v="1"/>
    <x v="2"/>
    <s v="유즈쇼핑백"/>
    <n v="200720"/>
    <m/>
    <n v="2000"/>
    <n v="1883"/>
    <n v="1210"/>
    <n v="1818.181818181818"/>
    <s v="카페24쇼핑백유즈쇼핑백200720"/>
  </r>
  <r>
    <x v="117"/>
    <s v="금"/>
    <x v="11"/>
    <s v="카페24"/>
    <m/>
    <n v="3"/>
    <x v="0"/>
    <s v="이그나이트 + 스테이포에버"/>
    <n v="200720"/>
    <m/>
    <n v="176400"/>
    <n v="166080.6"/>
    <n v="17013"/>
    <n v="160363.6363636364"/>
    <s v="카페24고체향수이그나이트 + 스테이포에버200720"/>
  </r>
  <r>
    <x v="117"/>
    <s v="금"/>
    <x v="11"/>
    <s v="카페24"/>
    <m/>
    <n v="57"/>
    <x v="0"/>
    <s v="스테이포에버"/>
    <n v="200720"/>
    <m/>
    <n v="1938000"/>
    <n v="1824627"/>
    <n v="158631"/>
    <n v="1761818.181818182"/>
    <s v="카페24고체향수스테이포에버200720"/>
  </r>
  <r>
    <x v="117"/>
    <s v="금"/>
    <x v="11"/>
    <s v="카페24"/>
    <m/>
    <n v="23"/>
    <x v="0"/>
    <s v="스테이포에버 2set"/>
    <n v="200720"/>
    <m/>
    <n v="1352400"/>
    <n v="1273284.6"/>
    <n v="128018"/>
    <n v="1229454.545454545"/>
    <s v="카페24고체향수스테이포에버 2set200720"/>
  </r>
  <r>
    <x v="117"/>
    <s v="금"/>
    <x v="11"/>
    <s v="카페24"/>
    <m/>
    <n v="3"/>
    <x v="0"/>
    <s v="이그나이트"/>
    <n v="200720"/>
    <m/>
    <n v="102000"/>
    <n v="96033"/>
    <n v="8664"/>
    <n v="92727.27272727272"/>
    <s v="카페24고체향수이그나이트200720"/>
  </r>
  <r>
    <x v="118"/>
    <s v="토"/>
    <x v="11"/>
    <s v="카페24"/>
    <m/>
    <n v="6"/>
    <x v="0"/>
    <s v="이그나이트 + 스테이포에버"/>
    <n v="200720"/>
    <m/>
    <n v="352800"/>
    <n v="332161.2"/>
    <n v="34026"/>
    <n v="320727.2727272727"/>
    <s v="카페24고체향수이그나이트 + 스테이포에버200720"/>
  </r>
  <r>
    <x v="118"/>
    <s v="토"/>
    <x v="11"/>
    <s v="카페24"/>
    <m/>
    <n v="60"/>
    <x v="0"/>
    <s v="스테이포에버"/>
    <n v="200720"/>
    <m/>
    <n v="2040000"/>
    <n v="1920660"/>
    <n v="166980"/>
    <n v="1854545.454545454"/>
    <s v="카페24고체향수스테이포에버200720"/>
  </r>
  <r>
    <x v="118"/>
    <s v="토"/>
    <x v="11"/>
    <s v="카페24"/>
    <m/>
    <n v="17"/>
    <x v="0"/>
    <s v="스테이포에버 2set"/>
    <n v="200720"/>
    <m/>
    <n v="999600"/>
    <n v="941123.4"/>
    <n v="94622"/>
    <n v="908727.2727272727"/>
    <s v="카페24고체향수스테이포에버 2set200720"/>
  </r>
  <r>
    <x v="118"/>
    <s v="토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118"/>
    <s v="토"/>
    <x v="11"/>
    <s v="카페24"/>
    <m/>
    <n v="4"/>
    <x v="2"/>
    <s v="유즈쇼핑백"/>
    <n v="200720"/>
    <m/>
    <n v="8000"/>
    <n v="7532"/>
    <n v="4840"/>
    <n v="7272.727272727272"/>
    <s v="카페24쇼핑백유즈쇼핑백200720"/>
  </r>
  <r>
    <x v="119"/>
    <s v="일"/>
    <x v="11"/>
    <s v="카페24"/>
    <m/>
    <n v="5"/>
    <x v="0"/>
    <s v="이그나이트 + 스테이포에버"/>
    <n v="200720"/>
    <m/>
    <n v="294000"/>
    <n v="276801"/>
    <n v="28355"/>
    <n v="267272.7272727272"/>
    <s v="카페24고체향수이그나이트 + 스테이포에버200720"/>
  </r>
  <r>
    <x v="119"/>
    <s v="일"/>
    <x v="11"/>
    <s v="카페24"/>
    <m/>
    <n v="81"/>
    <x v="0"/>
    <s v="스테이포에버"/>
    <n v="200720"/>
    <m/>
    <n v="2754000"/>
    <n v="2592891"/>
    <n v="225423"/>
    <n v="2503636.363636363"/>
    <s v="카페24고체향수스테이포에버200720"/>
  </r>
  <r>
    <x v="119"/>
    <s v="일"/>
    <x v="11"/>
    <s v="카페24"/>
    <m/>
    <n v="13"/>
    <x v="0"/>
    <s v="스테이포에버 2set"/>
    <n v="200720"/>
    <m/>
    <n v="764400"/>
    <n v="719682.6"/>
    <n v="72358"/>
    <n v="694909.0909090908"/>
    <s v="카페24고체향수스테이포에버 2set200720"/>
  </r>
  <r>
    <x v="119"/>
    <s v="일"/>
    <x v="11"/>
    <s v="카페24"/>
    <m/>
    <n v="2"/>
    <x v="0"/>
    <s v="이그나이트"/>
    <n v="200720"/>
    <m/>
    <n v="68000"/>
    <n v="64022"/>
    <n v="5776"/>
    <n v="61818.18181818182"/>
    <s v="카페24고체향수이그나이트200720"/>
  </r>
  <r>
    <x v="119"/>
    <s v="일"/>
    <x v="11"/>
    <s v="카페24"/>
    <m/>
    <n v="2"/>
    <x v="2"/>
    <s v="유즈쇼핑백"/>
    <n v="200720"/>
    <m/>
    <n v="4000"/>
    <n v="3766"/>
    <n v="2420"/>
    <n v="3636.363636363636"/>
    <s v="카페24쇼핑백유즈쇼핑백200720"/>
  </r>
  <r>
    <x v="120"/>
    <s v="월"/>
    <x v="11"/>
    <s v="카페24"/>
    <m/>
    <n v="9"/>
    <x v="0"/>
    <s v="이그나이트 + 스테이포에버"/>
    <n v="200720"/>
    <m/>
    <n v="529200"/>
    <n v="498241.8"/>
    <n v="51039"/>
    <n v="481090.9090909091"/>
    <s v="카페24고체향수이그나이트 + 스테이포에버200720"/>
  </r>
  <r>
    <x v="120"/>
    <s v="월"/>
    <x v="11"/>
    <s v="카페24"/>
    <m/>
    <n v="63"/>
    <x v="0"/>
    <s v="스테이포에버"/>
    <n v="200720"/>
    <m/>
    <n v="2142000"/>
    <n v="2016693"/>
    <n v="175329"/>
    <n v="1947272.727272727"/>
    <s v="카페24고체향수스테이포에버200720"/>
  </r>
  <r>
    <x v="120"/>
    <s v="월"/>
    <x v="11"/>
    <s v="카페24"/>
    <m/>
    <n v="12"/>
    <x v="0"/>
    <s v="스테이포에버 2set"/>
    <n v="200720"/>
    <m/>
    <n v="705600"/>
    <n v="664322.4"/>
    <n v="66792"/>
    <n v="641454.5454545454"/>
    <s v="카페24고체향수스테이포에버 2set200720"/>
  </r>
  <r>
    <x v="120"/>
    <s v="월"/>
    <x v="11"/>
    <s v="카페24"/>
    <m/>
    <n v="5"/>
    <x v="0"/>
    <s v="이그나이트"/>
    <n v="200720"/>
    <m/>
    <n v="170000"/>
    <n v="160055"/>
    <n v="14440"/>
    <n v="154545.4545454545"/>
    <s v="카페24고체향수이그나이트200720"/>
  </r>
  <r>
    <x v="120"/>
    <s v="월"/>
    <x v="11"/>
    <s v="카페24"/>
    <m/>
    <n v="2"/>
    <x v="2"/>
    <s v="유즈쇼핑백"/>
    <n v="200720"/>
    <m/>
    <n v="4000"/>
    <n v="3766"/>
    <n v="2420"/>
    <n v="3636.363636363636"/>
    <s v="카페24쇼핑백유즈쇼핑백200720"/>
  </r>
  <r>
    <x v="120"/>
    <s v="월"/>
    <x v="11"/>
    <s v="유즈 CS"/>
    <m/>
    <n v="1"/>
    <x v="0"/>
    <s v="스테이포에버"/>
    <n v="200520"/>
    <m/>
    <n v="0"/>
    <n v="0"/>
    <n v="2783"/>
    <n v="0"/>
    <s v="유즈 CS고체향수스테이포에버200520"/>
  </r>
  <r>
    <x v="121"/>
    <s v="화"/>
    <x v="11"/>
    <s v="카페24"/>
    <m/>
    <n v="5"/>
    <x v="0"/>
    <s v="이그나이트 + 스테이포에버"/>
    <n v="200720"/>
    <m/>
    <n v="294000"/>
    <n v="276801"/>
    <n v="28355"/>
    <n v="267272.7272727272"/>
    <s v="카페24고체향수이그나이트 + 스테이포에버200720"/>
  </r>
  <r>
    <x v="121"/>
    <s v="화"/>
    <x v="11"/>
    <s v="카페24"/>
    <m/>
    <n v="76"/>
    <x v="0"/>
    <s v="스테이포에버"/>
    <n v="200720"/>
    <m/>
    <n v="2584000"/>
    <n v="2432836"/>
    <n v="211508"/>
    <n v="2349090.909090909"/>
    <s v="카페24고체향수스테이포에버200720"/>
  </r>
  <r>
    <x v="121"/>
    <s v="화"/>
    <x v="11"/>
    <s v="카페24"/>
    <m/>
    <n v="15"/>
    <x v="0"/>
    <s v="스테이포에버 2set"/>
    <n v="200720"/>
    <m/>
    <n v="882000"/>
    <n v="830403"/>
    <n v="83490"/>
    <n v="801818.1818181818"/>
    <s v="카페24고체향수스테이포에버 2set200720"/>
  </r>
  <r>
    <x v="121"/>
    <s v="화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121"/>
    <s v="화"/>
    <x v="11"/>
    <s v="카페24"/>
    <m/>
    <n v="1"/>
    <x v="2"/>
    <s v="유즈쇼핑백"/>
    <n v="200720"/>
    <m/>
    <n v="2000"/>
    <n v="1883"/>
    <n v="1210"/>
    <n v="1818.181818181818"/>
    <s v="카페24쇼핑백유즈쇼핑백200720"/>
  </r>
  <r>
    <x v="122"/>
    <s v="수"/>
    <x v="11"/>
    <s v="카페24"/>
    <m/>
    <n v="4"/>
    <x v="0"/>
    <s v="이그나이트 + 스테이포에버"/>
    <n v="200720"/>
    <m/>
    <n v="235200"/>
    <n v="221440.8"/>
    <n v="22684"/>
    <n v="213818.1818181818"/>
    <s v="카페24고체향수이그나이트 + 스테이포에버200720"/>
  </r>
  <r>
    <x v="122"/>
    <s v="수"/>
    <x v="11"/>
    <s v="카페24"/>
    <m/>
    <n v="77"/>
    <x v="0"/>
    <s v="스테이포에버"/>
    <n v="200720"/>
    <m/>
    <n v="2618000"/>
    <n v="2464847"/>
    <n v="214291"/>
    <n v="2380000"/>
    <s v="카페24고체향수스테이포에버200720"/>
  </r>
  <r>
    <x v="122"/>
    <s v="수"/>
    <x v="11"/>
    <s v="카페24"/>
    <m/>
    <n v="21"/>
    <x v="0"/>
    <s v="스테이포에버 2set"/>
    <n v="200720"/>
    <m/>
    <n v="1234800"/>
    <n v="1162564.2"/>
    <n v="116886"/>
    <n v="1122545.454545454"/>
    <s v="카페24고체향수스테이포에버 2set200720"/>
  </r>
  <r>
    <x v="122"/>
    <s v="수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122"/>
    <s v="수"/>
    <x v="11"/>
    <s v="카페24"/>
    <m/>
    <n v="2"/>
    <x v="2"/>
    <s v="유즈쇼핑백"/>
    <n v="200720"/>
    <m/>
    <n v="4000"/>
    <n v="3766"/>
    <n v="2420"/>
    <n v="3636.363636363636"/>
    <s v="카페24쇼핑백유즈쇼핑백200720"/>
  </r>
  <r>
    <x v="123"/>
    <s v="목"/>
    <x v="11"/>
    <s v="카페24"/>
    <m/>
    <n v="3"/>
    <x v="0"/>
    <s v="이그나이트 + 스테이포에버"/>
    <n v="200720"/>
    <m/>
    <n v="176400"/>
    <n v="166080.6"/>
    <n v="17013"/>
    <n v="160363.6363636364"/>
    <s v="카페24고체향수이그나이트 + 스테이포에버200720"/>
  </r>
  <r>
    <x v="123"/>
    <s v="목"/>
    <x v="11"/>
    <s v="카페24"/>
    <m/>
    <n v="83"/>
    <x v="0"/>
    <s v="스테이포에버"/>
    <n v="200720"/>
    <m/>
    <n v="2822000"/>
    <n v="2656913"/>
    <n v="230989"/>
    <n v="2565454.545454545"/>
    <s v="카페24고체향수스테이포에버200720"/>
  </r>
  <r>
    <x v="123"/>
    <s v="목"/>
    <x v="11"/>
    <s v="카페24"/>
    <m/>
    <n v="19"/>
    <x v="0"/>
    <s v="스테이포에버 2set"/>
    <n v="200720"/>
    <m/>
    <n v="1117200"/>
    <n v="1051843.8"/>
    <n v="105754"/>
    <n v="1015636.363636364"/>
    <s v="카페24고체향수스테이포에버 2set200720"/>
  </r>
  <r>
    <x v="123"/>
    <s v="목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123"/>
    <s v="목"/>
    <x v="11"/>
    <s v="카페24"/>
    <m/>
    <n v="4"/>
    <x v="2"/>
    <s v="유즈쇼핑백"/>
    <n v="200720"/>
    <m/>
    <n v="8000"/>
    <n v="7532"/>
    <n v="4840"/>
    <n v="7272.727272727272"/>
    <s v="카페24쇼핑백유즈쇼핑백200720"/>
  </r>
  <r>
    <x v="124"/>
    <s v="금"/>
    <x v="11"/>
    <s v="카페24"/>
    <m/>
    <n v="6"/>
    <x v="0"/>
    <s v="이그나이트 + 스테이포에버"/>
    <n v="200720"/>
    <m/>
    <n v="352800"/>
    <n v="332161.2"/>
    <n v="34026"/>
    <n v="320727.2727272727"/>
    <s v="카페24고체향수이그나이트 + 스테이포에버200720"/>
  </r>
  <r>
    <x v="124"/>
    <s v="금"/>
    <x v="11"/>
    <s v="카페24"/>
    <m/>
    <n v="85"/>
    <x v="0"/>
    <s v="스테이포에버"/>
    <n v="200720"/>
    <m/>
    <n v="2890000"/>
    <n v="2720935"/>
    <n v="236555"/>
    <n v="2627272.727272727"/>
    <s v="카페24고체향수스테이포에버200720"/>
  </r>
  <r>
    <x v="124"/>
    <s v="금"/>
    <x v="11"/>
    <s v="카페24"/>
    <m/>
    <n v="15"/>
    <x v="0"/>
    <s v="스테이포에버 2set"/>
    <n v="200720"/>
    <m/>
    <n v="882000"/>
    <n v="830403"/>
    <n v="83490"/>
    <n v="801818.1818181818"/>
    <s v="카페24고체향수스테이포에버 2set200720"/>
  </r>
  <r>
    <x v="124"/>
    <s v="금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124"/>
    <s v="금"/>
    <x v="11"/>
    <s v="카페24"/>
    <m/>
    <n v="1"/>
    <x v="2"/>
    <s v="유즈쇼핑백"/>
    <n v="200720"/>
    <m/>
    <n v="2000"/>
    <n v="1883"/>
    <n v="1210"/>
    <n v="1818.181818181818"/>
    <s v="카페24쇼핑백유즈쇼핑백200720"/>
  </r>
  <r>
    <x v="125"/>
    <s v="토"/>
    <x v="11"/>
    <s v="카페24"/>
    <m/>
    <n v="9"/>
    <x v="0"/>
    <s v="이그나이트 + 스테이포에버"/>
    <n v="200720"/>
    <m/>
    <n v="529200"/>
    <n v="498241.8"/>
    <n v="51039"/>
    <n v="481090.9090909091"/>
    <s v="카페24고체향수이그나이트 + 스테이포에버200720"/>
  </r>
  <r>
    <x v="125"/>
    <s v="토"/>
    <x v="11"/>
    <s v="카페24"/>
    <m/>
    <n v="108"/>
    <x v="0"/>
    <s v="스테이포에버"/>
    <n v="200720"/>
    <m/>
    <n v="3672000"/>
    <n v="3457188"/>
    <n v="300564"/>
    <n v="3338181.818181818"/>
    <s v="카페24고체향수스테이포에버200720"/>
  </r>
  <r>
    <x v="125"/>
    <s v="토"/>
    <x v="11"/>
    <s v="카페24"/>
    <m/>
    <n v="18"/>
    <x v="0"/>
    <s v="스테이포에버 2set"/>
    <n v="200720"/>
    <m/>
    <n v="1058400"/>
    <n v="996483.6"/>
    <n v="100188"/>
    <n v="962181.8181818181"/>
    <s v="카페24고체향수스테이포에버 2set200720"/>
  </r>
  <r>
    <x v="125"/>
    <s v="토"/>
    <x v="11"/>
    <s v="카페24"/>
    <m/>
    <n v="4"/>
    <x v="0"/>
    <s v="이그나이트"/>
    <n v="200720"/>
    <m/>
    <n v="136000"/>
    <n v="128044"/>
    <n v="11552"/>
    <n v="123636.3636363636"/>
    <s v="카페24고체향수이그나이트200720"/>
  </r>
  <r>
    <x v="125"/>
    <s v="토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125"/>
    <s v="토"/>
    <x v="11"/>
    <s v="카페24"/>
    <m/>
    <n v="2"/>
    <x v="2"/>
    <s v="유즈쇼핑백"/>
    <n v="200720"/>
    <m/>
    <n v="4000"/>
    <n v="3766"/>
    <n v="2420"/>
    <n v="3636.363636363636"/>
    <s v="카페24쇼핑백유즈쇼핑백200720"/>
  </r>
  <r>
    <x v="126"/>
    <s v="일"/>
    <x v="11"/>
    <s v="카페24"/>
    <m/>
    <n v="13"/>
    <x v="0"/>
    <s v="이그나이트 + 스테이포에버"/>
    <n v="200720"/>
    <m/>
    <n v="764400"/>
    <n v="719682.6"/>
    <n v="73723"/>
    <n v="694909.0909090908"/>
    <s v="카페24고체향수이그나이트 + 스테이포에버200720"/>
  </r>
  <r>
    <x v="126"/>
    <s v="일"/>
    <x v="11"/>
    <s v="카페24"/>
    <m/>
    <n v="131"/>
    <x v="0"/>
    <s v="스테이포에버"/>
    <n v="200720"/>
    <m/>
    <n v="4454000"/>
    <n v="4193441"/>
    <n v="364573"/>
    <n v="4049090.909090909"/>
    <s v="카페24고체향수스테이포에버200720"/>
  </r>
  <r>
    <x v="126"/>
    <s v="일"/>
    <x v="11"/>
    <s v="카페24"/>
    <m/>
    <n v="29"/>
    <x v="0"/>
    <s v="스테이포에버 2set"/>
    <n v="200720"/>
    <m/>
    <n v="1705200"/>
    <n v="1605445.8"/>
    <n v="161414"/>
    <n v="1550181.818181818"/>
    <s v="카페24고체향수스테이포에버 2set200720"/>
  </r>
  <r>
    <x v="126"/>
    <s v="일"/>
    <x v="11"/>
    <s v="카페24"/>
    <m/>
    <n v="2"/>
    <x v="0"/>
    <s v="이그나이트"/>
    <n v="200720"/>
    <m/>
    <n v="68000"/>
    <n v="64022"/>
    <n v="5776"/>
    <n v="61818.18181818182"/>
    <s v="카페24고체향수이그나이트200720"/>
  </r>
  <r>
    <x v="126"/>
    <s v="일"/>
    <x v="11"/>
    <s v="카페24"/>
    <m/>
    <n v="2"/>
    <x v="0"/>
    <s v="이그나이트 2set"/>
    <n v="200720"/>
    <m/>
    <n v="117600"/>
    <n v="110720.4"/>
    <n v="11552"/>
    <n v="106909.0909090909"/>
    <s v="카페24고체향수이그나이트 2set200720"/>
  </r>
  <r>
    <x v="126"/>
    <s v="일"/>
    <x v="11"/>
    <s v="카페24"/>
    <m/>
    <n v="5"/>
    <x v="2"/>
    <s v="유즈쇼핑백"/>
    <n v="200720"/>
    <m/>
    <n v="10000"/>
    <n v="9415"/>
    <n v="6050"/>
    <n v="9090.90909090909"/>
    <s v="카페24쇼핑백유즈쇼핑백200720"/>
  </r>
  <r>
    <x v="127"/>
    <s v="월"/>
    <x v="11"/>
    <s v="카페24"/>
    <m/>
    <n v="13"/>
    <x v="0"/>
    <s v="이그나이트 + 스테이포에버"/>
    <n v="200720"/>
    <m/>
    <n v="764400"/>
    <n v="719682.6"/>
    <n v="73723"/>
    <n v="694909.0909090908"/>
    <s v="카페24고체향수이그나이트 + 스테이포에버200720"/>
  </r>
  <r>
    <x v="127"/>
    <s v="월"/>
    <x v="11"/>
    <s v="카페24"/>
    <m/>
    <n v="126"/>
    <x v="0"/>
    <s v="스테이포에버"/>
    <n v="200720"/>
    <m/>
    <n v="4284000"/>
    <n v="4033386"/>
    <n v="350658"/>
    <n v="3894545.454545454"/>
    <s v="카페24고체향수스테이포에버200720"/>
  </r>
  <r>
    <x v="127"/>
    <s v="월"/>
    <x v="11"/>
    <s v="카페24"/>
    <m/>
    <n v="26"/>
    <x v="0"/>
    <s v="스테이포에버 2set"/>
    <n v="200720"/>
    <m/>
    <n v="1528800"/>
    <n v="1439365.2"/>
    <n v="144716"/>
    <n v="1389818.181818182"/>
    <s v="카페24고체향수스테이포에버 2set200720"/>
  </r>
  <r>
    <x v="127"/>
    <s v="월"/>
    <x v="11"/>
    <s v="카페24"/>
    <m/>
    <n v="1"/>
    <x v="2"/>
    <s v="유즈쇼핑백"/>
    <n v="200720"/>
    <m/>
    <n v="2000"/>
    <n v="1883"/>
    <n v="1210"/>
    <n v="1818.181818181818"/>
    <s v="카페24쇼핑백유즈쇼핑백200720"/>
  </r>
  <r>
    <x v="128"/>
    <s v="화"/>
    <x v="11"/>
    <s v="카페24"/>
    <m/>
    <n v="12"/>
    <x v="0"/>
    <s v="이그나이트 + 스테이포에버"/>
    <n v="200720"/>
    <m/>
    <n v="705600"/>
    <n v="664322.4"/>
    <n v="68052"/>
    <n v="641454.5454545454"/>
    <s v="카페24고체향수이그나이트 + 스테이포에버200720"/>
  </r>
  <r>
    <x v="128"/>
    <s v="화"/>
    <x v="11"/>
    <s v="카페24"/>
    <m/>
    <n v="2"/>
    <x v="0"/>
    <s v="이그나이트 + 스테이포에버 2set"/>
    <n v="200720"/>
    <m/>
    <n v="189600"/>
    <n v="178508.4"/>
    <n v="22684"/>
    <n v="172363.6363636364"/>
    <s v="카페24고체향수이그나이트 + 스테이포에버 2set200720"/>
  </r>
  <r>
    <x v="128"/>
    <s v="화"/>
    <x v="11"/>
    <s v="카페24"/>
    <m/>
    <n v="164"/>
    <x v="0"/>
    <s v="스테이포에버"/>
    <n v="200720"/>
    <m/>
    <n v="5576000"/>
    <n v="5249804"/>
    <n v="456412"/>
    <n v="5069090.909090908"/>
    <s v="카페24고체향수스테이포에버200720"/>
  </r>
  <r>
    <x v="128"/>
    <s v="화"/>
    <x v="11"/>
    <s v="카페24"/>
    <m/>
    <n v="45"/>
    <x v="0"/>
    <s v="스테이포에버 2set"/>
    <n v="200720"/>
    <m/>
    <n v="2646000"/>
    <n v="2491209"/>
    <n v="250470"/>
    <n v="2405454.545454545"/>
    <s v="카페24고체향수스테이포에버 2set200720"/>
  </r>
  <r>
    <x v="128"/>
    <s v="화"/>
    <x v="11"/>
    <s v="카페24"/>
    <m/>
    <n v="2"/>
    <x v="2"/>
    <s v="유즈쇼핑백"/>
    <n v="200720"/>
    <m/>
    <n v="4000"/>
    <n v="3766"/>
    <n v="2420"/>
    <n v="3636.363636363636"/>
    <s v="카페24쇼핑백유즈쇼핑백200720"/>
  </r>
  <r>
    <x v="129"/>
    <s v="수"/>
    <x v="11"/>
    <s v="카페24"/>
    <m/>
    <n v="15"/>
    <x v="0"/>
    <s v="이그나이트 + 스테이포에버"/>
    <n v="200720"/>
    <m/>
    <n v="882000"/>
    <n v="830403"/>
    <n v="85065"/>
    <n v="801818.1818181818"/>
    <s v="카페24고체향수이그나이트 + 스테이포에버200720"/>
  </r>
  <r>
    <x v="129"/>
    <s v="수"/>
    <x v="11"/>
    <s v="카페24"/>
    <m/>
    <n v="245"/>
    <x v="0"/>
    <s v="스테이포에버"/>
    <n v="200720"/>
    <m/>
    <n v="8330000"/>
    <n v="7842695"/>
    <n v="681835"/>
    <n v="7572727.272727272"/>
    <s v="카페24고체향수스테이포에버200720"/>
  </r>
  <r>
    <x v="129"/>
    <s v="수"/>
    <x v="11"/>
    <s v="카페24"/>
    <m/>
    <n v="67"/>
    <x v="0"/>
    <s v="스테이포에버 2set"/>
    <n v="200720"/>
    <m/>
    <n v="3939600"/>
    <n v="3709133.4"/>
    <n v="372922"/>
    <n v="3581454.545454545"/>
    <s v="카페24고체향수스테이포에버 2set200720"/>
  </r>
  <r>
    <x v="129"/>
    <s v="수"/>
    <x v="11"/>
    <s v="카페24"/>
    <m/>
    <n v="3"/>
    <x v="2"/>
    <s v="유즈쇼핑백"/>
    <n v="200720"/>
    <m/>
    <n v="6000"/>
    <n v="5649"/>
    <n v="3630"/>
    <n v="5454.545454545454"/>
    <s v="카페24쇼핑백유즈쇼핑백200720"/>
  </r>
  <r>
    <x v="130"/>
    <s v="목"/>
    <x v="11"/>
    <s v="카페24"/>
    <m/>
    <n v="24"/>
    <x v="0"/>
    <s v="이그나이트 + 스테이포에버"/>
    <n v="200720"/>
    <m/>
    <n v="1411200"/>
    <n v="1328644.8"/>
    <n v="136104"/>
    <n v="1282909.090909091"/>
    <s v="카페24고체향수이그나이트 + 스테이포에버200720"/>
  </r>
  <r>
    <x v="130"/>
    <s v="목"/>
    <x v="11"/>
    <s v="카페24"/>
    <m/>
    <n v="259"/>
    <x v="0"/>
    <s v="스테이포에버"/>
    <n v="200720"/>
    <m/>
    <n v="8806000"/>
    <n v="8290849"/>
    <n v="720797"/>
    <n v="8005454.545454545"/>
    <s v="카페24고체향수스테이포에버200720"/>
  </r>
  <r>
    <x v="130"/>
    <s v="목"/>
    <x v="11"/>
    <s v="카페24"/>
    <m/>
    <n v="57"/>
    <x v="0"/>
    <s v="스테이포에버 2set"/>
    <n v="200720"/>
    <m/>
    <n v="3351600"/>
    <n v="3155531.4"/>
    <n v="317262"/>
    <n v="3046909.090909091"/>
    <s v="카페24고체향수스테이포에버 2set200720"/>
  </r>
  <r>
    <x v="130"/>
    <s v="목"/>
    <x v="11"/>
    <s v="카페24"/>
    <m/>
    <n v="3"/>
    <x v="0"/>
    <s v="이그나이트"/>
    <n v="200720"/>
    <m/>
    <n v="102000"/>
    <n v="96033"/>
    <n v="8664"/>
    <n v="92727.27272727272"/>
    <s v="카페24고체향수이그나이트200720"/>
  </r>
  <r>
    <x v="130"/>
    <s v="목"/>
    <x v="11"/>
    <s v="카페24"/>
    <m/>
    <n v="4"/>
    <x v="2"/>
    <s v="유즈쇼핑백"/>
    <n v="200720"/>
    <m/>
    <n v="8000"/>
    <n v="7532"/>
    <n v="4840"/>
    <n v="7272.727272727272"/>
    <s v="카페24쇼핑백유즈쇼핑백200720"/>
  </r>
  <r>
    <x v="131"/>
    <s v="금"/>
    <x v="11"/>
    <s v="카페24"/>
    <m/>
    <n v="16"/>
    <x v="0"/>
    <s v="이그나이트 + 스테이포에버"/>
    <n v="200720"/>
    <m/>
    <n v="940800"/>
    <n v="885763.2"/>
    <n v="90736"/>
    <n v="855272.7272727272"/>
    <s v="카페24고체향수이그나이트 + 스테이포에버200720"/>
  </r>
  <r>
    <x v="131"/>
    <s v="금"/>
    <x v="11"/>
    <s v="카페24"/>
    <m/>
    <n v="1"/>
    <x v="0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31"/>
    <s v="금"/>
    <x v="11"/>
    <s v="카페24"/>
    <m/>
    <n v="243"/>
    <x v="0"/>
    <s v="스테이포에버"/>
    <n v="200720"/>
    <m/>
    <n v="8262000"/>
    <n v="7778673"/>
    <n v="676269"/>
    <n v="7510909.09090909"/>
    <s v="카페24고체향수스테이포에버200720"/>
  </r>
  <r>
    <x v="131"/>
    <s v="금"/>
    <x v="11"/>
    <s v="카페24"/>
    <m/>
    <n v="58"/>
    <x v="0"/>
    <s v="스테이포에버 2set"/>
    <n v="200720"/>
    <m/>
    <n v="3410400"/>
    <n v="3210891.6"/>
    <n v="322828"/>
    <n v="3100363.636363636"/>
    <s v="카페24고체향수스테이포에버 2set200720"/>
  </r>
  <r>
    <x v="131"/>
    <s v="금"/>
    <x v="11"/>
    <s v="카페24"/>
    <m/>
    <n v="2"/>
    <x v="0"/>
    <s v="이그나이트"/>
    <n v="200720"/>
    <m/>
    <n v="68000"/>
    <n v="64022"/>
    <n v="5776"/>
    <n v="61818.18181818182"/>
    <s v="카페24고체향수이그나이트200720"/>
  </r>
  <r>
    <x v="131"/>
    <s v="금"/>
    <x v="11"/>
    <s v="카페24"/>
    <m/>
    <n v="7"/>
    <x v="2"/>
    <s v="유즈쇼핑백"/>
    <n v="200720"/>
    <m/>
    <n v="14000"/>
    <n v="13181"/>
    <n v="8470"/>
    <n v="12727.27272727273"/>
    <s v="카페24쇼핑백유즈쇼핑백200720"/>
  </r>
  <r>
    <x v="132"/>
    <s v="토"/>
    <x v="11"/>
    <s v="카페24"/>
    <m/>
    <n v="17"/>
    <x v="0"/>
    <s v="이그나이트 + 스테이포에버"/>
    <n v="200720"/>
    <m/>
    <n v="999600"/>
    <n v="941123.4"/>
    <n v="96407"/>
    <n v="908727.2727272727"/>
    <s v="카페24고체향수이그나이트 + 스테이포에버200720"/>
  </r>
  <r>
    <x v="132"/>
    <s v="토"/>
    <x v="11"/>
    <s v="카페24"/>
    <m/>
    <n v="272"/>
    <x v="0"/>
    <s v="스테이포에버"/>
    <n v="200720"/>
    <m/>
    <n v="9248000"/>
    <n v="8706992"/>
    <n v="756976"/>
    <n v="8407272.727272727"/>
    <s v="카페24고체향수스테이포에버200720"/>
  </r>
  <r>
    <x v="132"/>
    <s v="토"/>
    <x v="11"/>
    <s v="카페24"/>
    <m/>
    <n v="51"/>
    <x v="0"/>
    <s v="스테이포에버 2set"/>
    <n v="200720"/>
    <m/>
    <n v="2998800"/>
    <n v="2823370.2"/>
    <n v="283866"/>
    <n v="2726181.818181818"/>
    <s v="카페24고체향수스테이포에버 2set200720"/>
  </r>
  <r>
    <x v="132"/>
    <s v="토"/>
    <x v="11"/>
    <s v="카페24"/>
    <m/>
    <n v="2"/>
    <x v="0"/>
    <s v="이그나이트"/>
    <n v="200720"/>
    <m/>
    <n v="68000"/>
    <n v="64022"/>
    <n v="5776"/>
    <n v="61818.18181818182"/>
    <s v="카페24고체향수이그나이트200720"/>
  </r>
  <r>
    <x v="132"/>
    <s v="토"/>
    <x v="11"/>
    <s v="카페24"/>
    <m/>
    <n v="9"/>
    <x v="2"/>
    <s v="유즈쇼핑백"/>
    <n v="200720"/>
    <m/>
    <n v="18000"/>
    <n v="16947"/>
    <n v="10890"/>
    <n v="16363.63636363636"/>
    <s v="카페24쇼핑백유즈쇼핑백200720"/>
  </r>
  <r>
    <x v="133"/>
    <s v="일"/>
    <x v="11"/>
    <s v="카페24"/>
    <m/>
    <n v="19"/>
    <x v="0"/>
    <s v="이그나이트 + 스테이포에버"/>
    <n v="200720"/>
    <m/>
    <n v="1117200"/>
    <n v="1051843.8"/>
    <n v="107749"/>
    <n v="1015636.363636364"/>
    <s v="카페24고체향수이그나이트 + 스테이포에버200720"/>
  </r>
  <r>
    <x v="133"/>
    <s v="일"/>
    <x v="11"/>
    <s v="카페24"/>
    <m/>
    <n v="236"/>
    <x v="0"/>
    <s v="스테이포에버"/>
    <n v="200720"/>
    <m/>
    <n v="8024000"/>
    <n v="7554596"/>
    <n v="656788"/>
    <n v="7294545.454545454"/>
    <s v="카페24고체향수스테이포에버200720"/>
  </r>
  <r>
    <x v="133"/>
    <s v="일"/>
    <x v="11"/>
    <s v="카페24"/>
    <m/>
    <n v="54"/>
    <x v="0"/>
    <s v="스테이포에버 2set"/>
    <n v="200720"/>
    <m/>
    <n v="3175200"/>
    <n v="2989450.8"/>
    <n v="300564"/>
    <n v="2886545.454545454"/>
    <s v="카페24고체향수스테이포에버 2set200720"/>
  </r>
  <r>
    <x v="133"/>
    <s v="일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133"/>
    <s v="일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133"/>
    <s v="일"/>
    <x v="11"/>
    <s v="카페24"/>
    <m/>
    <n v="4"/>
    <x v="2"/>
    <s v="유즈쇼핑백"/>
    <n v="200720"/>
    <m/>
    <n v="8000"/>
    <n v="7532"/>
    <n v="4840"/>
    <n v="7272.727272727272"/>
    <s v="카페24쇼핑백유즈쇼핑백200720"/>
  </r>
  <r>
    <x v="134"/>
    <s v="월"/>
    <x v="11"/>
    <s v="카페24"/>
    <m/>
    <n v="17"/>
    <x v="0"/>
    <s v="이그나이트 + 스테이포에버"/>
    <n v="200720"/>
    <m/>
    <n v="999600"/>
    <n v="941123.4"/>
    <n v="96407"/>
    <n v="908727.2727272727"/>
    <s v="카페24고체향수이그나이트 + 스테이포에버200720"/>
  </r>
  <r>
    <x v="134"/>
    <s v="월"/>
    <x v="11"/>
    <s v="카페24"/>
    <m/>
    <n v="200"/>
    <x v="0"/>
    <s v="스테이포에버"/>
    <n v="200720"/>
    <m/>
    <n v="6800000"/>
    <n v="6402200"/>
    <n v="556600"/>
    <n v="6181818.181818182"/>
    <s v="카페24고체향수스테이포에버200720"/>
  </r>
  <r>
    <x v="134"/>
    <s v="월"/>
    <x v="11"/>
    <s v="카페24"/>
    <m/>
    <n v="54"/>
    <x v="0"/>
    <s v="스테이포에버 2set"/>
    <n v="200720"/>
    <m/>
    <n v="3175200"/>
    <n v="2989450.8"/>
    <n v="300564"/>
    <n v="2886545.454545454"/>
    <s v="카페24고체향수스테이포에버 2set200720"/>
  </r>
  <r>
    <x v="134"/>
    <s v="월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134"/>
    <s v="월"/>
    <x v="11"/>
    <s v="카페24"/>
    <m/>
    <n v="6"/>
    <x v="2"/>
    <s v="유즈쇼핑백"/>
    <n v="200720"/>
    <m/>
    <n v="12000"/>
    <n v="11298"/>
    <n v="7260"/>
    <n v="10909.09090909091"/>
    <s v="카페24쇼핑백유즈쇼핑백200720"/>
  </r>
  <r>
    <x v="135"/>
    <s v="화"/>
    <x v="11"/>
    <s v="카페24"/>
    <m/>
    <n v="22"/>
    <x v="0"/>
    <s v="이그나이트 + 스테이포에버"/>
    <n v="200720"/>
    <m/>
    <n v="1293600"/>
    <n v="1217924.4"/>
    <n v="124762"/>
    <n v="1176000"/>
    <s v="카페24고체향수이그나이트 + 스테이포에버200720"/>
  </r>
  <r>
    <x v="135"/>
    <s v="화"/>
    <x v="11"/>
    <s v="카페24"/>
    <m/>
    <n v="181"/>
    <x v="0"/>
    <s v="스테이포에버"/>
    <n v="200720"/>
    <m/>
    <n v="6154000"/>
    <n v="5793991"/>
    <n v="503723"/>
    <n v="5594545.454545454"/>
    <s v="카페24고체향수스테이포에버200720"/>
  </r>
  <r>
    <x v="135"/>
    <s v="화"/>
    <x v="11"/>
    <s v="카페24"/>
    <m/>
    <n v="54"/>
    <x v="0"/>
    <s v="스테이포에버 2set"/>
    <n v="200720"/>
    <m/>
    <n v="3175200"/>
    <n v="2989450.8"/>
    <n v="300564"/>
    <n v="2886545.454545454"/>
    <s v="카페24고체향수스테이포에버 2set200720"/>
  </r>
  <r>
    <x v="135"/>
    <s v="화"/>
    <x v="11"/>
    <s v="카페24"/>
    <m/>
    <n v="2"/>
    <x v="0"/>
    <s v="이그나이트 2set"/>
    <n v="200720"/>
    <m/>
    <n v="117600"/>
    <n v="110720.4"/>
    <n v="11552"/>
    <n v="106909.0909090909"/>
    <s v="카페24고체향수이그나이트 2set200720"/>
  </r>
  <r>
    <x v="135"/>
    <s v="화"/>
    <x v="11"/>
    <s v="카페24"/>
    <m/>
    <n v="6"/>
    <x v="2"/>
    <s v="유즈쇼핑백"/>
    <n v="200720"/>
    <m/>
    <n v="12000"/>
    <n v="11298"/>
    <n v="7260"/>
    <n v="10909.09090909091"/>
    <s v="카페24쇼핑백유즈쇼핑백200720"/>
  </r>
  <r>
    <x v="136"/>
    <s v="수"/>
    <x v="11"/>
    <s v="유즈 CS"/>
    <m/>
    <n v="1"/>
    <x v="0"/>
    <s v="스테이포에버"/>
    <n v="200520"/>
    <m/>
    <n v="0"/>
    <n v="0"/>
    <n v="2783"/>
    <n v="0"/>
    <s v="유즈 CS고체향수스테이포에버200520"/>
  </r>
  <r>
    <x v="136"/>
    <s v="수"/>
    <x v="11"/>
    <s v="카페24"/>
    <m/>
    <n v="10"/>
    <x v="0"/>
    <s v="이그나이트 + 스테이포에버"/>
    <n v="200720"/>
    <m/>
    <n v="588000"/>
    <n v="553602"/>
    <n v="56710"/>
    <n v="534545.4545454545"/>
    <s v="카페24고체향수이그나이트 + 스테이포에버200720"/>
  </r>
  <r>
    <x v="136"/>
    <s v="수"/>
    <x v="11"/>
    <s v="카페24"/>
    <m/>
    <n v="1"/>
    <x v="0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36"/>
    <s v="수"/>
    <x v="11"/>
    <s v="카페24"/>
    <m/>
    <n v="189"/>
    <x v="0"/>
    <s v="스테이포에버"/>
    <n v="200720"/>
    <m/>
    <n v="6426000"/>
    <n v="6050079"/>
    <n v="525987"/>
    <n v="5841818.181818182"/>
    <s v="카페24고체향수스테이포에버200720"/>
  </r>
  <r>
    <x v="136"/>
    <s v="수"/>
    <x v="11"/>
    <s v="카페24"/>
    <m/>
    <n v="63"/>
    <x v="0"/>
    <s v="스테이포에버 2set"/>
    <n v="200720"/>
    <m/>
    <n v="3704400"/>
    <n v="3487692.6"/>
    <n v="350658"/>
    <n v="3367636.363636363"/>
    <s v="카페24고체향수스테이포에버 2set200720"/>
  </r>
  <r>
    <x v="136"/>
    <s v="수"/>
    <x v="11"/>
    <s v="카페24"/>
    <m/>
    <n v="2"/>
    <x v="0"/>
    <s v="이그나이트"/>
    <n v="200720"/>
    <m/>
    <n v="68000"/>
    <n v="64022"/>
    <n v="5776"/>
    <n v="61818.18181818182"/>
    <s v="카페24고체향수이그나이트200720"/>
  </r>
  <r>
    <x v="136"/>
    <s v="수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136"/>
    <s v="수"/>
    <x v="11"/>
    <s v="카페24"/>
    <m/>
    <n v="4"/>
    <x v="2"/>
    <s v="유즈쇼핑백"/>
    <n v="200720"/>
    <m/>
    <n v="8000"/>
    <n v="7532"/>
    <n v="4840"/>
    <n v="7272.727272727272"/>
    <s v="카페24쇼핑백유즈쇼핑백200720"/>
  </r>
  <r>
    <x v="137"/>
    <s v="목"/>
    <x v="11"/>
    <s v="카페24"/>
    <m/>
    <n v="15"/>
    <x v="0"/>
    <s v="이그나이트 + 스테이포에버"/>
    <n v="200720"/>
    <m/>
    <n v="882000"/>
    <n v="830403"/>
    <n v="85065"/>
    <n v="801818.1818181818"/>
    <s v="카페24고체향수이그나이트 + 스테이포에버200720"/>
  </r>
  <r>
    <x v="137"/>
    <s v="목"/>
    <x v="11"/>
    <s v="카페24"/>
    <m/>
    <n v="143"/>
    <x v="0"/>
    <s v="스테이포에버"/>
    <n v="200720"/>
    <m/>
    <n v="4862000"/>
    <n v="4577573"/>
    <n v="397969"/>
    <n v="4420000"/>
    <s v="카페24고체향수스테이포에버200720"/>
  </r>
  <r>
    <x v="137"/>
    <s v="목"/>
    <x v="11"/>
    <s v="카페24"/>
    <m/>
    <n v="36"/>
    <x v="0"/>
    <s v="스테이포에버 2set"/>
    <n v="200720"/>
    <m/>
    <n v="2116800"/>
    <n v="1992967.2"/>
    <n v="200376"/>
    <n v="1924363.636363636"/>
    <s v="카페24고체향수스테이포에버 2set200720"/>
  </r>
  <r>
    <x v="137"/>
    <s v="목"/>
    <x v="11"/>
    <s v="카페24"/>
    <m/>
    <n v="4"/>
    <x v="2"/>
    <s v="유즈쇼핑백"/>
    <n v="200720"/>
    <m/>
    <n v="8000"/>
    <n v="7532"/>
    <n v="4840"/>
    <n v="7272.727272727272"/>
    <s v="카페24쇼핑백유즈쇼핑백200720"/>
  </r>
  <r>
    <x v="138"/>
    <s v="금"/>
    <x v="11"/>
    <s v="카페24"/>
    <m/>
    <n v="20"/>
    <x v="0"/>
    <s v="이그나이트 + 스테이포에버"/>
    <n v="200720"/>
    <m/>
    <n v="1176000"/>
    <n v="1107204"/>
    <n v="113420"/>
    <n v="1069090.909090909"/>
    <s v="카페24고체향수이그나이트 + 스테이포에버200720"/>
  </r>
  <r>
    <x v="138"/>
    <s v="금"/>
    <x v="11"/>
    <s v="카페24"/>
    <m/>
    <n v="201"/>
    <x v="0"/>
    <s v="스테이포에버"/>
    <n v="200720"/>
    <m/>
    <n v="6834000"/>
    <n v="6434211"/>
    <n v="559383"/>
    <n v="6212727.272727272"/>
    <s v="카페24고체향수스테이포에버200720"/>
  </r>
  <r>
    <x v="138"/>
    <s v="금"/>
    <x v="11"/>
    <s v="카페24"/>
    <m/>
    <n v="49"/>
    <x v="0"/>
    <s v="스테이포에버 2set"/>
    <n v="200720"/>
    <m/>
    <n v="2881200"/>
    <n v="2712649.8"/>
    <n v="272734"/>
    <n v="2619272.727272727"/>
    <s v="카페24고체향수스테이포에버 2set200720"/>
  </r>
  <r>
    <x v="138"/>
    <s v="금"/>
    <x v="11"/>
    <s v="카페24"/>
    <m/>
    <n v="2"/>
    <x v="0"/>
    <s v="이그나이트"/>
    <n v="200720"/>
    <m/>
    <n v="68000"/>
    <n v="64022"/>
    <n v="5776"/>
    <n v="61818.18181818182"/>
    <s v="카페24고체향수이그나이트200720"/>
  </r>
  <r>
    <x v="138"/>
    <s v="금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138"/>
    <s v="금"/>
    <x v="11"/>
    <s v="카페24"/>
    <m/>
    <n v="5"/>
    <x v="2"/>
    <s v="유즈쇼핑백"/>
    <n v="200720"/>
    <m/>
    <n v="10000"/>
    <n v="9415"/>
    <n v="6050"/>
    <n v="9090.90909090909"/>
    <s v="카페24쇼핑백유즈쇼핑백200720"/>
  </r>
  <r>
    <x v="139"/>
    <s v="토"/>
    <x v="11"/>
    <s v="카페24"/>
    <m/>
    <n v="11"/>
    <x v="0"/>
    <s v="이그나이트 + 스테이포에버"/>
    <n v="200720"/>
    <m/>
    <n v="646800"/>
    <n v="608962.2"/>
    <n v="62381"/>
    <n v="588000"/>
    <s v="카페24고체향수이그나이트 + 스테이포에버200720"/>
  </r>
  <r>
    <x v="139"/>
    <s v="토"/>
    <x v="11"/>
    <s v="카페24"/>
    <m/>
    <n v="212"/>
    <x v="0"/>
    <s v="스테이포에버"/>
    <n v="200720"/>
    <m/>
    <n v="7208000"/>
    <n v="6786332"/>
    <n v="589996"/>
    <n v="6552727.272727272"/>
    <s v="카페24고체향수스테이포에버200720"/>
  </r>
  <r>
    <x v="139"/>
    <s v="토"/>
    <x v="11"/>
    <s v="카페24"/>
    <m/>
    <n v="54"/>
    <x v="0"/>
    <s v="스테이포에버 2set"/>
    <n v="200720"/>
    <m/>
    <n v="3175200"/>
    <n v="2989450.8"/>
    <n v="300564"/>
    <n v="2886545.454545454"/>
    <s v="카페24고체향수스테이포에버 2set200720"/>
  </r>
  <r>
    <x v="139"/>
    <s v="토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139"/>
    <s v="토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139"/>
    <s v="토"/>
    <x v="11"/>
    <s v="카페24"/>
    <m/>
    <n v="4"/>
    <x v="2"/>
    <s v="유즈쇼핑백"/>
    <n v="200720"/>
    <m/>
    <n v="8000"/>
    <n v="7532"/>
    <n v="4840"/>
    <n v="7272.727272727272"/>
    <s v="카페24쇼핑백유즈쇼핑백200720"/>
  </r>
  <r>
    <x v="140"/>
    <s v="일"/>
    <x v="11"/>
    <s v="카페24"/>
    <m/>
    <n v="19"/>
    <x v="0"/>
    <s v="이그나이트 + 스테이포에버"/>
    <n v="200720"/>
    <m/>
    <n v="1117200"/>
    <n v="1051843.8"/>
    <n v="107749"/>
    <n v="1015636.363636364"/>
    <s v="카페24고체향수이그나이트 + 스테이포에버200720"/>
  </r>
  <r>
    <x v="140"/>
    <s v="일"/>
    <x v="11"/>
    <s v="카페24"/>
    <m/>
    <n v="257"/>
    <x v="0"/>
    <s v="스테이포에버"/>
    <n v="200720"/>
    <m/>
    <n v="8738000"/>
    <n v="8226827"/>
    <n v="715231"/>
    <n v="7943636.363636363"/>
    <s v="카페24고체향수스테이포에버200720"/>
  </r>
  <r>
    <x v="140"/>
    <s v="일"/>
    <x v="11"/>
    <s v="카페24"/>
    <m/>
    <n v="52"/>
    <x v="0"/>
    <s v="스테이포에버 2set"/>
    <n v="200720"/>
    <m/>
    <n v="3057600"/>
    <n v="2878730.4"/>
    <n v="289432"/>
    <n v="2779636.363636363"/>
    <s v="카페24고체향수스테이포에버 2set200720"/>
  </r>
  <r>
    <x v="140"/>
    <s v="일"/>
    <x v="11"/>
    <s v="카페24"/>
    <m/>
    <n v="3"/>
    <x v="0"/>
    <s v="이그나이트"/>
    <n v="200720"/>
    <m/>
    <n v="102000"/>
    <n v="96033"/>
    <n v="8664"/>
    <n v="92727.27272727272"/>
    <s v="카페24고체향수이그나이트200720"/>
  </r>
  <r>
    <x v="140"/>
    <s v="일"/>
    <x v="11"/>
    <s v="카페24"/>
    <m/>
    <n v="10"/>
    <x v="2"/>
    <s v="유즈쇼핑백"/>
    <n v="200720"/>
    <m/>
    <n v="20000"/>
    <n v="18830"/>
    <n v="12100"/>
    <n v="18181.81818181818"/>
    <s v="카페24쇼핑백유즈쇼핑백200720"/>
  </r>
  <r>
    <x v="141"/>
    <s v="월"/>
    <x v="11"/>
    <s v="카페24"/>
    <m/>
    <n v="17"/>
    <x v="0"/>
    <s v="이그나이트 + 스테이포에버"/>
    <n v="200720"/>
    <m/>
    <n v="999600"/>
    <n v="941123.4"/>
    <n v="96407"/>
    <n v="908727.2727272727"/>
    <s v="카페24고체향수이그나이트 + 스테이포에버200720"/>
  </r>
  <r>
    <x v="141"/>
    <s v="월"/>
    <x v="11"/>
    <s v="카페24"/>
    <m/>
    <n v="205"/>
    <x v="0"/>
    <s v="스테이포에버"/>
    <n v="200720"/>
    <m/>
    <n v="6970000"/>
    <n v="6562255"/>
    <n v="570515"/>
    <n v="6336363.636363636"/>
    <s v="카페24고체향수스테이포에버200720"/>
  </r>
  <r>
    <x v="141"/>
    <s v="월"/>
    <x v="11"/>
    <s v="카페24"/>
    <m/>
    <n v="49"/>
    <x v="0"/>
    <s v="스테이포에버 2set"/>
    <n v="200720"/>
    <m/>
    <n v="2881200"/>
    <n v="2712649.8"/>
    <n v="272734"/>
    <n v="2619272.727272727"/>
    <s v="카페24고체향수스테이포에버 2set200720"/>
  </r>
  <r>
    <x v="141"/>
    <s v="월"/>
    <x v="11"/>
    <s v="카페24"/>
    <m/>
    <n v="5"/>
    <x v="2"/>
    <s v="유즈쇼핑백"/>
    <n v="200720"/>
    <m/>
    <n v="10000"/>
    <n v="9415"/>
    <n v="6050"/>
    <n v="9090.90909090909"/>
    <s v="카페24쇼핑백유즈쇼핑백200720"/>
  </r>
  <r>
    <x v="142"/>
    <s v="화"/>
    <x v="11"/>
    <s v="카페24"/>
    <m/>
    <n v="13"/>
    <x v="0"/>
    <s v="이그나이트 + 스테이포에버"/>
    <n v="200720"/>
    <m/>
    <n v="764400"/>
    <n v="719682.6"/>
    <n v="73723"/>
    <n v="694909.0909090908"/>
    <s v="카페24고체향수이그나이트 + 스테이포에버200720"/>
  </r>
  <r>
    <x v="142"/>
    <s v="화"/>
    <x v="11"/>
    <s v="카페24"/>
    <m/>
    <n v="220"/>
    <x v="0"/>
    <s v="스테이포에버"/>
    <n v="200720"/>
    <m/>
    <n v="7480000"/>
    <n v="7042420"/>
    <n v="612260"/>
    <n v="6799999.999999999"/>
    <s v="카페24고체향수스테이포에버200720"/>
  </r>
  <r>
    <x v="142"/>
    <s v="화"/>
    <x v="11"/>
    <s v="카페24"/>
    <m/>
    <n v="54"/>
    <x v="0"/>
    <s v="스테이포에버 2set"/>
    <n v="200720"/>
    <m/>
    <n v="3175200"/>
    <n v="2989450.8"/>
    <n v="300564"/>
    <n v="2886545.454545454"/>
    <s v="카페24고체향수스테이포에버 2set200720"/>
  </r>
  <r>
    <x v="142"/>
    <s v="화"/>
    <x v="11"/>
    <s v="카페24"/>
    <m/>
    <n v="2"/>
    <x v="0"/>
    <s v="이그나이트"/>
    <n v="200720"/>
    <m/>
    <n v="68000"/>
    <n v="64022"/>
    <n v="5776"/>
    <n v="61818.18181818182"/>
    <s v="카페24고체향수이그나이트200720"/>
  </r>
  <r>
    <x v="142"/>
    <s v="화"/>
    <x v="11"/>
    <s v="카페24"/>
    <m/>
    <n v="8"/>
    <x v="2"/>
    <s v="유즈쇼핑백"/>
    <n v="200720"/>
    <m/>
    <n v="16000"/>
    <n v="15064"/>
    <n v="9680"/>
    <n v="14545.45454545454"/>
    <s v="카페24쇼핑백유즈쇼핑백200720"/>
  </r>
  <r>
    <x v="143"/>
    <s v="수"/>
    <x v="11"/>
    <s v="카페24"/>
    <m/>
    <n v="21"/>
    <x v="0"/>
    <s v="이그나이트 + 스테이포에버"/>
    <n v="200720"/>
    <m/>
    <n v="1234800"/>
    <n v="1162564.2"/>
    <n v="119091"/>
    <n v="1122545.454545454"/>
    <s v="카페24고체향수이그나이트 + 스테이포에버200720"/>
  </r>
  <r>
    <x v="143"/>
    <s v="수"/>
    <x v="11"/>
    <s v="카페24"/>
    <m/>
    <n v="247"/>
    <x v="0"/>
    <s v="스테이포에버"/>
    <n v="200720"/>
    <m/>
    <n v="8398000"/>
    <n v="7906717"/>
    <n v="687401"/>
    <n v="7634545.454545454"/>
    <s v="카페24고체향수스테이포에버200720"/>
  </r>
  <r>
    <x v="143"/>
    <s v="수"/>
    <x v="11"/>
    <s v="카페24"/>
    <m/>
    <n v="48"/>
    <x v="0"/>
    <s v="스테이포에버 2set"/>
    <n v="200720"/>
    <m/>
    <n v="2822400"/>
    <n v="2657289.6"/>
    <n v="267168"/>
    <n v="2565818.181818182"/>
    <s v="카페24고체향수스테이포에버 2set200720"/>
  </r>
  <r>
    <x v="143"/>
    <s v="수"/>
    <x v="11"/>
    <s v="카페24"/>
    <m/>
    <n v="2"/>
    <x v="0"/>
    <s v="이그나이트"/>
    <n v="200720"/>
    <m/>
    <n v="68000"/>
    <n v="64022"/>
    <n v="5776"/>
    <n v="61818.18181818182"/>
    <s v="카페24고체향수이그나이트200720"/>
  </r>
  <r>
    <x v="143"/>
    <s v="수"/>
    <x v="11"/>
    <s v="카페24"/>
    <m/>
    <n v="4"/>
    <x v="2"/>
    <s v="유즈쇼핑백"/>
    <n v="200720"/>
    <m/>
    <n v="8000"/>
    <n v="7532"/>
    <n v="4840"/>
    <n v="7272.727272727272"/>
    <s v="카페24쇼핑백유즈쇼핑백200720"/>
  </r>
  <r>
    <x v="144"/>
    <s v="목"/>
    <x v="11"/>
    <s v="카페24"/>
    <m/>
    <n v="19"/>
    <x v="0"/>
    <s v="이그나이트 + 스테이포에버"/>
    <n v="200720"/>
    <m/>
    <n v="1117200"/>
    <n v="1051843.8"/>
    <n v="107749"/>
    <n v="1015636.363636364"/>
    <s v="카페24고체향수이그나이트 + 스테이포에버200720"/>
  </r>
  <r>
    <x v="144"/>
    <s v="목"/>
    <x v="11"/>
    <s v="카페24"/>
    <m/>
    <n v="2"/>
    <x v="0"/>
    <s v="이그나이트 + 스테이포에버 2set"/>
    <n v="200720"/>
    <m/>
    <n v="189600"/>
    <n v="178508.4"/>
    <n v="22684"/>
    <n v="172363.6363636364"/>
    <s v="카페24고체향수이그나이트 + 스테이포에버 2set200720"/>
  </r>
  <r>
    <x v="144"/>
    <s v="목"/>
    <x v="11"/>
    <s v="카페24"/>
    <m/>
    <n v="197"/>
    <x v="0"/>
    <s v="스테이포에버"/>
    <n v="200720"/>
    <m/>
    <n v="6698000"/>
    <n v="6306167"/>
    <n v="548251"/>
    <n v="6089090.909090908"/>
    <s v="카페24고체향수스테이포에버200720"/>
  </r>
  <r>
    <x v="144"/>
    <s v="목"/>
    <x v="11"/>
    <s v="카페24"/>
    <m/>
    <n v="56"/>
    <x v="0"/>
    <s v="스테이포에버 2set"/>
    <n v="200720"/>
    <m/>
    <n v="3292800"/>
    <n v="3100171.2"/>
    <n v="311696"/>
    <n v="2993454.545454545"/>
    <s v="카페24고체향수스테이포에버 2set200720"/>
  </r>
  <r>
    <x v="144"/>
    <s v="목"/>
    <x v="11"/>
    <s v="카페24"/>
    <m/>
    <n v="5"/>
    <x v="0"/>
    <s v="이그나이트"/>
    <n v="200720"/>
    <m/>
    <n v="170000"/>
    <n v="160055"/>
    <n v="14440"/>
    <n v="154545.4545454545"/>
    <s v="카페24고체향수이그나이트200720"/>
  </r>
  <r>
    <x v="144"/>
    <s v="목"/>
    <x v="11"/>
    <s v="카페24"/>
    <m/>
    <n v="6"/>
    <x v="2"/>
    <s v="유즈쇼핑백"/>
    <n v="200720"/>
    <m/>
    <n v="12000"/>
    <n v="11298"/>
    <n v="7260"/>
    <n v="10909.09090909091"/>
    <s v="카페24쇼핑백유즈쇼핑백200720"/>
  </r>
  <r>
    <x v="145"/>
    <s v="금"/>
    <x v="11"/>
    <s v="카페24"/>
    <m/>
    <n v="17"/>
    <x v="0"/>
    <s v="이그나이트 + 스테이포에버"/>
    <n v="200720"/>
    <m/>
    <n v="999600"/>
    <n v="941123.4"/>
    <n v="96407"/>
    <n v="908727.2727272727"/>
    <s v="카페24고체향수이그나이트 + 스테이포에버200720"/>
  </r>
  <r>
    <x v="145"/>
    <s v="금"/>
    <x v="11"/>
    <s v="카페24"/>
    <m/>
    <n v="188"/>
    <x v="0"/>
    <s v="스테이포에버"/>
    <n v="200720"/>
    <m/>
    <n v="6392000"/>
    <n v="6018068"/>
    <n v="523204"/>
    <n v="5810909.090909091"/>
    <s v="카페24고체향수스테이포에버200720"/>
  </r>
  <r>
    <x v="145"/>
    <s v="금"/>
    <x v="11"/>
    <s v="카페24"/>
    <m/>
    <n v="56"/>
    <x v="0"/>
    <s v="스테이포에버 2set"/>
    <n v="200720"/>
    <m/>
    <n v="3292800"/>
    <n v="3100171.2"/>
    <n v="311696"/>
    <n v="2993454.545454545"/>
    <s v="카페24고체향수스테이포에버 2set200720"/>
  </r>
  <r>
    <x v="145"/>
    <s v="금"/>
    <x v="11"/>
    <s v="카페24"/>
    <m/>
    <n v="3"/>
    <x v="0"/>
    <s v="이그나이트"/>
    <n v="200720"/>
    <m/>
    <n v="102000"/>
    <n v="96033"/>
    <n v="8664"/>
    <n v="92727.27272727272"/>
    <s v="카페24고체향수이그나이트200720"/>
  </r>
  <r>
    <x v="145"/>
    <s v="금"/>
    <x v="11"/>
    <s v="카페24"/>
    <m/>
    <n v="6"/>
    <x v="2"/>
    <s v="유즈쇼핑백"/>
    <n v="200720"/>
    <m/>
    <n v="12000"/>
    <n v="11298"/>
    <n v="7260"/>
    <n v="10909.09090909091"/>
    <s v="카페24쇼핑백유즈쇼핑백200720"/>
  </r>
  <r>
    <x v="146"/>
    <s v="토"/>
    <x v="11"/>
    <s v="카페24"/>
    <m/>
    <n v="19"/>
    <x v="0"/>
    <s v="이그나이트 + 스테이포에버"/>
    <n v="200720"/>
    <m/>
    <n v="1117200"/>
    <n v="1051843.8"/>
    <n v="107749"/>
    <n v="1015636.363636364"/>
    <s v="카페24고체향수이그나이트 + 스테이포에버200720"/>
  </r>
  <r>
    <x v="146"/>
    <s v="토"/>
    <x v="11"/>
    <s v="카페24"/>
    <m/>
    <n v="241"/>
    <x v="0"/>
    <s v="스테이포에버"/>
    <n v="200720"/>
    <m/>
    <n v="8194000"/>
    <n v="7714651"/>
    <n v="670703"/>
    <n v="7449090.909090908"/>
    <s v="카페24고체향수스테이포에버200720"/>
  </r>
  <r>
    <x v="146"/>
    <s v="토"/>
    <x v="11"/>
    <s v="카페24"/>
    <m/>
    <n v="64"/>
    <x v="0"/>
    <s v="스테이포에버 2set"/>
    <n v="200720"/>
    <m/>
    <n v="3763200"/>
    <n v="3543052.8"/>
    <n v="356224"/>
    <n v="3421090.909090909"/>
    <s v="카페24고체향수스테이포에버 2set200720"/>
  </r>
  <r>
    <x v="146"/>
    <s v="토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146"/>
    <s v="토"/>
    <x v="11"/>
    <s v="카페24"/>
    <m/>
    <n v="4"/>
    <x v="2"/>
    <s v="유즈쇼핑백"/>
    <n v="200720"/>
    <m/>
    <n v="8000"/>
    <n v="7532"/>
    <n v="4840"/>
    <n v="7272.727272727272"/>
    <s v="카페24쇼핑백유즈쇼핑백200720"/>
  </r>
  <r>
    <x v="147"/>
    <s v="일"/>
    <x v="11"/>
    <s v="카페24"/>
    <m/>
    <n v="16"/>
    <x v="0"/>
    <s v="이그나이트 + 스테이포에버"/>
    <n v="200720"/>
    <m/>
    <n v="940800"/>
    <n v="885763.2"/>
    <n v="90736"/>
    <n v="855272.7272727272"/>
    <s v="카페24고체향수이그나이트 + 스테이포에버200720"/>
  </r>
  <r>
    <x v="147"/>
    <s v="일"/>
    <x v="11"/>
    <s v="카페24"/>
    <m/>
    <n v="220"/>
    <x v="0"/>
    <s v="스테이포에버"/>
    <n v="200720"/>
    <m/>
    <n v="7480000"/>
    <n v="7042420"/>
    <n v="612260"/>
    <n v="6799999.999999999"/>
    <s v="카페24고체향수스테이포에버200720"/>
  </r>
  <r>
    <x v="147"/>
    <s v="일"/>
    <x v="11"/>
    <s v="카페24"/>
    <m/>
    <n v="66"/>
    <x v="0"/>
    <s v="스테이포에버 2set"/>
    <n v="200720"/>
    <m/>
    <n v="3880800"/>
    <n v="3653773.2"/>
    <n v="367356"/>
    <n v="3528000"/>
    <s v="카페24고체향수스테이포에버 2set200720"/>
  </r>
  <r>
    <x v="147"/>
    <s v="일"/>
    <x v="11"/>
    <s v="카페24"/>
    <m/>
    <n v="2"/>
    <x v="0"/>
    <s v="이그나이트"/>
    <n v="200720"/>
    <m/>
    <n v="68000"/>
    <n v="64022"/>
    <n v="5776"/>
    <n v="61818.18181818182"/>
    <s v="카페24고체향수이그나이트200720"/>
  </r>
  <r>
    <x v="147"/>
    <s v="일"/>
    <x v="11"/>
    <s v="카페24"/>
    <m/>
    <n v="7"/>
    <x v="2"/>
    <s v="유즈쇼핑백"/>
    <n v="200720"/>
    <m/>
    <n v="14000"/>
    <n v="13181"/>
    <n v="8470"/>
    <n v="12727.27272727273"/>
    <s v="카페24쇼핑백유즈쇼핑백200720"/>
  </r>
  <r>
    <x v="148"/>
    <s v="월"/>
    <x v="11"/>
    <s v="카페24"/>
    <m/>
    <n v="14"/>
    <x v="0"/>
    <s v="이그나이트 + 스테이포에버"/>
    <n v="200720"/>
    <m/>
    <n v="823200"/>
    <n v="775042.8"/>
    <n v="79394"/>
    <n v="748363.6363636364"/>
    <s v="카페24고체향수이그나이트 + 스테이포에버200720"/>
  </r>
  <r>
    <x v="148"/>
    <s v="월"/>
    <x v="11"/>
    <s v="카페24"/>
    <m/>
    <n v="226"/>
    <x v="0"/>
    <s v="스테이포에버"/>
    <n v="200720"/>
    <m/>
    <n v="7684000"/>
    <n v="7234486"/>
    <n v="628958"/>
    <n v="6985454.545454545"/>
    <s v="카페24고체향수스테이포에버200720"/>
  </r>
  <r>
    <x v="148"/>
    <s v="월"/>
    <x v="11"/>
    <s v="카페24"/>
    <m/>
    <n v="52"/>
    <x v="0"/>
    <s v="스테이포에버 2set"/>
    <n v="200720"/>
    <m/>
    <n v="3057600"/>
    <n v="2878730.4"/>
    <n v="289432"/>
    <n v="2779636.363636363"/>
    <s v="카페24고체향수스테이포에버 2set200720"/>
  </r>
  <r>
    <x v="148"/>
    <s v="월"/>
    <x v="11"/>
    <s v="카페24"/>
    <m/>
    <n v="3"/>
    <x v="0"/>
    <s v="이그나이트"/>
    <n v="200720"/>
    <m/>
    <n v="102000"/>
    <n v="96033"/>
    <n v="8664"/>
    <n v="92727.27272727272"/>
    <s v="카페24고체향수이그나이트200720"/>
  </r>
  <r>
    <x v="148"/>
    <s v="월"/>
    <x v="11"/>
    <s v="카페24"/>
    <m/>
    <n v="5"/>
    <x v="2"/>
    <s v="유즈쇼핑백"/>
    <n v="200720"/>
    <m/>
    <n v="10000"/>
    <n v="9415"/>
    <n v="6050"/>
    <n v="9090.90909090909"/>
    <s v="카페24쇼핑백유즈쇼핑백200720"/>
  </r>
  <r>
    <x v="149"/>
    <s v="화"/>
    <x v="11"/>
    <s v="카페24"/>
    <m/>
    <n v="16"/>
    <x v="0"/>
    <s v="이그나이트 + 스테이포에버"/>
    <n v="200720"/>
    <m/>
    <n v="940800"/>
    <n v="885763.2"/>
    <n v="90736"/>
    <n v="855272.7272727272"/>
    <s v="카페24고체향수이그나이트 + 스테이포에버200720"/>
  </r>
  <r>
    <x v="149"/>
    <s v="화"/>
    <x v="11"/>
    <s v="카페24"/>
    <m/>
    <n v="224"/>
    <x v="0"/>
    <s v="스테이포에버"/>
    <n v="200720"/>
    <m/>
    <n v="7616000"/>
    <n v="7170464"/>
    <n v="623392"/>
    <n v="6923636.363636363"/>
    <s v="카페24고체향수스테이포에버200720"/>
  </r>
  <r>
    <x v="149"/>
    <s v="화"/>
    <x v="11"/>
    <s v="카페24"/>
    <m/>
    <n v="55"/>
    <x v="0"/>
    <s v="스테이포에버 2set"/>
    <n v="200720"/>
    <m/>
    <n v="3234000"/>
    <n v="3044811"/>
    <n v="306130"/>
    <n v="2940000"/>
    <s v="카페24고체향수스테이포에버 2set200720"/>
  </r>
  <r>
    <x v="149"/>
    <s v="화"/>
    <x v="11"/>
    <s v="카페24"/>
    <m/>
    <n v="4"/>
    <x v="0"/>
    <s v="이그나이트"/>
    <n v="200720"/>
    <m/>
    <n v="136000"/>
    <n v="128044"/>
    <n v="11552"/>
    <n v="123636.3636363636"/>
    <s v="카페24고체향수이그나이트200720"/>
  </r>
  <r>
    <x v="149"/>
    <s v="화"/>
    <x v="11"/>
    <s v="카페24"/>
    <m/>
    <n v="7"/>
    <x v="2"/>
    <s v="유즈쇼핑백"/>
    <n v="200720"/>
    <m/>
    <n v="14000"/>
    <n v="13181"/>
    <n v="8470"/>
    <n v="12727.27272727273"/>
    <s v="카페24쇼핑백유즈쇼핑백200720"/>
  </r>
  <r>
    <x v="150"/>
    <s v="수"/>
    <x v="11"/>
    <s v="카페24"/>
    <m/>
    <n v="16"/>
    <x v="0"/>
    <s v="이그나이트 + 스테이포에버"/>
    <n v="200720"/>
    <m/>
    <n v="940800"/>
    <n v="885763.2"/>
    <n v="90736"/>
    <n v="855272.7272727272"/>
    <s v="카페24고체향수이그나이트 + 스테이포에버200720"/>
  </r>
  <r>
    <x v="150"/>
    <s v="수"/>
    <x v="11"/>
    <s v="카페24"/>
    <m/>
    <n v="203"/>
    <x v="0"/>
    <s v="스테이포에버"/>
    <n v="200720"/>
    <m/>
    <n v="6902000"/>
    <n v="6498233"/>
    <n v="564949"/>
    <n v="6274545.454545454"/>
    <s v="카페24고체향수스테이포에버200720"/>
  </r>
  <r>
    <x v="150"/>
    <s v="수"/>
    <x v="11"/>
    <s v="카페24"/>
    <m/>
    <n v="61"/>
    <x v="0"/>
    <s v="스테이포에버 2set"/>
    <n v="200720"/>
    <m/>
    <n v="3586800"/>
    <n v="3376972.2"/>
    <n v="339526"/>
    <n v="3260727.272727272"/>
    <s v="카페24고체향수스테이포에버 2set200720"/>
  </r>
  <r>
    <x v="150"/>
    <s v="수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150"/>
    <s v="수"/>
    <x v="11"/>
    <s v="카페24"/>
    <m/>
    <n v="5"/>
    <x v="2"/>
    <s v="유즈쇼핑백"/>
    <n v="200720"/>
    <m/>
    <n v="10000"/>
    <n v="9415"/>
    <n v="6050"/>
    <n v="9090.90909090909"/>
    <s v="카페24쇼핑백유즈쇼핑백200720"/>
  </r>
  <r>
    <x v="151"/>
    <s v="목"/>
    <x v="11"/>
    <s v="카페24"/>
    <m/>
    <n v="14"/>
    <x v="0"/>
    <s v="이그나이트 + 스테이포에버"/>
    <n v="200720"/>
    <m/>
    <n v="823200"/>
    <n v="775042.8"/>
    <n v="79394"/>
    <n v="748363.6363636364"/>
    <s v="카페24고체향수이그나이트 + 스테이포에버200720"/>
  </r>
  <r>
    <x v="151"/>
    <s v="목"/>
    <x v="11"/>
    <s v="카페24"/>
    <m/>
    <n v="218"/>
    <x v="0"/>
    <s v="스테이포에버"/>
    <n v="200720"/>
    <m/>
    <n v="7412000"/>
    <n v="6978398"/>
    <n v="606694"/>
    <n v="6738181.818181817"/>
    <s v="카페24고체향수스테이포에버200720"/>
  </r>
  <r>
    <x v="151"/>
    <s v="목"/>
    <x v="11"/>
    <s v="카페24"/>
    <m/>
    <n v="73"/>
    <x v="0"/>
    <s v="스테이포에버 2set"/>
    <n v="200720"/>
    <m/>
    <n v="4292400"/>
    <n v="4041294.6"/>
    <n v="406318"/>
    <n v="3902181.818181818"/>
    <s v="카페24고체향수스테이포에버 2set200720"/>
  </r>
  <r>
    <x v="151"/>
    <s v="목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151"/>
    <s v="목"/>
    <x v="11"/>
    <s v="카페24"/>
    <m/>
    <n v="2"/>
    <x v="0"/>
    <s v="이그나이트 2set"/>
    <n v="200720"/>
    <m/>
    <n v="117600"/>
    <n v="110720.4"/>
    <n v="11552"/>
    <n v="106909.0909090909"/>
    <s v="카페24고체향수이그나이트 2set200720"/>
  </r>
  <r>
    <x v="151"/>
    <s v="목"/>
    <x v="11"/>
    <s v="카페24"/>
    <m/>
    <n v="3"/>
    <x v="2"/>
    <s v="유즈쇼핑백"/>
    <n v="200720"/>
    <m/>
    <n v="6000"/>
    <n v="5649"/>
    <n v="3630"/>
    <n v="5454.545454545454"/>
    <s v="카페24쇼핑백유즈쇼핑백200720"/>
  </r>
  <r>
    <x v="152"/>
    <s v="금"/>
    <x v="11"/>
    <s v="카페24"/>
    <m/>
    <n v="21"/>
    <x v="0"/>
    <s v="이그나이트 + 스테이포에버"/>
    <n v="200720"/>
    <m/>
    <n v="1234800"/>
    <n v="1162564.2"/>
    <n v="119091"/>
    <n v="1122545.454545454"/>
    <s v="카페24고체향수이그나이트 + 스테이포에버200720"/>
  </r>
  <r>
    <x v="152"/>
    <s v="금"/>
    <x v="11"/>
    <s v="카페24"/>
    <m/>
    <n v="219"/>
    <x v="0"/>
    <s v="스테이포에버"/>
    <n v="200720"/>
    <m/>
    <n v="7446000"/>
    <n v="7010409"/>
    <n v="609477"/>
    <n v="6769090.909090908"/>
    <s v="카페24고체향수스테이포에버200720"/>
  </r>
  <r>
    <x v="152"/>
    <s v="금"/>
    <x v="11"/>
    <s v="카페24"/>
    <m/>
    <n v="55"/>
    <x v="0"/>
    <s v="스테이포에버 2set"/>
    <n v="200720"/>
    <m/>
    <n v="3234000"/>
    <n v="3044811"/>
    <n v="306130"/>
    <n v="2940000"/>
    <s v="카페24고체향수스테이포에버 2set200720"/>
  </r>
  <r>
    <x v="152"/>
    <s v="금"/>
    <x v="11"/>
    <s v="카페24"/>
    <m/>
    <n v="7"/>
    <x v="0"/>
    <s v="이그나이트"/>
    <n v="200720"/>
    <m/>
    <n v="238000"/>
    <n v="224077"/>
    <n v="20216"/>
    <n v="216363.6363636364"/>
    <s v="카페24고체향수이그나이트200720"/>
  </r>
  <r>
    <x v="152"/>
    <s v="금"/>
    <x v="11"/>
    <s v="카페24"/>
    <m/>
    <n v="9"/>
    <x v="2"/>
    <s v="유즈쇼핑백"/>
    <n v="200720"/>
    <m/>
    <n v="18000"/>
    <n v="16947"/>
    <n v="10890"/>
    <n v="16363.63636363636"/>
    <s v="카페24쇼핑백유즈쇼핑백200720"/>
  </r>
  <r>
    <x v="153"/>
    <s v="토"/>
    <x v="11"/>
    <s v="카페24"/>
    <m/>
    <n v="15"/>
    <x v="0"/>
    <s v="이그나이트 + 스테이포에버"/>
    <n v="200720"/>
    <m/>
    <n v="882000"/>
    <n v="830403"/>
    <n v="85065"/>
    <n v="801818.1818181818"/>
    <s v="카페24고체향수이그나이트 + 스테이포에버200720"/>
  </r>
  <r>
    <x v="153"/>
    <s v="토"/>
    <x v="11"/>
    <s v="카페24"/>
    <m/>
    <n v="224"/>
    <x v="0"/>
    <s v="스테이포에버"/>
    <n v="200720"/>
    <m/>
    <n v="7616000"/>
    <n v="7170464"/>
    <n v="623392"/>
    <n v="6923636.363636363"/>
    <s v="카페24고체향수스테이포에버200720"/>
  </r>
  <r>
    <x v="153"/>
    <s v="토"/>
    <x v="11"/>
    <s v="카페24"/>
    <m/>
    <n v="66"/>
    <x v="0"/>
    <s v="스테이포에버 2set"/>
    <n v="200720"/>
    <m/>
    <n v="3880800"/>
    <n v="3653773.2"/>
    <n v="367356"/>
    <n v="3528000"/>
    <s v="카페24고체향수스테이포에버 2set200720"/>
  </r>
  <r>
    <x v="153"/>
    <s v="토"/>
    <x v="11"/>
    <s v="카페24"/>
    <m/>
    <n v="4"/>
    <x v="0"/>
    <s v="이그나이트"/>
    <n v="200720"/>
    <m/>
    <n v="136000"/>
    <n v="128044"/>
    <n v="11552"/>
    <n v="123636.3636363636"/>
    <s v="카페24고체향수이그나이트200720"/>
  </r>
  <r>
    <x v="153"/>
    <s v="토"/>
    <x v="11"/>
    <s v="카페24"/>
    <m/>
    <n v="2"/>
    <x v="0"/>
    <s v="이그나이트 2set"/>
    <n v="200720"/>
    <m/>
    <n v="117600"/>
    <n v="110720.4"/>
    <n v="11552"/>
    <n v="106909.0909090909"/>
    <s v="카페24고체향수이그나이트 2set200720"/>
  </r>
  <r>
    <x v="153"/>
    <s v="토"/>
    <x v="11"/>
    <s v="카페24"/>
    <m/>
    <n v="10"/>
    <x v="2"/>
    <s v="유즈쇼핑백"/>
    <n v="200720"/>
    <m/>
    <n v="20000"/>
    <n v="18830"/>
    <n v="12100"/>
    <n v="18181.81818181818"/>
    <s v="카페24쇼핑백유즈쇼핑백200720"/>
  </r>
  <r>
    <x v="154"/>
    <s v="일"/>
    <x v="11"/>
    <s v="카페24"/>
    <m/>
    <n v="10"/>
    <x v="0"/>
    <s v="이그나이트 + 스테이포에버"/>
    <n v="200720"/>
    <m/>
    <n v="588000"/>
    <n v="553602"/>
    <n v="56710"/>
    <n v="534545.4545454545"/>
    <s v="카페24고체향수이그나이트 + 스테이포에버200720"/>
  </r>
  <r>
    <x v="154"/>
    <s v="일"/>
    <x v="11"/>
    <s v="카페24"/>
    <m/>
    <n v="236"/>
    <x v="0"/>
    <s v="스테이포에버"/>
    <n v="200720"/>
    <m/>
    <n v="8024000"/>
    <n v="7554596"/>
    <n v="656788"/>
    <n v="7294545.454545454"/>
    <s v="카페24고체향수스테이포에버200720"/>
  </r>
  <r>
    <x v="154"/>
    <s v="일"/>
    <x v="11"/>
    <s v="카페24"/>
    <m/>
    <n v="67"/>
    <x v="0"/>
    <s v="스테이포에버 2set"/>
    <n v="200720"/>
    <m/>
    <n v="3939600"/>
    <n v="3709133.4"/>
    <n v="372922"/>
    <n v="3581454.545454545"/>
    <s v="카페24고체향수스테이포에버 2set200720"/>
  </r>
  <r>
    <x v="154"/>
    <s v="일"/>
    <x v="11"/>
    <s v="카페24"/>
    <m/>
    <n v="2"/>
    <x v="0"/>
    <s v="이그나이트"/>
    <n v="200720"/>
    <m/>
    <n v="68000"/>
    <n v="64022"/>
    <n v="5776"/>
    <n v="61818.18181818182"/>
    <s v="카페24고체향수이그나이트200720"/>
  </r>
  <r>
    <x v="154"/>
    <s v="일"/>
    <x v="11"/>
    <s v="카페24"/>
    <m/>
    <n v="9"/>
    <x v="2"/>
    <s v="유즈쇼핑백"/>
    <n v="200720"/>
    <m/>
    <n v="18000"/>
    <n v="16947"/>
    <n v="10890"/>
    <n v="16363.63636363636"/>
    <s v="카페24쇼핑백유즈쇼핑백200720"/>
  </r>
  <r>
    <x v="155"/>
    <s v="월"/>
    <x v="11"/>
    <s v="카페24"/>
    <m/>
    <n v="20"/>
    <x v="0"/>
    <s v="이그나이트 + 스테이포에버"/>
    <n v="200720"/>
    <m/>
    <n v="1176000"/>
    <n v="1107204"/>
    <n v="113420"/>
    <n v="1069090.909090909"/>
    <s v="카페24고체향수이그나이트 + 스테이포에버200720"/>
  </r>
  <r>
    <x v="155"/>
    <s v="월"/>
    <x v="11"/>
    <s v="카페24"/>
    <m/>
    <n v="228"/>
    <x v="0"/>
    <s v="스테이포에버"/>
    <n v="200720"/>
    <m/>
    <n v="7752000"/>
    <n v="7298508"/>
    <n v="634524"/>
    <n v="7047272.727272727"/>
    <s v="카페24고체향수스테이포에버200720"/>
  </r>
  <r>
    <x v="155"/>
    <s v="월"/>
    <x v="11"/>
    <s v="카페24"/>
    <m/>
    <n v="59"/>
    <x v="0"/>
    <s v="스테이포에버 2set"/>
    <n v="200720"/>
    <m/>
    <n v="3469200"/>
    <n v="3266251.8"/>
    <n v="328394"/>
    <n v="3153818.181818182"/>
    <s v="카페24고체향수스테이포에버 2set200720"/>
  </r>
  <r>
    <x v="155"/>
    <s v="월"/>
    <x v="11"/>
    <s v="카페24"/>
    <m/>
    <n v="3"/>
    <x v="0"/>
    <s v="이그나이트"/>
    <n v="200720"/>
    <m/>
    <n v="102000"/>
    <n v="96033"/>
    <n v="8664"/>
    <n v="92727.27272727272"/>
    <s v="카페24고체향수이그나이트200720"/>
  </r>
  <r>
    <x v="155"/>
    <s v="월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155"/>
    <s v="월"/>
    <x v="11"/>
    <s v="카페24"/>
    <m/>
    <n v="7"/>
    <x v="2"/>
    <s v="유즈쇼핑백"/>
    <n v="200720"/>
    <m/>
    <n v="14000"/>
    <n v="13181"/>
    <n v="8470"/>
    <n v="12727.27272727273"/>
    <s v="카페24쇼핑백유즈쇼핑백200720"/>
  </r>
  <r>
    <x v="156"/>
    <s v="화"/>
    <x v="11"/>
    <s v="카페24"/>
    <m/>
    <n v="17"/>
    <x v="0"/>
    <s v="이그나이트 + 스테이포에버"/>
    <n v="200720"/>
    <m/>
    <n v="999600"/>
    <n v="941123.4"/>
    <n v="96407"/>
    <n v="908727.2727272727"/>
    <s v="카페24고체향수이그나이트 + 스테이포에버200720"/>
  </r>
  <r>
    <x v="156"/>
    <s v="화"/>
    <x v="11"/>
    <s v="카페24"/>
    <m/>
    <n v="216"/>
    <x v="0"/>
    <s v="스테이포에버"/>
    <n v="200720"/>
    <m/>
    <n v="7344000"/>
    <n v="6914376"/>
    <n v="601128"/>
    <n v="6676363.636363636"/>
    <s v="카페24고체향수스테이포에버200720"/>
  </r>
  <r>
    <x v="156"/>
    <s v="화"/>
    <x v="11"/>
    <s v="카페24"/>
    <m/>
    <n v="56"/>
    <x v="0"/>
    <s v="스테이포에버 2set"/>
    <n v="200720"/>
    <m/>
    <n v="3292800"/>
    <n v="3100171.2"/>
    <n v="311696"/>
    <n v="2993454.545454545"/>
    <s v="카페24고체향수스테이포에버 2set200720"/>
  </r>
  <r>
    <x v="156"/>
    <s v="화"/>
    <x v="11"/>
    <s v="카페24"/>
    <m/>
    <n v="4"/>
    <x v="0"/>
    <s v="이그나이트"/>
    <n v="200720"/>
    <m/>
    <n v="136000"/>
    <n v="128044"/>
    <n v="11552"/>
    <n v="123636.3636363636"/>
    <s v="카페24고체향수이그나이트200720"/>
  </r>
  <r>
    <x v="156"/>
    <s v="화"/>
    <x v="11"/>
    <s v="카페24"/>
    <m/>
    <n v="3"/>
    <x v="2"/>
    <s v="유즈쇼핑백"/>
    <n v="200720"/>
    <m/>
    <n v="6000"/>
    <n v="5649"/>
    <n v="3630"/>
    <n v="5454.545454545454"/>
    <s v="카페24쇼핑백유즈쇼핑백200720"/>
  </r>
  <r>
    <x v="157"/>
    <s v="수"/>
    <x v="11"/>
    <s v="유즈 CS"/>
    <m/>
    <n v="5"/>
    <x v="0"/>
    <s v="스테이포에버"/>
    <n v="200520"/>
    <m/>
    <n v="0"/>
    <n v="0"/>
    <n v="13915"/>
    <n v="0"/>
    <s v="유즈 CS고체향수스테이포에버200520"/>
  </r>
  <r>
    <x v="157"/>
    <s v="수"/>
    <x v="11"/>
    <s v="유즈 CS"/>
    <m/>
    <n v="5"/>
    <x v="0"/>
    <s v="이그나이트"/>
    <n v="200520"/>
    <m/>
    <n v="0"/>
    <n v="0"/>
    <n v="14440"/>
    <n v="0"/>
    <s v="유즈 CS고체향수이그나이트200520"/>
  </r>
  <r>
    <x v="157"/>
    <s v="수"/>
    <x v="11"/>
    <s v="유즈 CS"/>
    <m/>
    <n v="5"/>
    <x v="2"/>
    <s v="유즈쇼핑백"/>
    <n v="200520"/>
    <m/>
    <n v="0"/>
    <n v="0"/>
    <n v="6050"/>
    <n v="0"/>
    <s v="유즈 CS쇼핑백유즈쇼핑백200520"/>
  </r>
  <r>
    <x v="157"/>
    <s v="수"/>
    <x v="11"/>
    <s v="카페24"/>
    <m/>
    <n v="25"/>
    <x v="0"/>
    <s v="이그나이트 + 스테이포에버"/>
    <n v="200720"/>
    <m/>
    <n v="1470000"/>
    <n v="1384005"/>
    <n v="141775"/>
    <n v="1336363.636363636"/>
    <s v="카페24고체향수이그나이트 + 스테이포에버200720"/>
  </r>
  <r>
    <x v="157"/>
    <s v="수"/>
    <x v="11"/>
    <s v="카페24"/>
    <m/>
    <n v="1"/>
    <x v="0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57"/>
    <s v="수"/>
    <x v="11"/>
    <s v="카페24"/>
    <m/>
    <n v="253"/>
    <x v="0"/>
    <s v="스테이포에버"/>
    <n v="200720"/>
    <m/>
    <n v="8602000"/>
    <n v="8098783"/>
    <n v="704099"/>
    <n v="7819999.999999999"/>
    <s v="카페24고체향수스테이포에버200720"/>
  </r>
  <r>
    <x v="157"/>
    <s v="수"/>
    <x v="11"/>
    <s v="카페24"/>
    <m/>
    <n v="59"/>
    <x v="0"/>
    <s v="스테이포에버 2set"/>
    <n v="200720"/>
    <m/>
    <n v="3469200"/>
    <n v="3266251.8"/>
    <n v="328394"/>
    <n v="3153818.181818182"/>
    <s v="카페24고체향수스테이포에버 2set200720"/>
  </r>
  <r>
    <x v="157"/>
    <s v="수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157"/>
    <s v="수"/>
    <x v="11"/>
    <s v="카페24"/>
    <m/>
    <n v="6"/>
    <x v="2"/>
    <s v="유즈쇼핑백"/>
    <n v="200720"/>
    <m/>
    <n v="12000"/>
    <n v="11298"/>
    <n v="7260"/>
    <n v="10909.09090909091"/>
    <s v="카페24쇼핑백유즈쇼핑백200720"/>
  </r>
  <r>
    <x v="158"/>
    <s v="목"/>
    <x v="11"/>
    <s v="카페24"/>
    <m/>
    <n v="10"/>
    <x v="0"/>
    <s v="이그나이트 + 스테이포에버"/>
    <n v="200720"/>
    <m/>
    <n v="588000"/>
    <n v="553602"/>
    <n v="56710"/>
    <n v="534545.4545454545"/>
    <s v="카페24고체향수이그나이트 + 스테이포에버200720"/>
  </r>
  <r>
    <x v="158"/>
    <s v="목"/>
    <x v="11"/>
    <s v="카페24"/>
    <m/>
    <n v="1"/>
    <x v="0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58"/>
    <s v="목"/>
    <x v="11"/>
    <s v="카페24"/>
    <m/>
    <n v="214"/>
    <x v="0"/>
    <s v="스테이포에버"/>
    <n v="200720"/>
    <m/>
    <n v="7276000"/>
    <n v="6850354"/>
    <n v="595562"/>
    <n v="6614545.454545454"/>
    <s v="카페24고체향수스테이포에버200720"/>
  </r>
  <r>
    <x v="158"/>
    <s v="목"/>
    <x v="11"/>
    <s v="카페24"/>
    <m/>
    <n v="65"/>
    <x v="0"/>
    <s v="스테이포에버 2set"/>
    <n v="200720"/>
    <m/>
    <n v="3822000"/>
    <n v="3598413"/>
    <n v="361790"/>
    <n v="3474545.454545454"/>
    <s v="카페24고체향수스테이포에버 2set200720"/>
  </r>
  <r>
    <x v="158"/>
    <s v="목"/>
    <x v="11"/>
    <s v="카페24"/>
    <m/>
    <n v="4"/>
    <x v="0"/>
    <s v="이그나이트"/>
    <n v="200720"/>
    <m/>
    <n v="136000"/>
    <n v="128044"/>
    <n v="11552"/>
    <n v="123636.3636363636"/>
    <s v="카페24고체향수이그나이트200720"/>
  </r>
  <r>
    <x v="158"/>
    <s v="목"/>
    <x v="11"/>
    <s v="카페24"/>
    <m/>
    <n v="7"/>
    <x v="2"/>
    <s v="유즈쇼핑백"/>
    <n v="200720"/>
    <m/>
    <n v="14000"/>
    <n v="13181"/>
    <n v="8470"/>
    <n v="12727.27272727273"/>
    <s v="카페24쇼핑백유즈쇼핑백200720"/>
  </r>
  <r>
    <x v="159"/>
    <s v="금"/>
    <x v="11"/>
    <s v="유즈 CS"/>
    <m/>
    <n v="2"/>
    <x v="0"/>
    <s v="스테이포에버"/>
    <n v="200520"/>
    <m/>
    <n v="0"/>
    <n v="0"/>
    <n v="5566"/>
    <n v="0"/>
    <s v="유즈 CS고체향수스테이포에버200520"/>
  </r>
  <r>
    <x v="159"/>
    <s v="금"/>
    <x v="11"/>
    <s v="카페24"/>
    <m/>
    <n v="13"/>
    <x v="0"/>
    <s v="이그나이트 + 스테이포에버"/>
    <n v="200720"/>
    <m/>
    <n v="764400"/>
    <n v="719682.6"/>
    <n v="73723"/>
    <n v="694909.0909090908"/>
    <s v="카페24고체향수이그나이트 + 스테이포에버200720"/>
  </r>
  <r>
    <x v="159"/>
    <s v="금"/>
    <x v="11"/>
    <s v="카페24"/>
    <m/>
    <n v="206"/>
    <x v="0"/>
    <s v="스테이포에버"/>
    <n v="200720"/>
    <m/>
    <n v="7004000"/>
    <n v="6594266"/>
    <n v="573298"/>
    <n v="6367272.727272727"/>
    <s v="카페24고체향수스테이포에버200720"/>
  </r>
  <r>
    <x v="159"/>
    <s v="금"/>
    <x v="11"/>
    <s v="카페24"/>
    <m/>
    <n v="54"/>
    <x v="0"/>
    <s v="스테이포에버 2set"/>
    <n v="200720"/>
    <m/>
    <n v="3175200"/>
    <n v="2989450.8"/>
    <n v="300564"/>
    <n v="2886545.454545454"/>
    <s v="카페24고체향수스테이포에버 2set200720"/>
  </r>
  <r>
    <x v="159"/>
    <s v="금"/>
    <x v="11"/>
    <s v="카페24"/>
    <m/>
    <n v="1"/>
    <x v="2"/>
    <s v="유즈쇼핑백"/>
    <n v="200720"/>
    <m/>
    <n v="2000"/>
    <n v="1883"/>
    <n v="1210"/>
    <n v="1818.181818181818"/>
    <s v="카페24쇼핑백유즈쇼핑백200720"/>
  </r>
  <r>
    <x v="160"/>
    <s v="토"/>
    <x v="11"/>
    <s v="카페24"/>
    <m/>
    <n v="17"/>
    <x v="0"/>
    <s v="이그나이트 + 스테이포에버"/>
    <n v="200720"/>
    <m/>
    <n v="999600"/>
    <n v="941123.4"/>
    <n v="96407"/>
    <n v="908727.2727272727"/>
    <s v="카페24고체향수이그나이트 + 스테이포에버200720"/>
  </r>
  <r>
    <x v="160"/>
    <s v="토"/>
    <x v="11"/>
    <s v="카페24"/>
    <m/>
    <n v="243"/>
    <x v="0"/>
    <s v="스테이포에버"/>
    <n v="200720"/>
    <m/>
    <n v="8262000"/>
    <n v="7778673"/>
    <n v="676269"/>
    <n v="7510909.09090909"/>
    <s v="카페24고체향수스테이포에버200720"/>
  </r>
  <r>
    <x v="160"/>
    <s v="토"/>
    <x v="11"/>
    <s v="카페24"/>
    <m/>
    <n v="59"/>
    <x v="0"/>
    <s v="스테이포에버 2set"/>
    <n v="200720"/>
    <m/>
    <n v="3469200"/>
    <n v="3266251.8"/>
    <n v="328394"/>
    <n v="3153818.181818182"/>
    <s v="카페24고체향수스테이포에버 2set200720"/>
  </r>
  <r>
    <x v="160"/>
    <s v="토"/>
    <x v="11"/>
    <s v="카페24"/>
    <m/>
    <n v="2"/>
    <x v="0"/>
    <s v="이그나이트"/>
    <n v="200720"/>
    <m/>
    <n v="68000"/>
    <n v="64022"/>
    <n v="5776"/>
    <n v="61818.18181818182"/>
    <s v="카페24고체향수이그나이트200720"/>
  </r>
  <r>
    <x v="160"/>
    <s v="토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160"/>
    <s v="토"/>
    <x v="11"/>
    <s v="카페24"/>
    <m/>
    <n v="8"/>
    <x v="2"/>
    <s v="유즈쇼핑백"/>
    <n v="200720"/>
    <m/>
    <n v="16000"/>
    <n v="15064"/>
    <n v="9680"/>
    <n v="14545.45454545454"/>
    <s v="카페24쇼핑백유즈쇼핑백200720"/>
  </r>
  <r>
    <x v="161"/>
    <s v="일"/>
    <x v="11"/>
    <s v="카페24"/>
    <m/>
    <n v="14"/>
    <x v="0"/>
    <s v="이그나이트 + 스테이포에버"/>
    <n v="200720"/>
    <m/>
    <n v="823200"/>
    <n v="775042.8"/>
    <n v="79394"/>
    <n v="748363.6363636364"/>
    <s v="카페24고체향수이그나이트 + 스테이포에버200720"/>
  </r>
  <r>
    <x v="161"/>
    <s v="일"/>
    <x v="11"/>
    <s v="카페24"/>
    <m/>
    <n v="291"/>
    <x v="0"/>
    <s v="스테이포에버"/>
    <n v="200720"/>
    <m/>
    <n v="9894000"/>
    <n v="9315201"/>
    <n v="809853"/>
    <n v="8994545.454545453"/>
    <s v="카페24고체향수스테이포에버200720"/>
  </r>
  <r>
    <x v="161"/>
    <s v="일"/>
    <x v="11"/>
    <s v="카페24"/>
    <m/>
    <n v="71"/>
    <x v="0"/>
    <s v="스테이포에버 2set"/>
    <n v="200720"/>
    <m/>
    <n v="4174800"/>
    <n v="3930574.2"/>
    <n v="395186"/>
    <n v="3795272.727272727"/>
    <s v="카페24고체향수스테이포에버 2set200720"/>
  </r>
  <r>
    <x v="161"/>
    <s v="일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161"/>
    <s v="일"/>
    <x v="11"/>
    <s v="카페24"/>
    <m/>
    <n v="7"/>
    <x v="2"/>
    <s v="유즈쇼핑백"/>
    <n v="200720"/>
    <m/>
    <n v="14000"/>
    <n v="13181"/>
    <n v="8470"/>
    <n v="12727.27272727273"/>
    <s v="카페24쇼핑백유즈쇼핑백200720"/>
  </r>
  <r>
    <x v="162"/>
    <s v="월"/>
    <x v="11"/>
    <s v="카페24"/>
    <m/>
    <n v="17"/>
    <x v="0"/>
    <s v="이그나이트 + 스테이포에버"/>
    <n v="200720"/>
    <m/>
    <n v="999600"/>
    <n v="941123.4"/>
    <n v="96407"/>
    <n v="908727.2727272727"/>
    <s v="카페24고체향수이그나이트 + 스테이포에버200720"/>
  </r>
  <r>
    <x v="162"/>
    <s v="월"/>
    <x v="11"/>
    <s v="카페24"/>
    <m/>
    <n v="267"/>
    <x v="0"/>
    <s v="스테이포에버"/>
    <n v="200720"/>
    <m/>
    <n v="9078000"/>
    <n v="8546937"/>
    <n v="743061"/>
    <n v="8252727.272727272"/>
    <s v="카페24고체향수스테이포에버200720"/>
  </r>
  <r>
    <x v="162"/>
    <s v="월"/>
    <x v="11"/>
    <s v="카페24"/>
    <m/>
    <n v="66"/>
    <x v="0"/>
    <s v="스테이포에버 2set"/>
    <n v="200720"/>
    <m/>
    <n v="3880800"/>
    <n v="3653773.2"/>
    <n v="367356"/>
    <n v="3528000"/>
    <s v="카페24고체향수스테이포에버 2set200720"/>
  </r>
  <r>
    <x v="162"/>
    <s v="월"/>
    <x v="11"/>
    <s v="카페24"/>
    <m/>
    <n v="3"/>
    <x v="0"/>
    <s v="이그나이트"/>
    <n v="200720"/>
    <m/>
    <n v="102000"/>
    <n v="96033"/>
    <n v="8664"/>
    <n v="92727.27272727272"/>
    <s v="카페24고체향수이그나이트200720"/>
  </r>
  <r>
    <x v="162"/>
    <s v="월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162"/>
    <s v="월"/>
    <x v="11"/>
    <s v="카페24"/>
    <m/>
    <n v="10"/>
    <x v="2"/>
    <s v="유즈쇼핑백"/>
    <n v="200720"/>
    <m/>
    <n v="20000"/>
    <n v="18830"/>
    <n v="12100"/>
    <n v="18181.81818181818"/>
    <s v="카페24쇼핑백유즈쇼핑백200720"/>
  </r>
  <r>
    <x v="163"/>
    <s v="화"/>
    <x v="11"/>
    <s v="카페24"/>
    <m/>
    <n v="25"/>
    <x v="0"/>
    <s v="이그나이트 + 스테이포에버"/>
    <n v="200720"/>
    <m/>
    <n v="1470000"/>
    <n v="1384005"/>
    <n v="141775"/>
    <n v="1336363.636363636"/>
    <s v="카페24고체향수이그나이트 + 스테이포에버200720"/>
  </r>
  <r>
    <x v="163"/>
    <s v="화"/>
    <x v="11"/>
    <s v="카페24"/>
    <m/>
    <n v="270"/>
    <x v="0"/>
    <s v="스테이포에버"/>
    <n v="200720"/>
    <m/>
    <n v="9180000"/>
    <n v="8642970"/>
    <n v="751410"/>
    <n v="8345454.545454545"/>
    <s v="카페24고체향수스테이포에버200720"/>
  </r>
  <r>
    <x v="163"/>
    <s v="화"/>
    <x v="11"/>
    <s v="카페24"/>
    <m/>
    <n v="83"/>
    <x v="0"/>
    <s v="스테이포에버 2set"/>
    <n v="200720"/>
    <m/>
    <n v="4880400"/>
    <n v="4594896.6"/>
    <n v="461978"/>
    <n v="4436727.272727272"/>
    <s v="카페24고체향수스테이포에버 2set200720"/>
  </r>
  <r>
    <x v="163"/>
    <s v="화"/>
    <x v="11"/>
    <s v="카페24"/>
    <m/>
    <n v="3"/>
    <x v="0"/>
    <s v="이그나이트"/>
    <n v="200720"/>
    <m/>
    <n v="102000"/>
    <n v="96033"/>
    <n v="8664"/>
    <n v="92727.27272727272"/>
    <s v="카페24고체향수이그나이트200720"/>
  </r>
  <r>
    <x v="163"/>
    <s v="화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163"/>
    <s v="화"/>
    <x v="11"/>
    <s v="카페24"/>
    <m/>
    <n v="6"/>
    <x v="2"/>
    <s v="유즈쇼핑백"/>
    <n v="200720"/>
    <m/>
    <n v="12000"/>
    <n v="11298"/>
    <n v="7260"/>
    <n v="10909.09090909091"/>
    <s v="카페24쇼핑백유즈쇼핑백200720"/>
  </r>
  <r>
    <x v="164"/>
    <s v="수"/>
    <x v="11"/>
    <s v="카페24"/>
    <m/>
    <n v="19"/>
    <x v="0"/>
    <s v="이그나이트 + 스테이포에버"/>
    <n v="200720"/>
    <m/>
    <n v="1117200"/>
    <n v="1051843.8"/>
    <n v="107749"/>
    <n v="1015636.363636364"/>
    <s v="카페24고체향수이그나이트 + 스테이포에버200720"/>
  </r>
  <r>
    <x v="164"/>
    <s v="수"/>
    <x v="11"/>
    <s v="카페24"/>
    <m/>
    <n v="260"/>
    <x v="0"/>
    <s v="스테이포에버"/>
    <n v="200720"/>
    <m/>
    <n v="8840000"/>
    <n v="8322860"/>
    <n v="723580"/>
    <n v="8036363.636363636"/>
    <s v="카페24고체향수스테이포에버200720"/>
  </r>
  <r>
    <x v="164"/>
    <s v="수"/>
    <x v="11"/>
    <s v="카페24"/>
    <m/>
    <n v="70"/>
    <x v="0"/>
    <s v="스테이포에버 2set"/>
    <n v="200720"/>
    <m/>
    <n v="4116000"/>
    <n v="3875214"/>
    <n v="389620"/>
    <n v="3741818.181818182"/>
    <s v="카페24고체향수스테이포에버 2set200720"/>
  </r>
  <r>
    <x v="164"/>
    <s v="수"/>
    <x v="11"/>
    <s v="카페24"/>
    <m/>
    <n v="3"/>
    <x v="0"/>
    <s v="이그나이트"/>
    <n v="200720"/>
    <m/>
    <n v="102000"/>
    <n v="96033"/>
    <n v="8664"/>
    <n v="92727.27272727272"/>
    <s v="카페24고체향수이그나이트200720"/>
  </r>
  <r>
    <x v="164"/>
    <s v="수"/>
    <x v="11"/>
    <s v="카페24"/>
    <m/>
    <n v="2"/>
    <x v="0"/>
    <s v="이그나이트 2set"/>
    <n v="200720"/>
    <m/>
    <n v="117600"/>
    <n v="110720.4"/>
    <n v="11552"/>
    <n v="106909.0909090909"/>
    <s v="카페24고체향수이그나이트 2set200720"/>
  </r>
  <r>
    <x v="164"/>
    <s v="수"/>
    <x v="11"/>
    <s v="카페24"/>
    <m/>
    <n v="9"/>
    <x v="2"/>
    <s v="유즈쇼핑백"/>
    <n v="200720"/>
    <m/>
    <n v="18000"/>
    <n v="16947"/>
    <n v="10890"/>
    <n v="16363.63636363636"/>
    <s v="카페24쇼핑백유즈쇼핑백200720"/>
  </r>
  <r>
    <x v="165"/>
    <s v="목"/>
    <x v="11"/>
    <s v="카페24"/>
    <m/>
    <n v="15"/>
    <x v="0"/>
    <s v="이그나이트 + 스테이포에버"/>
    <n v="200720"/>
    <m/>
    <n v="882000"/>
    <n v="830403"/>
    <n v="85065"/>
    <n v="801818.1818181818"/>
    <s v="카페24고체향수이그나이트 + 스테이포에버200720"/>
  </r>
  <r>
    <x v="165"/>
    <s v="목"/>
    <x v="11"/>
    <s v="카페24"/>
    <m/>
    <n v="258"/>
    <x v="0"/>
    <s v="스테이포에버"/>
    <n v="200720"/>
    <m/>
    <n v="8772000"/>
    <n v="8258838"/>
    <n v="718014"/>
    <n v="7974545.454545454"/>
    <s v="카페24고체향수스테이포에버200720"/>
  </r>
  <r>
    <x v="165"/>
    <s v="목"/>
    <x v="11"/>
    <s v="카페24"/>
    <m/>
    <n v="61"/>
    <x v="0"/>
    <s v="스테이포에버 2set"/>
    <n v="200720"/>
    <m/>
    <n v="3586800"/>
    <n v="3376972.2"/>
    <n v="339526"/>
    <n v="3260727.272727272"/>
    <s v="카페24고체향수스테이포에버 2set200720"/>
  </r>
  <r>
    <x v="165"/>
    <s v="목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165"/>
    <s v="목"/>
    <x v="11"/>
    <s v="카페24"/>
    <m/>
    <n v="2"/>
    <x v="0"/>
    <s v="이그나이트 2set"/>
    <n v="200720"/>
    <m/>
    <n v="117600"/>
    <n v="110720.4"/>
    <n v="11552"/>
    <n v="106909.0909090909"/>
    <s v="카페24고체향수이그나이트 2set200720"/>
  </r>
  <r>
    <x v="165"/>
    <s v="목"/>
    <x v="11"/>
    <s v="카페24"/>
    <m/>
    <n v="2"/>
    <x v="2"/>
    <s v="유즈쇼핑백"/>
    <n v="200720"/>
    <m/>
    <n v="4000"/>
    <n v="3766"/>
    <n v="2420"/>
    <n v="3636.363636363636"/>
    <s v="카페24쇼핑백유즈쇼핑백200720"/>
  </r>
  <r>
    <x v="166"/>
    <s v="금"/>
    <x v="11"/>
    <s v="카페24"/>
    <m/>
    <n v="19"/>
    <x v="0"/>
    <s v="이그나이트 + 스테이포에버"/>
    <n v="200720"/>
    <m/>
    <n v="1117200"/>
    <n v="1051843.8"/>
    <n v="107749"/>
    <n v="1015636.363636364"/>
    <s v="카페24고체향수이그나이트 + 스테이포에버200720"/>
  </r>
  <r>
    <x v="166"/>
    <s v="금"/>
    <x v="11"/>
    <s v="카페24"/>
    <m/>
    <n v="230"/>
    <x v="0"/>
    <s v="스테이포에버"/>
    <n v="200720"/>
    <m/>
    <n v="7820000"/>
    <n v="7362530"/>
    <n v="640090"/>
    <n v="7109090.909090908"/>
    <s v="카페24고체향수스테이포에버200720"/>
  </r>
  <r>
    <x v="166"/>
    <s v="금"/>
    <x v="11"/>
    <s v="카페24"/>
    <m/>
    <n v="77"/>
    <x v="0"/>
    <s v="스테이포에버 2set"/>
    <n v="200720"/>
    <m/>
    <n v="4527600"/>
    <n v="4262735.4"/>
    <n v="428582"/>
    <n v="4116000"/>
    <s v="카페24고체향수스테이포에버 2set200720"/>
  </r>
  <r>
    <x v="166"/>
    <s v="금"/>
    <x v="11"/>
    <s v="카페24"/>
    <m/>
    <n v="2"/>
    <x v="0"/>
    <s v="이그나이트"/>
    <n v="200720"/>
    <m/>
    <n v="68000"/>
    <n v="64022"/>
    <n v="5776"/>
    <n v="61818.18181818182"/>
    <s v="카페24고체향수이그나이트200720"/>
  </r>
  <r>
    <x v="166"/>
    <s v="금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166"/>
    <s v="금"/>
    <x v="11"/>
    <s v="카페24"/>
    <m/>
    <n v="7"/>
    <x v="2"/>
    <s v="유즈쇼핑백"/>
    <n v="200720"/>
    <m/>
    <n v="14000"/>
    <n v="13181"/>
    <n v="8470"/>
    <n v="12727.27272727273"/>
    <s v="카페24쇼핑백유즈쇼핑백200720"/>
  </r>
  <r>
    <x v="167"/>
    <s v="토"/>
    <x v="11"/>
    <s v="카페24"/>
    <m/>
    <n v="23"/>
    <x v="0"/>
    <s v="이그나이트 + 스테이포에버"/>
    <n v="200720"/>
    <m/>
    <n v="1352400"/>
    <n v="1273284.6"/>
    <n v="130433"/>
    <n v="1229454.545454545"/>
    <s v="카페24고체향수이그나이트 + 스테이포에버200720"/>
  </r>
  <r>
    <x v="167"/>
    <s v="토"/>
    <x v="11"/>
    <s v="카페24"/>
    <m/>
    <n v="280"/>
    <x v="0"/>
    <s v="스테이포에버"/>
    <n v="200720"/>
    <m/>
    <n v="9520000"/>
    <n v="8963080"/>
    <n v="779240"/>
    <n v="8654545.454545453"/>
    <s v="카페24고체향수스테이포에버200720"/>
  </r>
  <r>
    <x v="167"/>
    <s v="토"/>
    <x v="11"/>
    <s v="카페24"/>
    <m/>
    <n v="75"/>
    <x v="0"/>
    <s v="스테이포에버 2set"/>
    <n v="200720"/>
    <m/>
    <n v="4410000"/>
    <n v="4152015"/>
    <n v="417450"/>
    <n v="4009090.909090909"/>
    <s v="카페24고체향수스테이포에버 2set200720"/>
  </r>
  <r>
    <x v="167"/>
    <s v="토"/>
    <x v="11"/>
    <s v="카페24"/>
    <m/>
    <n v="4"/>
    <x v="0"/>
    <s v="이그나이트 2set"/>
    <n v="200720"/>
    <m/>
    <n v="235200"/>
    <n v="221440.8"/>
    <n v="23104"/>
    <n v="213818.1818181818"/>
    <s v="카페24고체향수이그나이트 2set200720"/>
  </r>
  <r>
    <x v="167"/>
    <s v="토"/>
    <x v="11"/>
    <s v="카페24"/>
    <m/>
    <n v="8"/>
    <x v="2"/>
    <s v="유즈쇼핑백"/>
    <n v="200720"/>
    <m/>
    <n v="16000"/>
    <n v="15064"/>
    <n v="9680"/>
    <n v="14545.45454545454"/>
    <s v="카페24쇼핑백유즈쇼핑백200720"/>
  </r>
  <r>
    <x v="168"/>
    <s v="일"/>
    <x v="11"/>
    <s v="카페24"/>
    <m/>
    <n v="19"/>
    <x v="0"/>
    <s v="이그나이트 + 스테이포에버"/>
    <n v="200720"/>
    <m/>
    <n v="1117200"/>
    <n v="1051843.8"/>
    <n v="107749"/>
    <n v="1015636.363636364"/>
    <s v="카페24고체향수이그나이트 + 스테이포에버200720"/>
  </r>
  <r>
    <x v="168"/>
    <s v="일"/>
    <x v="11"/>
    <s v="카페24"/>
    <m/>
    <n v="1"/>
    <x v="0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68"/>
    <s v="일"/>
    <x v="11"/>
    <s v="카페24"/>
    <m/>
    <n v="255"/>
    <x v="0"/>
    <s v="스테이포에버"/>
    <n v="200720"/>
    <m/>
    <n v="8670000"/>
    <n v="8162805"/>
    <n v="709665"/>
    <n v="7881818.181818181"/>
    <s v="카페24고체향수스테이포에버200720"/>
  </r>
  <r>
    <x v="168"/>
    <s v="일"/>
    <x v="11"/>
    <s v="카페24"/>
    <m/>
    <n v="76"/>
    <x v="0"/>
    <s v="스테이포에버 2set"/>
    <n v="200720"/>
    <m/>
    <n v="4468800"/>
    <n v="4207375.2"/>
    <n v="423016"/>
    <n v="4062545.454545454"/>
    <s v="카페24고체향수스테이포에버 2set200720"/>
  </r>
  <r>
    <x v="168"/>
    <s v="일"/>
    <x v="11"/>
    <s v="카페24"/>
    <m/>
    <n v="2"/>
    <x v="0"/>
    <s v="이그나이트"/>
    <n v="200720"/>
    <m/>
    <n v="68000"/>
    <n v="64022"/>
    <n v="5776"/>
    <n v="61818.18181818182"/>
    <s v="카페24고체향수이그나이트200720"/>
  </r>
  <r>
    <x v="168"/>
    <s v="일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168"/>
    <s v="일"/>
    <x v="11"/>
    <s v="카페24"/>
    <m/>
    <n v="9"/>
    <x v="2"/>
    <s v="유즈쇼핑백"/>
    <n v="200720"/>
    <m/>
    <n v="18000"/>
    <n v="16947"/>
    <n v="10890"/>
    <n v="16363.63636363636"/>
    <s v="카페24쇼핑백유즈쇼핑백200720"/>
  </r>
  <r>
    <x v="169"/>
    <s v="월"/>
    <x v="11"/>
    <s v="카페24"/>
    <m/>
    <n v="22"/>
    <x v="0"/>
    <s v="이그나이트 + 스테이포에버"/>
    <n v="200720"/>
    <m/>
    <n v="1293600"/>
    <n v="1217924.4"/>
    <n v="124762"/>
    <n v="1176000"/>
    <s v="카페24고체향수이그나이트 + 스테이포에버200720"/>
  </r>
  <r>
    <x v="169"/>
    <s v="월"/>
    <x v="11"/>
    <s v="카페24"/>
    <m/>
    <n v="237"/>
    <x v="0"/>
    <s v="스테이포에버"/>
    <n v="200720"/>
    <m/>
    <n v="8058000"/>
    <n v="7586607"/>
    <n v="659571"/>
    <n v="7325454.545454545"/>
    <s v="카페24고체향수스테이포에버200720"/>
  </r>
  <r>
    <x v="169"/>
    <s v="월"/>
    <x v="11"/>
    <s v="카페24"/>
    <m/>
    <n v="47"/>
    <x v="0"/>
    <s v="스테이포에버 2set"/>
    <n v="200720"/>
    <m/>
    <n v="2763600"/>
    <n v="2601929.4"/>
    <n v="261602"/>
    <n v="2512363.636363636"/>
    <s v="카페24고체향수스테이포에버 2set200720"/>
  </r>
  <r>
    <x v="169"/>
    <s v="월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169"/>
    <s v="월"/>
    <x v="11"/>
    <s v="카페24"/>
    <m/>
    <n v="3"/>
    <x v="2"/>
    <s v="유즈쇼핑백"/>
    <n v="200720"/>
    <m/>
    <n v="6000"/>
    <n v="5649"/>
    <n v="3630"/>
    <n v="5454.545454545454"/>
    <s v="카페24쇼핑백유즈쇼핑백200720"/>
  </r>
  <r>
    <x v="170"/>
    <s v="화"/>
    <x v="11"/>
    <s v="카페24"/>
    <m/>
    <n v="27"/>
    <x v="0"/>
    <s v="이그나이트 + 스테이포에버"/>
    <n v="200720"/>
    <m/>
    <n v="1587600"/>
    <n v="1494725.4"/>
    <n v="153117"/>
    <n v="1443272.727272727"/>
    <s v="카페24고체향수이그나이트 + 스테이포에버200720"/>
  </r>
  <r>
    <x v="170"/>
    <s v="화"/>
    <x v="11"/>
    <s v="카페24"/>
    <m/>
    <n v="1"/>
    <x v="0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70"/>
    <s v="화"/>
    <x v="11"/>
    <s v="카페24"/>
    <m/>
    <n v="250"/>
    <x v="0"/>
    <s v="스테이포에버"/>
    <n v="200720"/>
    <m/>
    <n v="8500000"/>
    <n v="8002750"/>
    <n v="695750"/>
    <n v="7727272.727272727"/>
    <s v="카페24고체향수스테이포에버200720"/>
  </r>
  <r>
    <x v="170"/>
    <s v="화"/>
    <x v="11"/>
    <s v="카페24"/>
    <m/>
    <n v="68"/>
    <x v="0"/>
    <s v="스테이포에버 2set"/>
    <n v="200720"/>
    <m/>
    <n v="3998400"/>
    <n v="3764493.6"/>
    <n v="378488"/>
    <n v="3634909.090909091"/>
    <s v="카페24고체향수스테이포에버 2set200720"/>
  </r>
  <r>
    <x v="170"/>
    <s v="화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170"/>
    <s v="화"/>
    <x v="11"/>
    <s v="카페24"/>
    <m/>
    <n v="12"/>
    <x v="2"/>
    <s v="유즈쇼핑백"/>
    <n v="200720"/>
    <m/>
    <n v="24000"/>
    <n v="22596"/>
    <n v="14520"/>
    <n v="21818.18181818182"/>
    <s v="카페24쇼핑백유즈쇼핑백200720"/>
  </r>
  <r>
    <x v="171"/>
    <s v="수"/>
    <x v="11"/>
    <s v="카페24"/>
    <m/>
    <n v="35"/>
    <x v="0"/>
    <s v="이그나이트 + 스테이포에버"/>
    <n v="200720"/>
    <m/>
    <n v="2058000"/>
    <n v="1937607"/>
    <n v="198485"/>
    <n v="1870909.090909091"/>
    <s v="카페24고체향수이그나이트 + 스테이포에버200720"/>
  </r>
  <r>
    <x v="171"/>
    <s v="수"/>
    <x v="11"/>
    <s v="카페24"/>
    <m/>
    <n v="294"/>
    <x v="0"/>
    <s v="스테이포에버"/>
    <n v="200720"/>
    <m/>
    <n v="9996000"/>
    <n v="9411234"/>
    <n v="818202"/>
    <n v="9087272.727272727"/>
    <s v="카페24고체향수스테이포에버200720"/>
  </r>
  <r>
    <x v="171"/>
    <s v="수"/>
    <x v="11"/>
    <s v="카페24"/>
    <m/>
    <n v="83"/>
    <x v="0"/>
    <s v="스테이포에버 2set"/>
    <n v="200720"/>
    <m/>
    <n v="4880400"/>
    <n v="4594896.6"/>
    <n v="461978"/>
    <n v="4436727.272727272"/>
    <s v="카페24고체향수스테이포에버 2set200720"/>
  </r>
  <r>
    <x v="171"/>
    <s v="수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171"/>
    <s v="수"/>
    <x v="11"/>
    <s v="카페24"/>
    <m/>
    <n v="7"/>
    <x v="2"/>
    <s v="유즈쇼핑백"/>
    <n v="200720"/>
    <m/>
    <n v="14000"/>
    <n v="13181"/>
    <n v="8470"/>
    <n v="12727.27272727273"/>
    <s v="카페24쇼핑백유즈쇼핑백200720"/>
  </r>
  <r>
    <x v="172"/>
    <s v="목"/>
    <x v="11"/>
    <s v="카페24"/>
    <m/>
    <n v="22"/>
    <x v="0"/>
    <s v="이그나이트 + 스테이포에버"/>
    <n v="200720"/>
    <m/>
    <n v="1293600"/>
    <n v="1217924.4"/>
    <n v="124762"/>
    <n v="1176000"/>
    <s v="카페24고체향수이그나이트 + 스테이포에버200720"/>
  </r>
  <r>
    <x v="172"/>
    <s v="목"/>
    <x v="11"/>
    <s v="카페24"/>
    <m/>
    <n v="264"/>
    <x v="0"/>
    <s v="스테이포에버"/>
    <n v="200720"/>
    <m/>
    <n v="8976000"/>
    <n v="8450904"/>
    <n v="734712"/>
    <n v="8159999.999999999"/>
    <s v="카페24고체향수스테이포에버200720"/>
  </r>
  <r>
    <x v="172"/>
    <s v="목"/>
    <x v="11"/>
    <s v="카페24"/>
    <m/>
    <n v="75"/>
    <x v="0"/>
    <s v="스테이포에버 2set"/>
    <n v="200720"/>
    <m/>
    <n v="4410000"/>
    <n v="4152015"/>
    <n v="417450"/>
    <n v="4009090.909090909"/>
    <s v="카페24고체향수스테이포에버 2set200720"/>
  </r>
  <r>
    <x v="172"/>
    <s v="목"/>
    <x v="11"/>
    <s v="카페24"/>
    <m/>
    <n v="3"/>
    <x v="0"/>
    <s v="이그나이트"/>
    <n v="200720"/>
    <m/>
    <n v="102000"/>
    <n v="96033"/>
    <n v="8664"/>
    <n v="92727.27272727272"/>
    <s v="카페24고체향수이그나이트200720"/>
  </r>
  <r>
    <x v="172"/>
    <s v="목"/>
    <x v="11"/>
    <s v="카페24"/>
    <m/>
    <n v="8"/>
    <x v="2"/>
    <s v="유즈쇼핑백"/>
    <n v="200720"/>
    <m/>
    <n v="16000"/>
    <n v="15064"/>
    <n v="9680"/>
    <n v="14545.45454545454"/>
    <s v="카페24쇼핑백유즈쇼핑백200720"/>
  </r>
  <r>
    <x v="172"/>
    <s v="목"/>
    <x v="11"/>
    <s v="유즈 CS"/>
    <m/>
    <n v="3"/>
    <x v="0"/>
    <s v="이그나이트"/>
    <n v="200520"/>
    <m/>
    <n v="0"/>
    <n v="0"/>
    <n v="8664"/>
    <n v="0"/>
    <s v="유즈 CS고체향수이그나이트200520"/>
  </r>
  <r>
    <x v="173"/>
    <s v="금"/>
    <x v="11"/>
    <s v="유즈 CS"/>
    <m/>
    <n v="3"/>
    <x v="0"/>
    <s v="스테이포에버"/>
    <n v="200520"/>
    <m/>
    <n v="0"/>
    <n v="0"/>
    <n v="8349"/>
    <n v="0"/>
    <s v="유즈 CS고체향수스테이포에버200520"/>
  </r>
  <r>
    <x v="173"/>
    <s v="금"/>
    <x v="11"/>
    <s v="카페24"/>
    <m/>
    <n v="20"/>
    <x v="0"/>
    <s v="이그나이트 + 스테이포에버"/>
    <n v="200720"/>
    <m/>
    <n v="1176000"/>
    <n v="1107204"/>
    <n v="113420"/>
    <n v="1069090.909090909"/>
    <s v="카페24고체향수이그나이트 + 스테이포에버200720"/>
  </r>
  <r>
    <x v="173"/>
    <s v="금"/>
    <x v="11"/>
    <s v="카페24"/>
    <m/>
    <n v="1"/>
    <x v="0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73"/>
    <s v="금"/>
    <x v="11"/>
    <s v="카페24"/>
    <m/>
    <n v="227"/>
    <x v="0"/>
    <s v="스테이포에버"/>
    <n v="200720"/>
    <m/>
    <n v="7718000"/>
    <n v="7266497"/>
    <n v="631741"/>
    <n v="7016363.636363636"/>
    <s v="카페24고체향수스테이포에버200720"/>
  </r>
  <r>
    <x v="173"/>
    <s v="금"/>
    <x v="11"/>
    <s v="카페24"/>
    <m/>
    <n v="83"/>
    <x v="0"/>
    <s v="스테이포에버 2set"/>
    <n v="200720"/>
    <m/>
    <n v="4880400"/>
    <n v="4594896.6"/>
    <n v="461978"/>
    <n v="4436727.272727272"/>
    <s v="카페24고체향수스테이포에버 2set200720"/>
  </r>
  <r>
    <x v="173"/>
    <s v="금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173"/>
    <s v="금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173"/>
    <s v="금"/>
    <x v="11"/>
    <s v="카페24"/>
    <m/>
    <n v="1"/>
    <x v="2"/>
    <s v="유즈쇼핑백"/>
    <n v="200720"/>
    <m/>
    <n v="2000"/>
    <n v="1883"/>
    <n v="1210"/>
    <n v="1818.181818181818"/>
    <s v="카페24쇼핑백유즈쇼핑백200720"/>
  </r>
  <r>
    <x v="174"/>
    <s v="토"/>
    <x v="11"/>
    <s v="카페24"/>
    <m/>
    <n v="28"/>
    <x v="0"/>
    <s v="이그나이트 + 스테이포에버"/>
    <n v="200720"/>
    <m/>
    <n v="1646400"/>
    <n v="1550085.6"/>
    <n v="158788"/>
    <n v="1496727.272727273"/>
    <s v="카페24고체향수이그나이트 + 스테이포에버200720"/>
  </r>
  <r>
    <x v="174"/>
    <s v="토"/>
    <x v="11"/>
    <s v="카페24"/>
    <m/>
    <n v="293"/>
    <x v="0"/>
    <s v="스테이포에버"/>
    <n v="200720"/>
    <m/>
    <n v="9962000"/>
    <n v="9379223"/>
    <n v="815419"/>
    <n v="9056363.636363635"/>
    <s v="카페24고체향수스테이포에버200720"/>
  </r>
  <r>
    <x v="174"/>
    <s v="토"/>
    <x v="11"/>
    <s v="카페24"/>
    <m/>
    <n v="81"/>
    <x v="0"/>
    <s v="스테이포에버 2set"/>
    <n v="200720"/>
    <m/>
    <n v="4762800"/>
    <n v="4484176.2"/>
    <n v="450846"/>
    <n v="4329818.181818182"/>
    <s v="카페24고체향수스테이포에버 2set200720"/>
  </r>
  <r>
    <x v="174"/>
    <s v="토"/>
    <x v="11"/>
    <s v="카페24"/>
    <m/>
    <n v="10"/>
    <x v="0"/>
    <s v="이그나이트"/>
    <n v="200720"/>
    <m/>
    <n v="340000"/>
    <n v="320110"/>
    <n v="28880"/>
    <n v="309090.9090909091"/>
    <s v="카페24고체향수이그나이트200720"/>
  </r>
  <r>
    <x v="174"/>
    <s v="토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174"/>
    <s v="토"/>
    <x v="11"/>
    <s v="카페24"/>
    <m/>
    <n v="10"/>
    <x v="2"/>
    <s v="유즈쇼핑백"/>
    <n v="200720"/>
    <m/>
    <n v="20000"/>
    <n v="18830"/>
    <n v="12100"/>
    <n v="18181.81818181818"/>
    <s v="카페24쇼핑백유즈쇼핑백200720"/>
  </r>
  <r>
    <x v="175"/>
    <s v="일"/>
    <x v="11"/>
    <s v="카페24"/>
    <m/>
    <n v="18"/>
    <x v="0"/>
    <s v="이그나이트 + 스테이포에버"/>
    <n v="200720"/>
    <m/>
    <n v="1058400"/>
    <n v="996483.6"/>
    <n v="102078"/>
    <n v="962181.8181818181"/>
    <s v="카페24고체향수이그나이트 + 스테이포에버200720"/>
  </r>
  <r>
    <x v="175"/>
    <s v="일"/>
    <x v="11"/>
    <s v="카페24"/>
    <m/>
    <n v="1"/>
    <x v="0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75"/>
    <s v="일"/>
    <x v="11"/>
    <s v="카페24"/>
    <m/>
    <n v="211"/>
    <x v="0"/>
    <s v="스테이포에버"/>
    <n v="200720"/>
    <m/>
    <n v="7174000"/>
    <n v="6754321"/>
    <n v="587213"/>
    <n v="6521818.181818182"/>
    <s v="카페24고체향수스테이포에버200720"/>
  </r>
  <r>
    <x v="175"/>
    <s v="일"/>
    <x v="11"/>
    <s v="카페24"/>
    <m/>
    <n v="52"/>
    <x v="0"/>
    <s v="스테이포에버 2set"/>
    <n v="200720"/>
    <m/>
    <n v="3057600"/>
    <n v="2878730.4"/>
    <n v="289432"/>
    <n v="2779636.363636363"/>
    <s v="카페24고체향수스테이포에버 2set200720"/>
  </r>
  <r>
    <x v="175"/>
    <s v="일"/>
    <x v="11"/>
    <s v="카페24"/>
    <m/>
    <n v="6"/>
    <x v="0"/>
    <s v="이그나이트"/>
    <n v="200720"/>
    <m/>
    <n v="204000"/>
    <n v="192066"/>
    <n v="17328"/>
    <n v="185454.5454545454"/>
    <s v="카페24고체향수이그나이트200720"/>
  </r>
  <r>
    <x v="175"/>
    <s v="일"/>
    <x v="11"/>
    <s v="카페24"/>
    <m/>
    <n v="6"/>
    <x v="2"/>
    <s v="유즈쇼핑백"/>
    <n v="200720"/>
    <m/>
    <n v="12000"/>
    <n v="11298"/>
    <n v="7260"/>
    <n v="10909.09090909091"/>
    <s v="카페24쇼핑백유즈쇼핑백200720"/>
  </r>
  <r>
    <x v="176"/>
    <s v="월"/>
    <x v="11"/>
    <s v="유즈 CS"/>
    <m/>
    <n v="1"/>
    <x v="0"/>
    <s v="스테이포에버"/>
    <n v="200520"/>
    <m/>
    <n v="0"/>
    <n v="0"/>
    <n v="2783"/>
    <n v="0"/>
    <s v="유즈 CS고체향수스테이포에버200520"/>
  </r>
  <r>
    <x v="176"/>
    <s v="월"/>
    <x v="11"/>
    <s v="카페24"/>
    <m/>
    <n v="18"/>
    <x v="0"/>
    <s v="이그나이트 + 스테이포에버"/>
    <n v="200720"/>
    <m/>
    <n v="1058400"/>
    <n v="996483.6"/>
    <n v="102078"/>
    <n v="962181.8181818181"/>
    <s v="카페24고체향수이그나이트 + 스테이포에버200720"/>
  </r>
  <r>
    <x v="176"/>
    <s v="월"/>
    <x v="11"/>
    <s v="카페24"/>
    <m/>
    <n v="152"/>
    <x v="0"/>
    <s v="스테이포에버"/>
    <n v="200720"/>
    <m/>
    <n v="5168000"/>
    <n v="4865672"/>
    <n v="423016"/>
    <n v="4698181.818181817"/>
    <s v="카페24고체향수스테이포에버200720"/>
  </r>
  <r>
    <x v="176"/>
    <s v="월"/>
    <x v="11"/>
    <s v="카페24"/>
    <m/>
    <n v="56"/>
    <x v="0"/>
    <s v="스테이포에버 2set"/>
    <n v="200720"/>
    <m/>
    <n v="3292800"/>
    <n v="3100171.2"/>
    <n v="311696"/>
    <n v="2993454.545454545"/>
    <s v="카페24고체향수스테이포에버 2set200720"/>
  </r>
  <r>
    <x v="176"/>
    <s v="월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176"/>
    <s v="월"/>
    <x v="11"/>
    <s v="카페24"/>
    <m/>
    <n v="4"/>
    <x v="0"/>
    <s v="이그나이트 2set"/>
    <n v="200720"/>
    <m/>
    <n v="235200"/>
    <n v="221440.8"/>
    <n v="23104"/>
    <n v="213818.1818181818"/>
    <s v="카페24고체향수이그나이트 2set200720"/>
  </r>
  <r>
    <x v="176"/>
    <s v="월"/>
    <x v="11"/>
    <s v="카페24"/>
    <m/>
    <n v="7"/>
    <x v="2"/>
    <s v="유즈쇼핑백"/>
    <n v="200720"/>
    <m/>
    <n v="14000"/>
    <n v="13181"/>
    <n v="8470"/>
    <n v="12727.27272727273"/>
    <s v="카페24쇼핑백유즈쇼핑백200720"/>
  </r>
  <r>
    <x v="177"/>
    <s v="화"/>
    <x v="11"/>
    <s v="카페24"/>
    <m/>
    <n v="20"/>
    <x v="0"/>
    <s v="이그나이트 + 스테이포에버"/>
    <n v="200720"/>
    <m/>
    <n v="1176000"/>
    <n v="1107204"/>
    <n v="113420"/>
    <n v="1069090.909090909"/>
    <s v="카페24고체향수이그나이트 + 스테이포에버200720"/>
  </r>
  <r>
    <x v="177"/>
    <s v="화"/>
    <x v="11"/>
    <s v="카페24"/>
    <m/>
    <n v="1"/>
    <x v="0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77"/>
    <s v="화"/>
    <x v="11"/>
    <s v="카페24"/>
    <m/>
    <n v="198"/>
    <x v="0"/>
    <s v="스테이포에버"/>
    <n v="200720"/>
    <m/>
    <n v="6732000"/>
    <n v="6338178"/>
    <n v="551034"/>
    <n v="6119999.999999999"/>
    <s v="카페24고체향수스테이포에버200720"/>
  </r>
  <r>
    <x v="177"/>
    <s v="화"/>
    <x v="11"/>
    <s v="카페24"/>
    <m/>
    <n v="82"/>
    <x v="0"/>
    <s v="스테이포에버 2set"/>
    <n v="200720"/>
    <m/>
    <n v="4821600"/>
    <n v="4539536.4"/>
    <n v="456412"/>
    <n v="4383272.727272727"/>
    <s v="카페24고체향수스테이포에버 2set200720"/>
  </r>
  <r>
    <x v="177"/>
    <s v="화"/>
    <x v="11"/>
    <s v="카페24"/>
    <m/>
    <n v="5"/>
    <x v="0"/>
    <s v="이그나이트"/>
    <n v="200720"/>
    <m/>
    <n v="170000"/>
    <n v="160055"/>
    <n v="14440"/>
    <n v="154545.4545454545"/>
    <s v="카페24고체향수이그나이트200720"/>
  </r>
  <r>
    <x v="177"/>
    <s v="화"/>
    <x v="11"/>
    <s v="카페24"/>
    <m/>
    <n v="6"/>
    <x v="2"/>
    <s v="유즈쇼핑백"/>
    <n v="200720"/>
    <m/>
    <n v="12000"/>
    <n v="11298"/>
    <n v="7260"/>
    <n v="10909.09090909091"/>
    <s v="카페24쇼핑백유즈쇼핑백200720"/>
  </r>
  <r>
    <x v="178"/>
    <s v="수"/>
    <x v="11"/>
    <s v="카페24"/>
    <m/>
    <n v="15"/>
    <x v="0"/>
    <s v="이그나이트 + 스테이포에버"/>
    <n v="200720"/>
    <m/>
    <n v="882000"/>
    <n v="830403"/>
    <n v="85065"/>
    <n v="801818.1818181818"/>
    <s v="카페24고체향수이그나이트 + 스테이포에버200720"/>
  </r>
  <r>
    <x v="178"/>
    <s v="수"/>
    <x v="11"/>
    <s v="카페24"/>
    <m/>
    <n v="1"/>
    <x v="0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78"/>
    <s v="수"/>
    <x v="11"/>
    <s v="카페24"/>
    <m/>
    <n v="161"/>
    <x v="0"/>
    <s v="스테이포에버"/>
    <n v="200720"/>
    <m/>
    <n v="5474000"/>
    <n v="5153771"/>
    <n v="448063"/>
    <n v="4976363.636363636"/>
    <s v="카페24고체향수스테이포에버200720"/>
  </r>
  <r>
    <x v="178"/>
    <s v="수"/>
    <x v="11"/>
    <s v="카페24"/>
    <m/>
    <n v="76"/>
    <x v="0"/>
    <s v="스테이포에버 2set"/>
    <n v="200720"/>
    <m/>
    <n v="4468800"/>
    <n v="4207375.2"/>
    <n v="423016"/>
    <n v="4062545.454545454"/>
    <s v="카페24고체향수스테이포에버 2set200720"/>
  </r>
  <r>
    <x v="178"/>
    <s v="수"/>
    <x v="11"/>
    <s v="카페24"/>
    <m/>
    <n v="6"/>
    <x v="0"/>
    <s v="이그나이트"/>
    <n v="200720"/>
    <m/>
    <n v="204000"/>
    <n v="192066"/>
    <n v="17328"/>
    <n v="185454.5454545454"/>
    <s v="카페24고체향수이그나이트200720"/>
  </r>
  <r>
    <x v="178"/>
    <s v="수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178"/>
    <s v="수"/>
    <x v="11"/>
    <s v="카페24"/>
    <m/>
    <n v="6"/>
    <x v="2"/>
    <s v="유즈쇼핑백"/>
    <n v="200720"/>
    <m/>
    <n v="12000"/>
    <n v="11298"/>
    <n v="7260"/>
    <n v="10909.09090909091"/>
    <s v="카페24쇼핑백유즈쇼핑백200720"/>
  </r>
  <r>
    <x v="179"/>
    <s v="목"/>
    <x v="11"/>
    <s v="카페24"/>
    <m/>
    <n v="18"/>
    <x v="0"/>
    <s v="이그나이트 + 스테이포에버"/>
    <n v="200720"/>
    <m/>
    <n v="1058400"/>
    <n v="996483.6"/>
    <n v="102078"/>
    <n v="962181.8181818181"/>
    <s v="카페24고체향수이그나이트 + 스테이포에버200720"/>
  </r>
  <r>
    <x v="179"/>
    <s v="목"/>
    <x v="11"/>
    <s v="카페24"/>
    <m/>
    <n v="1"/>
    <x v="0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79"/>
    <s v="목"/>
    <x v="11"/>
    <s v="카페24"/>
    <m/>
    <n v="175"/>
    <x v="0"/>
    <s v="스테이포에버"/>
    <n v="200720"/>
    <m/>
    <n v="5950000"/>
    <n v="5601925"/>
    <n v="487025"/>
    <n v="5409090.909090908"/>
    <s v="카페24고체향수스테이포에버200720"/>
  </r>
  <r>
    <x v="179"/>
    <s v="목"/>
    <x v="11"/>
    <s v="카페24"/>
    <m/>
    <n v="69"/>
    <x v="0"/>
    <s v="스테이포에버 2set"/>
    <n v="200720"/>
    <m/>
    <n v="4057200"/>
    <n v="3819853.8"/>
    <n v="384054"/>
    <n v="3688363.636363636"/>
    <s v="카페24고체향수스테이포에버 2set200720"/>
  </r>
  <r>
    <x v="179"/>
    <s v="목"/>
    <x v="11"/>
    <s v="카페24"/>
    <m/>
    <n v="3"/>
    <x v="0"/>
    <s v="이그나이트"/>
    <n v="200720"/>
    <m/>
    <n v="102000"/>
    <n v="96033"/>
    <n v="8664"/>
    <n v="92727.27272727272"/>
    <s v="카페24고체향수이그나이트200720"/>
  </r>
  <r>
    <x v="179"/>
    <s v="목"/>
    <x v="11"/>
    <s v="카페24"/>
    <m/>
    <n v="6"/>
    <x v="2"/>
    <s v="유즈쇼핑백"/>
    <n v="200720"/>
    <m/>
    <n v="12000"/>
    <n v="11298"/>
    <n v="7260"/>
    <n v="10909.09090909091"/>
    <s v="카페24쇼핑백유즈쇼핑백200720"/>
  </r>
  <r>
    <x v="180"/>
    <s v="금"/>
    <x v="11"/>
    <s v="카페24"/>
    <m/>
    <n v="15"/>
    <x v="0"/>
    <s v="이그나이트 + 스테이포에버"/>
    <n v="200720"/>
    <m/>
    <n v="882000"/>
    <n v="830403"/>
    <n v="85065"/>
    <n v="801818.1818181818"/>
    <s v="카페24고체향수이그나이트 + 스테이포에버200720"/>
  </r>
  <r>
    <x v="180"/>
    <s v="금"/>
    <x v="11"/>
    <s v="카페24"/>
    <m/>
    <n v="1"/>
    <x v="0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80"/>
    <s v="금"/>
    <x v="11"/>
    <s v="카페24"/>
    <m/>
    <n v="168"/>
    <x v="0"/>
    <s v="스테이포에버"/>
    <n v="200720"/>
    <m/>
    <n v="5712000"/>
    <n v="5377848"/>
    <n v="467544"/>
    <n v="5192727.272727272"/>
    <s v="카페24고체향수스테이포에버200720"/>
  </r>
  <r>
    <x v="180"/>
    <s v="금"/>
    <x v="11"/>
    <s v="카페24"/>
    <m/>
    <n v="87"/>
    <x v="0"/>
    <s v="스테이포에버 2set"/>
    <n v="200720"/>
    <m/>
    <n v="5115600"/>
    <n v="4816337.4"/>
    <n v="484242"/>
    <n v="4650545.454545454"/>
    <s v="카페24고체향수스테이포에버 2set200720"/>
  </r>
  <r>
    <x v="180"/>
    <s v="금"/>
    <x v="11"/>
    <s v="카페24"/>
    <m/>
    <n v="3"/>
    <x v="0"/>
    <s v="이그나이트 2set"/>
    <n v="200720"/>
    <m/>
    <n v="176400"/>
    <n v="166080.6"/>
    <n v="17328"/>
    <n v="160363.6363636364"/>
    <s v="카페24고체향수이그나이트 2set200720"/>
  </r>
  <r>
    <x v="180"/>
    <s v="금"/>
    <x v="11"/>
    <s v="카페24"/>
    <m/>
    <n v="9"/>
    <x v="2"/>
    <s v="유즈쇼핑백"/>
    <n v="200720"/>
    <m/>
    <n v="18000"/>
    <n v="16947"/>
    <n v="10890"/>
    <n v="16363.63636363636"/>
    <s v="카페24쇼핑백유즈쇼핑백200720"/>
  </r>
  <r>
    <x v="181"/>
    <s v="토"/>
    <x v="11"/>
    <s v="카페24"/>
    <m/>
    <n v="15"/>
    <x v="0"/>
    <s v="이그나이트 + 스테이포에버"/>
    <n v="200720"/>
    <m/>
    <n v="882000"/>
    <n v="830403"/>
    <n v="85065"/>
    <n v="801818.1818181818"/>
    <s v="카페24고체향수이그나이트 + 스테이포에버200720"/>
  </r>
  <r>
    <x v="181"/>
    <s v="토"/>
    <x v="11"/>
    <s v="카페24"/>
    <m/>
    <n v="1"/>
    <x v="0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81"/>
    <s v="토"/>
    <x v="11"/>
    <s v="카페24"/>
    <m/>
    <n v="210"/>
    <x v="0"/>
    <s v="스테이포에버"/>
    <n v="200720"/>
    <m/>
    <n v="7140000"/>
    <n v="6722310"/>
    <n v="584430"/>
    <n v="6490909.090909091"/>
    <s v="카페24고체향수스테이포에버200720"/>
  </r>
  <r>
    <x v="181"/>
    <s v="토"/>
    <x v="11"/>
    <s v="카페24"/>
    <m/>
    <n v="96"/>
    <x v="0"/>
    <s v="스테이포에버 2set"/>
    <n v="200720"/>
    <m/>
    <n v="5644800"/>
    <n v="5314579.2"/>
    <n v="534336"/>
    <n v="5131636.363636363"/>
    <s v="카페24고체향수스테이포에버 2set200720"/>
  </r>
  <r>
    <x v="181"/>
    <s v="토"/>
    <x v="11"/>
    <s v="카페24"/>
    <m/>
    <n v="3"/>
    <x v="0"/>
    <s v="이그나이트"/>
    <n v="200720"/>
    <m/>
    <n v="102000"/>
    <n v="96033"/>
    <n v="8664"/>
    <n v="92727.27272727272"/>
    <s v="카페24고체향수이그나이트200720"/>
  </r>
  <r>
    <x v="181"/>
    <s v="토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181"/>
    <s v="토"/>
    <x v="11"/>
    <s v="카페24"/>
    <m/>
    <n v="5"/>
    <x v="2"/>
    <s v="유즈쇼핑백"/>
    <n v="200720"/>
    <m/>
    <n v="10000"/>
    <n v="9415"/>
    <n v="6050"/>
    <n v="9090.90909090909"/>
    <s v="카페24쇼핑백유즈쇼핑백200720"/>
  </r>
  <r>
    <x v="182"/>
    <s v="일"/>
    <x v="11"/>
    <s v="카페24"/>
    <m/>
    <n v="24"/>
    <x v="0"/>
    <s v="이그나이트 + 스테이포에버"/>
    <n v="200720"/>
    <m/>
    <n v="1411200"/>
    <n v="1328644.8"/>
    <n v="136104"/>
    <n v="1282909.090909091"/>
    <s v="카페24고체향수이그나이트 + 스테이포에버200720"/>
  </r>
  <r>
    <x v="182"/>
    <s v="일"/>
    <x v="11"/>
    <s v="카페24"/>
    <m/>
    <n v="196"/>
    <x v="0"/>
    <s v="스테이포에버"/>
    <n v="200720"/>
    <m/>
    <n v="6664000"/>
    <n v="6274156"/>
    <n v="545468"/>
    <n v="6058181.818181817"/>
    <s v="카페24고체향수스테이포에버200720"/>
  </r>
  <r>
    <x v="182"/>
    <s v="일"/>
    <x v="11"/>
    <s v="카페24"/>
    <m/>
    <n v="99"/>
    <x v="0"/>
    <s v="스테이포에버 2set"/>
    <n v="200720"/>
    <m/>
    <n v="5821200"/>
    <n v="5480659.8"/>
    <n v="551034"/>
    <n v="5292000"/>
    <s v="카페24고체향수스테이포에버 2set200720"/>
  </r>
  <r>
    <x v="182"/>
    <s v="일"/>
    <x v="11"/>
    <s v="카페24"/>
    <m/>
    <n v="7"/>
    <x v="0"/>
    <s v="이그나이트"/>
    <n v="200720"/>
    <m/>
    <n v="238000"/>
    <n v="224077"/>
    <n v="20216"/>
    <n v="216363.6363636364"/>
    <s v="카페24고체향수이그나이트200720"/>
  </r>
  <r>
    <x v="182"/>
    <s v="일"/>
    <x v="11"/>
    <s v="카페24"/>
    <m/>
    <n v="7"/>
    <x v="2"/>
    <s v="유즈쇼핑백"/>
    <n v="200720"/>
    <m/>
    <n v="14000"/>
    <n v="13181"/>
    <n v="8470"/>
    <n v="12727.27272727273"/>
    <s v="카페24쇼핑백유즈쇼핑백200720"/>
  </r>
  <r>
    <x v="183"/>
    <s v="월"/>
    <x v="11"/>
    <s v="카페24"/>
    <m/>
    <n v="12"/>
    <x v="0"/>
    <s v="이그나이트 + 스테이포에버"/>
    <n v="200720"/>
    <m/>
    <n v="705600"/>
    <n v="664322.4"/>
    <n v="68052"/>
    <n v="641454.5454545454"/>
    <s v="카페24고체향수이그나이트 + 스테이포에버200720"/>
  </r>
  <r>
    <x v="183"/>
    <s v="월"/>
    <x v="11"/>
    <s v="카페24"/>
    <m/>
    <n v="128"/>
    <x v="0"/>
    <s v="스테이포에버"/>
    <n v="200720"/>
    <m/>
    <n v="4352000"/>
    <n v="4097408"/>
    <n v="356224"/>
    <n v="3956363.636363636"/>
    <s v="카페24고체향수스테이포에버200720"/>
  </r>
  <r>
    <x v="183"/>
    <s v="월"/>
    <x v="11"/>
    <s v="카페24"/>
    <m/>
    <n v="62"/>
    <x v="0"/>
    <s v="스테이포에버 2set"/>
    <n v="200720"/>
    <m/>
    <n v="3645600"/>
    <n v="3432332.4"/>
    <n v="345092"/>
    <n v="3314181.818181818"/>
    <s v="카페24고체향수스테이포에버 2set200720"/>
  </r>
  <r>
    <x v="183"/>
    <s v="월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183"/>
    <s v="월"/>
    <x v="11"/>
    <s v="카페24"/>
    <m/>
    <n v="4"/>
    <x v="2"/>
    <s v="유즈쇼핑백"/>
    <n v="200720"/>
    <m/>
    <n v="8000"/>
    <n v="7532"/>
    <n v="4840"/>
    <n v="7272.727272727272"/>
    <s v="카페24쇼핑백유즈쇼핑백200720"/>
  </r>
  <r>
    <x v="184"/>
    <s v="화"/>
    <x v="11"/>
    <s v="카페24"/>
    <m/>
    <n v="11"/>
    <x v="0"/>
    <s v="이그나이트 + 스테이포에버"/>
    <n v="200720"/>
    <m/>
    <n v="646800"/>
    <n v="608962.2"/>
    <n v="62381"/>
    <n v="588000"/>
    <s v="카페24고체향수이그나이트 + 스테이포에버200720"/>
  </r>
  <r>
    <x v="184"/>
    <s v="화"/>
    <x v="11"/>
    <s v="카페24"/>
    <m/>
    <n v="140"/>
    <x v="0"/>
    <s v="스테이포에버"/>
    <n v="200720"/>
    <m/>
    <n v="4760000"/>
    <n v="4481540"/>
    <n v="389620"/>
    <n v="4327272.727272727"/>
    <s v="카페24고체향수스테이포에버200720"/>
  </r>
  <r>
    <x v="184"/>
    <s v="화"/>
    <x v="11"/>
    <s v="카페24"/>
    <m/>
    <n v="48"/>
    <x v="0"/>
    <s v="스테이포에버 2set"/>
    <n v="200720"/>
    <m/>
    <n v="2822400"/>
    <n v="2657289.6"/>
    <n v="267168"/>
    <n v="2565818.181818182"/>
    <s v="카페24고체향수스테이포에버 2set200720"/>
  </r>
  <r>
    <x v="184"/>
    <s v="화"/>
    <x v="11"/>
    <s v="카페24"/>
    <m/>
    <n v="6"/>
    <x v="0"/>
    <s v="이그나이트"/>
    <n v="200720"/>
    <m/>
    <n v="204000"/>
    <n v="192066"/>
    <n v="17328"/>
    <n v="185454.5454545454"/>
    <s v="카페24고체향수이그나이트200720"/>
  </r>
  <r>
    <x v="184"/>
    <s v="화"/>
    <x v="11"/>
    <s v="카페24"/>
    <m/>
    <n v="3"/>
    <x v="2"/>
    <s v="유즈쇼핑백"/>
    <n v="200720"/>
    <m/>
    <n v="6000"/>
    <n v="5649"/>
    <n v="3630"/>
    <n v="5454.545454545454"/>
    <s v="카페24쇼핑백유즈쇼핑백200720"/>
  </r>
  <r>
    <x v="185"/>
    <s v="수"/>
    <x v="11"/>
    <s v="카페24"/>
    <m/>
    <n v="21"/>
    <x v="0"/>
    <s v="이그나이트 + 스테이포에버"/>
    <n v="200720"/>
    <m/>
    <n v="1234800"/>
    <n v="1162564.2"/>
    <n v="119091"/>
    <n v="1122545.454545454"/>
    <s v="카페24고체향수이그나이트 + 스테이포에버200720"/>
  </r>
  <r>
    <x v="185"/>
    <s v="수"/>
    <x v="11"/>
    <s v="카페24"/>
    <m/>
    <n v="119"/>
    <x v="0"/>
    <s v="스테이포에버"/>
    <n v="200720"/>
    <m/>
    <n v="4046000"/>
    <n v="3809309"/>
    <n v="331177"/>
    <n v="3678181.818181818"/>
    <s v="카페24고체향수스테이포에버200720"/>
  </r>
  <r>
    <x v="185"/>
    <s v="수"/>
    <x v="11"/>
    <s v="카페24"/>
    <m/>
    <n v="51"/>
    <x v="0"/>
    <s v="스테이포에버 2set"/>
    <n v="200720"/>
    <m/>
    <n v="2998800"/>
    <n v="2823370.2"/>
    <n v="283866"/>
    <n v="2726181.818181818"/>
    <s v="카페24고체향수스테이포에버 2set200720"/>
  </r>
  <r>
    <x v="185"/>
    <s v="수"/>
    <x v="11"/>
    <s v="카페24"/>
    <m/>
    <n v="3"/>
    <x v="0"/>
    <s v="이그나이트"/>
    <n v="200720"/>
    <m/>
    <n v="102000"/>
    <n v="96033"/>
    <n v="8664"/>
    <n v="92727.27272727272"/>
    <s v="카페24고체향수이그나이트200720"/>
  </r>
  <r>
    <x v="185"/>
    <s v="수"/>
    <x v="11"/>
    <s v="카페24"/>
    <m/>
    <n v="1"/>
    <x v="2"/>
    <s v="유즈쇼핑백"/>
    <n v="200720"/>
    <m/>
    <n v="2000"/>
    <n v="1883"/>
    <n v="1210"/>
    <n v="1818.181818181818"/>
    <s v="카페24쇼핑백유즈쇼핑백200720"/>
  </r>
  <r>
    <x v="186"/>
    <s v="목"/>
    <x v="11"/>
    <s v="카페24"/>
    <m/>
    <n v="11"/>
    <x v="0"/>
    <s v="이그나이트 + 스테이포에버"/>
    <n v="200720"/>
    <m/>
    <n v="646800"/>
    <n v="608962.2"/>
    <n v="62381"/>
    <n v="588000"/>
    <s v="카페24고체향수이그나이트 + 스테이포에버200720"/>
  </r>
  <r>
    <x v="186"/>
    <s v="목"/>
    <x v="11"/>
    <s v="카페24"/>
    <m/>
    <n v="138"/>
    <x v="0"/>
    <s v="스테이포에버"/>
    <n v="200720"/>
    <m/>
    <n v="4692000"/>
    <n v="4417518"/>
    <n v="384054"/>
    <n v="4265454.545454545"/>
    <s v="카페24고체향수스테이포에버200720"/>
  </r>
  <r>
    <x v="186"/>
    <s v="목"/>
    <x v="11"/>
    <s v="카페24"/>
    <m/>
    <n v="43"/>
    <x v="0"/>
    <s v="스테이포에버 2set"/>
    <n v="200720"/>
    <m/>
    <n v="2528400"/>
    <n v="2380488.6"/>
    <n v="239338"/>
    <n v="2298545.454545455"/>
    <s v="카페24고체향수스테이포에버 2set200720"/>
  </r>
  <r>
    <x v="186"/>
    <s v="목"/>
    <x v="11"/>
    <s v="카페24"/>
    <m/>
    <n v="2"/>
    <x v="0"/>
    <s v="이그나이트"/>
    <n v="200720"/>
    <m/>
    <n v="68000"/>
    <n v="64022"/>
    <n v="5776"/>
    <n v="61818.18181818182"/>
    <s v="카페24고체향수이그나이트200720"/>
  </r>
  <r>
    <x v="186"/>
    <s v="목"/>
    <x v="11"/>
    <s v="카페24"/>
    <m/>
    <n v="6"/>
    <x v="2"/>
    <s v="유즈쇼핑백"/>
    <n v="200720"/>
    <m/>
    <n v="12000"/>
    <n v="11298"/>
    <n v="7260"/>
    <n v="10909.09090909091"/>
    <s v="카페24쇼핑백유즈쇼핑백200720"/>
  </r>
  <r>
    <x v="187"/>
    <s v="금"/>
    <x v="11"/>
    <s v="카페24"/>
    <m/>
    <n v="11"/>
    <x v="0"/>
    <s v="이그나이트 + 스테이포에버"/>
    <n v="200720"/>
    <m/>
    <n v="646800"/>
    <n v="608962.2"/>
    <n v="62381"/>
    <n v="588000"/>
    <s v="카페24고체향수이그나이트 + 스테이포에버200720"/>
  </r>
  <r>
    <x v="187"/>
    <s v="금"/>
    <x v="11"/>
    <s v="카페24"/>
    <m/>
    <n v="2"/>
    <x v="0"/>
    <s v="이그나이트 + 스테이포에버 2set"/>
    <n v="200720"/>
    <m/>
    <n v="189600"/>
    <n v="178508.4"/>
    <n v="22684"/>
    <n v="172363.6363636364"/>
    <s v="카페24고체향수이그나이트 + 스테이포에버 2set200720"/>
  </r>
  <r>
    <x v="187"/>
    <s v="금"/>
    <x v="11"/>
    <s v="카페24"/>
    <m/>
    <n v="140"/>
    <x v="0"/>
    <s v="스테이포에버"/>
    <n v="200720"/>
    <m/>
    <n v="4760000"/>
    <n v="4481540"/>
    <n v="389620"/>
    <n v="4327272.727272727"/>
    <s v="카페24고체향수스테이포에버200720"/>
  </r>
  <r>
    <x v="187"/>
    <s v="금"/>
    <x v="11"/>
    <s v="카페24"/>
    <m/>
    <n v="54"/>
    <x v="0"/>
    <s v="스테이포에버 2set"/>
    <n v="200720"/>
    <m/>
    <n v="3175200"/>
    <n v="2989450.8"/>
    <n v="300564"/>
    <n v="2886545.454545454"/>
    <s v="카페24고체향수스테이포에버 2set200720"/>
  </r>
  <r>
    <x v="187"/>
    <s v="금"/>
    <x v="11"/>
    <s v="카페24"/>
    <m/>
    <n v="2"/>
    <x v="0"/>
    <s v="이그나이트"/>
    <n v="200720"/>
    <m/>
    <n v="68000"/>
    <n v="64022"/>
    <n v="5776"/>
    <n v="61818.18181818182"/>
    <s v="카페24고체향수이그나이트200720"/>
  </r>
  <r>
    <x v="187"/>
    <s v="금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187"/>
    <s v="금"/>
    <x v="11"/>
    <s v="카페24"/>
    <m/>
    <n v="7"/>
    <x v="2"/>
    <s v="유즈쇼핑백"/>
    <n v="200720"/>
    <m/>
    <n v="14000"/>
    <n v="13181"/>
    <n v="8470"/>
    <n v="12727.27272727273"/>
    <s v="카페24쇼핑백유즈쇼핑백200720"/>
  </r>
  <r>
    <x v="188"/>
    <s v="토"/>
    <x v="11"/>
    <s v="카페24"/>
    <m/>
    <n v="13"/>
    <x v="0"/>
    <s v="이그나이트 + 스테이포에버"/>
    <n v="200720"/>
    <m/>
    <n v="764400"/>
    <n v="719682.6"/>
    <n v="73723"/>
    <n v="694909.0909090908"/>
    <s v="카페24고체향수이그나이트 + 스테이포에버200720"/>
  </r>
  <r>
    <x v="188"/>
    <s v="토"/>
    <x v="11"/>
    <s v="카페24"/>
    <m/>
    <n v="150"/>
    <x v="0"/>
    <s v="스테이포에버"/>
    <n v="200720"/>
    <m/>
    <n v="5100000"/>
    <n v="4801650"/>
    <n v="417450"/>
    <n v="4636363.636363636"/>
    <s v="카페24고체향수스테이포에버200720"/>
  </r>
  <r>
    <x v="188"/>
    <s v="토"/>
    <x v="11"/>
    <s v="카페24"/>
    <m/>
    <n v="74"/>
    <x v="0"/>
    <s v="스테이포에버 2set"/>
    <n v="200720"/>
    <m/>
    <n v="4351200"/>
    <n v="4096654.8"/>
    <n v="411884"/>
    <n v="3955636.363636363"/>
    <s v="카페24고체향수스테이포에버 2set200720"/>
  </r>
  <r>
    <x v="188"/>
    <s v="토"/>
    <x v="11"/>
    <s v="카페24"/>
    <m/>
    <n v="2"/>
    <x v="0"/>
    <s v="이그나이트 2set"/>
    <n v="200720"/>
    <m/>
    <n v="117600"/>
    <n v="110720.4"/>
    <n v="11552"/>
    <n v="106909.0909090909"/>
    <s v="카페24고체향수이그나이트 2set200720"/>
  </r>
  <r>
    <x v="188"/>
    <s v="토"/>
    <x v="11"/>
    <s v="카페24"/>
    <m/>
    <n v="9"/>
    <x v="2"/>
    <s v="유즈쇼핑백"/>
    <n v="200720"/>
    <m/>
    <n v="18000"/>
    <n v="16947"/>
    <n v="10890"/>
    <n v="16363.63636363636"/>
    <s v="카페24쇼핑백유즈쇼핑백200720"/>
  </r>
  <r>
    <x v="189"/>
    <s v="일"/>
    <x v="11"/>
    <s v="카페24"/>
    <m/>
    <n v="20"/>
    <x v="0"/>
    <s v="이그나이트 + 스테이포에버"/>
    <n v="200720"/>
    <m/>
    <n v="1176000"/>
    <n v="1107204"/>
    <n v="113420"/>
    <n v="1069090.909090909"/>
    <s v="카페24고체향수이그나이트 + 스테이포에버200720"/>
  </r>
  <r>
    <x v="189"/>
    <s v="일"/>
    <x v="11"/>
    <s v="카페24"/>
    <m/>
    <n v="164"/>
    <x v="0"/>
    <s v="스테이포에버"/>
    <n v="200720"/>
    <m/>
    <n v="5576000"/>
    <n v="5249804"/>
    <n v="456412"/>
    <n v="5069090.909090908"/>
    <s v="카페24고체향수스테이포에버200720"/>
  </r>
  <r>
    <x v="189"/>
    <s v="일"/>
    <x v="11"/>
    <s v="카페24"/>
    <m/>
    <n v="87"/>
    <x v="0"/>
    <s v="스테이포에버 2set"/>
    <n v="200720"/>
    <m/>
    <n v="5115600"/>
    <n v="4816337.4"/>
    <n v="484242"/>
    <n v="4650545.454545454"/>
    <s v="카페24고체향수스테이포에버 2set200720"/>
  </r>
  <r>
    <x v="189"/>
    <s v="일"/>
    <x v="11"/>
    <s v="카페24"/>
    <m/>
    <n v="1"/>
    <x v="0"/>
    <s v="이그나이트"/>
    <n v="200720"/>
    <m/>
    <n v="34000"/>
    <n v="32011"/>
    <n v="2888"/>
    <n v="30909.09090909091"/>
    <s v="카페24고체향수이그나이트200720"/>
  </r>
  <r>
    <x v="189"/>
    <s v="일"/>
    <x v="11"/>
    <s v="카페24"/>
    <m/>
    <n v="2"/>
    <x v="0"/>
    <s v="이그나이트 2set"/>
    <n v="200720"/>
    <m/>
    <n v="117600"/>
    <n v="110720.4"/>
    <n v="11552"/>
    <n v="106909.0909090909"/>
    <s v="카페24고체향수이그나이트 2set200720"/>
  </r>
  <r>
    <x v="189"/>
    <s v="일"/>
    <x v="11"/>
    <s v="카페24"/>
    <m/>
    <n v="7"/>
    <x v="2"/>
    <s v="유즈쇼핑백"/>
    <n v="200720"/>
    <m/>
    <n v="14000"/>
    <n v="13181"/>
    <n v="8470"/>
    <n v="12727.27272727273"/>
    <s v="카페24쇼핑백유즈쇼핑백200720"/>
  </r>
  <r>
    <x v="190"/>
    <s v="월"/>
    <x v="11"/>
    <s v="카페24"/>
    <m/>
    <n v="12"/>
    <x v="0"/>
    <s v="이그나이트 + 스테이포에버"/>
    <n v="200720"/>
    <m/>
    <n v="705600"/>
    <n v="664322.4"/>
    <n v="68052"/>
    <n v="641454.5454545454"/>
    <s v="카페24고체향수이그나이트 + 스테이포에버200720"/>
  </r>
  <r>
    <x v="190"/>
    <s v="월"/>
    <x v="11"/>
    <s v="카페24"/>
    <m/>
    <n v="133"/>
    <x v="0"/>
    <s v="스테이포에버"/>
    <n v="200720"/>
    <m/>
    <n v="4522000"/>
    <n v="4257463"/>
    <n v="370139"/>
    <n v="4110909.09090909"/>
    <s v="카페24고체향수스테이포에버200720"/>
  </r>
  <r>
    <x v="190"/>
    <s v="월"/>
    <x v="11"/>
    <s v="카페24"/>
    <m/>
    <n v="63"/>
    <x v="0"/>
    <s v="스테이포에버 2set"/>
    <n v="200720"/>
    <m/>
    <n v="3704400"/>
    <n v="3487692.6"/>
    <n v="350658"/>
    <n v="3367636.363636363"/>
    <s v="카페24고체향수스테이포에버 2set200720"/>
  </r>
  <r>
    <x v="190"/>
    <s v="월"/>
    <x v="11"/>
    <s v="카페24"/>
    <m/>
    <n v="4"/>
    <x v="0"/>
    <s v="이그나이트"/>
    <n v="200720"/>
    <m/>
    <n v="136000"/>
    <n v="128044"/>
    <n v="11552"/>
    <n v="123636.3636363636"/>
    <s v="카페24고체향수이그나이트200720"/>
  </r>
  <r>
    <x v="190"/>
    <s v="월"/>
    <x v="11"/>
    <s v="카페24"/>
    <m/>
    <n v="7"/>
    <x v="2"/>
    <s v="유즈쇼핑백"/>
    <n v="200720"/>
    <m/>
    <n v="14000"/>
    <n v="13181"/>
    <n v="8470"/>
    <n v="12727.27272727273"/>
    <s v="카페24쇼핑백유즈쇼핑백200720"/>
  </r>
  <r>
    <x v="191"/>
    <s v="화"/>
    <x v="11"/>
    <s v="카페24"/>
    <m/>
    <n v="25"/>
    <x v="0"/>
    <s v="이그나이트 + 스테이포에버"/>
    <n v="200720"/>
    <m/>
    <n v="1470000"/>
    <n v="1384005"/>
    <n v="141775"/>
    <n v="1336363.636363636"/>
    <s v="카페24고체향수이그나이트 + 스테이포에버200720"/>
  </r>
  <r>
    <x v="191"/>
    <s v="화"/>
    <x v="11"/>
    <s v="카페24"/>
    <m/>
    <n v="1"/>
    <x v="0"/>
    <s v="이그나이트 + 스테이포에버 2set"/>
    <n v="200720"/>
    <m/>
    <n v="94800"/>
    <n v="89254.2"/>
    <n v="11342"/>
    <n v="86181.81818181818"/>
    <s v="카페24고체향수이그나이트 + 스테이포에버 2set200720"/>
  </r>
  <r>
    <x v="191"/>
    <s v="화"/>
    <x v="11"/>
    <s v="카페24"/>
    <m/>
    <n v="191"/>
    <x v="0"/>
    <s v="스테이포에버"/>
    <n v="200720"/>
    <m/>
    <n v="6494000"/>
    <n v="6114101"/>
    <n v="531553"/>
    <n v="5903636.363636363"/>
    <s v="카페24고체향수스테이포에버200720"/>
  </r>
  <r>
    <x v="191"/>
    <s v="화"/>
    <x v="11"/>
    <s v="카페24"/>
    <m/>
    <n v="74"/>
    <x v="0"/>
    <s v="스테이포에버 2set"/>
    <n v="200720"/>
    <m/>
    <n v="4351200"/>
    <n v="4096654.8"/>
    <n v="411884"/>
    <n v="3955636.363636363"/>
    <s v="카페24고체향수스테이포에버 2set200720"/>
  </r>
  <r>
    <x v="191"/>
    <s v="화"/>
    <x v="11"/>
    <s v="카페24"/>
    <m/>
    <n v="1"/>
    <x v="0"/>
    <s v="이그나이트 2set"/>
    <n v="200720"/>
    <m/>
    <n v="58800"/>
    <n v="55360.2"/>
    <n v="5776"/>
    <n v="53454.54545454545"/>
    <s v="카페24고체향수이그나이트 2set200720"/>
  </r>
  <r>
    <x v="191"/>
    <s v="화"/>
    <x v="11"/>
    <s v="카페24"/>
    <m/>
    <n v="7"/>
    <x v="2"/>
    <s v="유즈쇼핑백"/>
    <n v="200720"/>
    <m/>
    <n v="14000"/>
    <n v="13181"/>
    <n v="8470"/>
    <n v="12727.27272727273"/>
    <s v="카페24쇼핑백유즈쇼핑백200720"/>
  </r>
  <r>
    <x v="193"/>
    <s v="목"/>
    <x v="11"/>
    <s v="카페24"/>
    <s v="유즈 솔리드퍼퓸 - 30ml (스테이포에버 주문 시 12/14 부터 순차배송)향=이그나이트, 세트 선택=1 개"/>
    <n v="2"/>
    <x v="0"/>
    <s v="이그나이트"/>
    <n v="201210"/>
    <m/>
    <n v="76000"/>
    <n v="71554"/>
    <n v="5776"/>
    <n v="69090.90909090909"/>
    <s v="카페24고체향수유즈 솔리드퍼퓸 - 30ml (스테이포에버 주문 시 12/14 부터 순차배송)향=이그나이트, 세트 선택=1 개201210"/>
  </r>
  <r>
    <x v="192"/>
    <s v="수"/>
    <x v="11"/>
    <s v="카페24"/>
    <s v="유즈 솔리드퍼퓸 - 30ml (스테이포에버 주문 시 12/14 부터 순차배송)향=스테이포에버, 세트 선택=1 개"/>
    <n v="6"/>
    <x v="0"/>
    <s v="스테이포에버"/>
    <n v="201210"/>
    <m/>
    <n v="228000"/>
    <n v="214662"/>
    <n v="16698"/>
    <n v="207272.7272727273"/>
    <s v="카페24고체향수유즈 솔리드퍼퓸 - 30ml (스테이포에버 주문 시 12/14 부터 순차배송)향=스테이포에버, 세트 선택=1 개201210"/>
  </r>
  <r>
    <x v="193"/>
    <s v="목"/>
    <x v="11"/>
    <s v="카페24"/>
    <s v="유즈 솔리드퍼퓸 - 30ml (스테이포에버 주문 시 12/14 부터 순차배송)향=스테이포에버, 세트 선택=2개 (28% off)"/>
    <n v="2"/>
    <x v="0"/>
    <s v="스테이포에버 2set"/>
    <n v="201210"/>
    <m/>
    <n v="117600"/>
    <n v="110720.4"/>
    <n v="11132"/>
    <n v="106909.0909090909"/>
    <s v="카페24고체향수유즈 솔리드퍼퓸 - 30ml (스테이포에버 주문 시 12/14 부터 순차배송)향=스테이포에버, 세트 선택=2개 (28% off)201210"/>
  </r>
  <r>
    <x v="192"/>
    <s v="수"/>
    <x v="11"/>
    <s v="카페24"/>
    <s v="유즈 솔리드퍼퓸 - 30ml (스테이포에버 주문 시 12/14 부터 순차배송)향=이그나이트 + 스테이포에버, 세트 선택=1 SET"/>
    <n v="7"/>
    <x v="0"/>
    <s v="이그나이트 + 스테이포에버"/>
    <n v="201210"/>
    <m/>
    <n v="483000"/>
    <n v="454744.5"/>
    <n v="39697"/>
    <n v="439090.9090909091"/>
    <s v="카페24고체향수유즈 솔리드퍼퓸 - 30ml (스테이포에버 주문 시 12/14 부터 순차배송)향=이그나이트 + 스테이포에버, 세트 선택=1 SET201210"/>
  </r>
  <r>
    <x v="195"/>
    <s v="토"/>
    <x v="11"/>
    <s v="카페24"/>
    <s v="유즈 솔리드퍼퓸 - 30ml (스테이포에버 주문 시 12/14 순차배송)향=이그나이트, 세트 선택=1 개"/>
    <n v="2"/>
    <x v="0"/>
    <s v="이그나이트"/>
    <n v="201210"/>
    <m/>
    <n v="76000"/>
    <n v="71554"/>
    <n v="5776"/>
    <n v="69090.90909090909"/>
    <s v="카페24고체향수유즈 솔리드퍼퓸 - 30ml (스테이포에버 주문 시 12/14 순차배송)향=이그나이트, 세트 선택=1 개201210"/>
  </r>
  <r>
    <x v="195"/>
    <s v="토"/>
    <x v="11"/>
    <s v="카페24"/>
    <s v="유즈 솔리드퍼퓸 - 30ml (스테이포에버 주문 시 12/14 순차배송)향=스테이포에버, 세트 선택=1 개"/>
    <n v="9"/>
    <x v="0"/>
    <s v="스테이포에버"/>
    <n v="201210"/>
    <m/>
    <n v="342000"/>
    <n v="321993"/>
    <n v="25047"/>
    <n v="310909.0909090909"/>
    <s v="카페24고체향수유즈 솔리드퍼퓸 - 30ml (스테이포에버 주문 시 12/14 순차배송)향=스테이포에버, 세트 선택=1 개201210"/>
  </r>
  <r>
    <x v="195"/>
    <s v="토"/>
    <x v="11"/>
    <s v="카페24"/>
    <s v="유즈 솔리드퍼퓸 - 30ml (스테이포에버 주문 시 12/14 순차배송)향=스테이포에버, 세트 선택=2개 (28% off)"/>
    <n v="8"/>
    <x v="0"/>
    <s v="스테이포에버 2set"/>
    <n v="201210"/>
    <m/>
    <n v="470400"/>
    <n v="442881.6"/>
    <n v="44528"/>
    <n v="427636.3636363636"/>
    <s v="카페24고체향수유즈 솔리드퍼퓸 - 30ml (스테이포에버 주문 시 12/14 순차배송)향=스테이포에버, 세트 선택=2개 (28% off)201210"/>
  </r>
  <r>
    <x v="195"/>
    <s v="토"/>
    <x v="11"/>
    <s v="카페24"/>
    <s v="유즈 솔리드퍼퓸 - 30ml (스테이포에버 주문 시 12/14 순차배송)향=이그나이트 + 스테이포에버, 세트 선택=1 SET"/>
    <n v="6"/>
    <x v="0"/>
    <s v="이그나이트 + 스테이포에버"/>
    <n v="201210"/>
    <m/>
    <n v="414000"/>
    <n v="389781"/>
    <n v="34026"/>
    <n v="376363.6363636364"/>
    <s v="카페24고체향수유즈 솔리드퍼퓸 - 30ml (스테이포에버 주문 시 12/14 순차배송)향=이그나이트 + 스테이포에버, 세트 선택=1 SET201210"/>
  </r>
  <r>
    <x v="195"/>
    <s v="토"/>
    <x v="11"/>
    <s v="카페24"/>
    <s v="유즈 솔리드퍼퓸 - 30ml (스테이포에버 주문 시 12/14 순차배송)향=이그나이트 + 스테이포에버, 세트 선택=2 SET (42% off)"/>
    <n v="1"/>
    <x v="0"/>
    <s v="이그나이트 + 스테이포에버 2set"/>
    <n v="201210"/>
    <m/>
    <n v="94800"/>
    <n v="89254.2"/>
    <n v="11342"/>
    <n v="86181.81818181818"/>
    <s v="카페24고체향수유즈 솔리드퍼퓸 - 30ml (스테이포에버 주문 시 12/14 순차배송)향=이그나이트 + 스테이포에버, 세트 선택=2 SET (42% off)201210"/>
  </r>
  <r>
    <x v="195"/>
    <s v="토"/>
    <x v="11"/>
    <s v="카페24"/>
    <s v="유즈 스테이포에버 솔리드퍼퓸 002 (스테이포에버 주문시 12/14 순차배송)제품선택=스테이포에버 솔리드퍼퓸 002[Pre-order 이벤트 17% 할인]"/>
    <n v="175"/>
    <x v="0"/>
    <s v="스테이포에버"/>
    <n v="201210"/>
    <m/>
    <n v="6650000"/>
    <n v="6260975"/>
    <n v="487025"/>
    <n v="6045454.545454545"/>
    <s v="카페24고체향수유즈 스테이포에버 솔리드퍼퓸 002 (스테이포에버 주문시 12/14 순차배송)제품선택=스테이포에버 솔리드퍼퓸 002[Pre-order 이벤트 17% 할인]201210"/>
  </r>
  <r>
    <x v="195"/>
    <s v="토"/>
    <x v="11"/>
    <s v="카페24"/>
    <s v="유즈 스테이포에버 솔리드퍼퓸 002 (스테이포에버 주문시 12/14 순차배송)제품선택=스테이포에버 2개 세트[Pre-order 이벤트 28% 할인]"/>
    <n v="64"/>
    <x v="0"/>
    <s v="스테이포에버 2set"/>
    <n v="201210"/>
    <m/>
    <n v="3763200"/>
    <n v="3543052.8"/>
    <n v="356224"/>
    <n v="3421090.909090909"/>
    <s v="카페24고체향수유즈 스테이포에버 솔리드퍼퓸 002 (스테이포에버 주문시 12/14 순차배송)제품선택=스테이포에버 2개 세트[Pre-order 이벤트 28% 할인]201210"/>
  </r>
  <r>
    <x v="195"/>
    <s v="토"/>
    <x v="11"/>
    <s v="카페24"/>
    <s v="유즈 스테이포에버 솔리드퍼퓸 002 (스테이포에버 주문시 12/14 순차배송)제품선택=스테이포에버 + 이그나이트 세트"/>
    <n v="19"/>
    <x v="0"/>
    <s v="이그나이트 + 스테이포에버"/>
    <n v="201210"/>
    <m/>
    <n v="1311000"/>
    <n v="1234306.5"/>
    <n v="107749"/>
    <n v="1191818.181818182"/>
    <s v="카페24고체향수유즈 스테이포에버 솔리드퍼퓸 002 (스테이포에버 주문시 12/14 순차배송)제품선택=스테이포에버 + 이그나이트 세트201210"/>
  </r>
  <r>
    <x v="195"/>
    <s v="토"/>
    <x v="11"/>
    <s v="카페24"/>
    <s v="유즈 스테이포에버 솔리드퍼퓸 002 (스테이포에버 주문시 12/14 순차배송)쇼핑백=선물용 쇼핑백"/>
    <n v="6"/>
    <x v="2"/>
    <s v="쇼핑백"/>
    <n v="201210"/>
    <m/>
    <n v="12000"/>
    <n v="11298"/>
    <n v="7260"/>
    <n v="10909.09090909091"/>
    <s v="카페24쇼핑백유즈 스테이포에버 솔리드퍼퓸 002 (스테이포에버 주문시 12/14 순차배송)쇼핑백=선물용 쇼핑백201210"/>
  </r>
  <r>
    <x v="195"/>
    <s v="토"/>
    <x v="11"/>
    <s v="카페24"/>
    <s v="유즈 이그나이트 솔리드퍼퓸 001제품선택=이그나이트 솔리드퍼퓸 - 30ml"/>
    <n v="2"/>
    <x v="0"/>
    <s v="이그나이트"/>
    <n v="201210"/>
    <m/>
    <n v="76000"/>
    <n v="71554"/>
    <n v="5776"/>
    <n v="69090.90909090909"/>
    <s v="카페24고체향수유즈 이그나이트 솔리드퍼퓸 001제품선택=이그나이트 솔리드퍼퓸 - 30ml201210"/>
  </r>
  <r>
    <x v="193"/>
    <s v="목"/>
    <x v="11"/>
    <s v="카페24"/>
    <s v="유즈 솔리드퍼퓸 - 30ml (스테이포에버 주문 시 12/14 순차배송)향=스테이포에버, 세트 선택=1 개"/>
    <n v="49"/>
    <x v="0"/>
    <s v="스테이포에버"/>
    <n v="201210"/>
    <m/>
    <n v="1862000"/>
    <n v="1753073"/>
    <n v="136367"/>
    <n v="1692727.272727273"/>
    <s v="카페24고체향수유즈 솔리드퍼퓸 - 30ml (스테이포에버 주문 시 12/14 순차배송)향=스테이포에버, 세트 선택=1 개201210"/>
  </r>
  <r>
    <x v="193"/>
    <s v="목"/>
    <x v="11"/>
    <s v="카페24"/>
    <s v="유즈 솔리드퍼퓸 - 30ml (스테이포에버 주문 시 12/14 순차배송)향=스테이포에버, 세트 선택=2개 (28% off)"/>
    <n v="16"/>
    <x v="0"/>
    <s v="스테이포에버 2set"/>
    <n v="201210"/>
    <m/>
    <n v="940800"/>
    <n v="885763.2"/>
    <n v="89056"/>
    <n v="855272.7272727272"/>
    <s v="카페24고체향수유즈 솔리드퍼퓸 - 30ml (스테이포에버 주문 시 12/14 순차배송)향=스테이포에버, 세트 선택=2개 (28% off)201210"/>
  </r>
  <r>
    <x v="193"/>
    <s v="목"/>
    <x v="11"/>
    <s v="카페24"/>
    <s v="유즈 솔리드퍼퓸 - 30ml (스테이포에버 주문 시 12/14 순차배송)향=이그나이트 + 스테이포에버, 세트 선택=1 SET"/>
    <n v="23"/>
    <x v="0"/>
    <s v="이그나이트 + 스테이포에버"/>
    <n v="201210"/>
    <m/>
    <n v="1587000"/>
    <n v="1494160.5"/>
    <n v="130433"/>
    <n v="1442727.272727273"/>
    <s v="카페24고체향수유즈 솔리드퍼퓸 - 30ml (스테이포에버 주문 시 12/14 순차배송)향=이그나이트 + 스테이포에버, 세트 선택=1 SET201210"/>
  </r>
  <r>
    <x v="193"/>
    <s v="목"/>
    <x v="11"/>
    <s v="카페24"/>
    <s v="유즈 솔리드퍼퓸 - 30ml (스테이포에버 주문 시 12/14 순차배송)향=이그나이트 + 스테이포에버, 세트 선택=2 SET (42% off)"/>
    <n v="3"/>
    <x v="0"/>
    <s v="이그나이트 + 스테이포에버 2set"/>
    <n v="201210"/>
    <m/>
    <n v="284400"/>
    <n v="267762.6"/>
    <n v="34026"/>
    <n v="258545.4545454545"/>
    <s v="카페24고체향수유즈 솔리드퍼퓸 - 30ml (스테이포에버 주문 시 12/14 순차배송)향=이그나이트 + 스테이포에버, 세트 선택=2 SET (42% off)201210"/>
  </r>
  <r>
    <x v="197"/>
    <s v="월"/>
    <x v="11"/>
    <s v="카페24"/>
    <s v="유즈 솔리드퍼퓸 - 30ml (스테이포에버 주문 시 12/15 순차배송)향=이그나이트, 세트 선택=1 개"/>
    <n v="1"/>
    <x v="0"/>
    <s v="이그나이트"/>
    <n v="201210"/>
    <m/>
    <n v="38000"/>
    <n v="35777"/>
    <n v="2888"/>
    <n v="34545.45454545454"/>
    <s v="카페24고체향수유즈 솔리드퍼퓸 - 30ml (스테이포에버 주문 시 12/15 순차배송)향=이그나이트, 세트 선택=1 개201210"/>
  </r>
  <r>
    <x v="197"/>
    <s v="월"/>
    <x v="11"/>
    <s v="카페24"/>
    <s v="유즈 솔리드퍼퓸 - 30ml (스테이포에버 주문 시 12/15 순차배송)향=스테이포에버, 세트 선택=1 개"/>
    <n v="24"/>
    <x v="0"/>
    <s v="스테이포에버"/>
    <n v="201210"/>
    <m/>
    <n v="912000"/>
    <n v="858648"/>
    <n v="66792"/>
    <n v="829090.9090909091"/>
    <s v="카페24고체향수유즈 솔리드퍼퓸 - 30ml (스테이포에버 주문 시 12/15 순차배송)향=스테이포에버, 세트 선택=1 개201210"/>
  </r>
  <r>
    <x v="197"/>
    <s v="월"/>
    <x v="11"/>
    <s v="카페24"/>
    <s v="유즈 솔리드퍼퓸 - 30ml (스테이포에버 주문 시 12/15 순차배송)향=스테이포에버, 세트 선택=2개 (28% off)"/>
    <n v="9"/>
    <x v="0"/>
    <s v="스테이포에버 2set"/>
    <n v="201210"/>
    <m/>
    <n v="529200"/>
    <n v="498241.8"/>
    <n v="50094"/>
    <n v="481090.9090909091"/>
    <s v="카페24고체향수유즈 솔리드퍼퓸 - 30ml (스테이포에버 주문 시 12/15 순차배송)향=스테이포에버, 세트 선택=2개 (28% off)201210"/>
  </r>
  <r>
    <x v="197"/>
    <s v="월"/>
    <x v="11"/>
    <s v="카페24"/>
    <s v="유즈 솔리드퍼퓸 - 30ml (스테이포에버 주문 시 12/15 순차배송)향=이그나이트 + 스테이포에버, 세트 선택=1 SET"/>
    <n v="10"/>
    <x v="0"/>
    <s v="이그나이트 + 스테이포에버"/>
    <n v="201210"/>
    <m/>
    <n v="690000"/>
    <n v="649635"/>
    <n v="56710"/>
    <n v="627272.7272727272"/>
    <s v="카페24고체향수유즈 솔리드퍼퓸 - 30ml (스테이포에버 주문 시 12/15 순차배송)향=이그나이트 + 스테이포에버, 세트 선택=1 SET201210"/>
  </r>
  <r>
    <x v="192"/>
    <s v="수"/>
    <x v="11"/>
    <s v="카페24"/>
    <s v="유즈 솔리드퍼퓸 - 30ml (스테이포에버 주문 시 12/4 부터 순차배송)향=스테이포에버, 세트 선택=1 개"/>
    <n v="6"/>
    <x v="0"/>
    <s v="스테이포에버"/>
    <n v="201210"/>
    <m/>
    <n v="228000"/>
    <n v="214662"/>
    <n v="16698"/>
    <n v="207272.7272727273"/>
    <s v="카페24고체향수유즈 솔리드퍼퓸 - 30ml (스테이포에버 주문 시 12/4 부터 순차배송)향=스테이포에버, 세트 선택=1 개201210"/>
  </r>
  <r>
    <x v="192"/>
    <s v="수"/>
    <x v="11"/>
    <s v="카페24"/>
    <s v="유즈 솔리드퍼퓸 - 30ml (스테이포에버 주문 시 12/4 부터 순차배송)향=이그나이트 + 스테이포에버, 세트 선택=1 SET"/>
    <n v="3"/>
    <x v="0"/>
    <s v="이그나이트 + 스테이포에버"/>
    <n v="201210"/>
    <m/>
    <n v="207000"/>
    <n v="194890.5"/>
    <n v="17013"/>
    <n v="188181.8181818182"/>
    <s v="카페24고체향수유즈 솔리드퍼퓸 - 30ml (스테이포에버 주문 시 12/4 부터 순차배송)향=이그나이트 + 스테이포에버, 세트 선택=1 SET201210"/>
  </r>
  <r>
    <x v="197"/>
    <s v="월"/>
    <x v="11"/>
    <s v="카페24"/>
    <s v="유즈 스테이포에버 솔리드퍼퓸 002제품선택=스테이포에버 솔리드퍼퓸"/>
    <n v="1"/>
    <x v="0"/>
    <s v="스테이포에버"/>
    <n v="201210"/>
    <m/>
    <n v="38000"/>
    <n v="35777"/>
    <n v="2783"/>
    <n v="34545.45454545454"/>
    <s v="카페24고체향수유즈 스테이포에버 솔리드퍼퓸 002제품선택=스테이포에버 솔리드퍼퓸201210"/>
  </r>
  <r>
    <x v="192"/>
    <s v="수"/>
    <x v="11"/>
    <s v="카페24"/>
    <s v="유즈 스테이포에버 솔리드퍼퓸 002 (12/14 부터 순차배송)제품선택=스테이포에버 솔리드퍼퓸 002[Pre-order 이벤트 17% 할인]"/>
    <n v="127"/>
    <x v="0"/>
    <s v="스테이포에버"/>
    <n v="201210"/>
    <m/>
    <n v="4826000"/>
    <n v="4543679"/>
    <n v="353441"/>
    <n v="4387272.727272727"/>
    <s v="카페24고체향수유즈 스테이포에버 솔리드퍼퓸 002 (12/14 부터 순차배송)제품선택=스테이포에버 솔리드퍼퓸 002[Pre-order 이벤트 17% 할인]201210"/>
  </r>
  <r>
    <x v="192"/>
    <s v="수"/>
    <x v="11"/>
    <s v="카페24"/>
    <s v="유즈 스테이포에버 솔리드퍼퓸 002 (12/14 부터 순차배송)제품선택=스테이포에버 2개 세트[Pre-order 이벤트 28% 할인]"/>
    <n v="54"/>
    <x v="0"/>
    <s v="스테이포에버 2set"/>
    <n v="201210"/>
    <m/>
    <n v="3175200"/>
    <n v="2989450.8"/>
    <n v="300564"/>
    <n v="2886545.454545454"/>
    <s v="카페24고체향수유즈 스테이포에버 솔리드퍼퓸 002 (12/14 부터 순차배송)제품선택=스테이포에버 2개 세트[Pre-order 이벤트 28% 할인]201210"/>
  </r>
  <r>
    <x v="192"/>
    <s v="수"/>
    <x v="11"/>
    <s v="카페24"/>
    <s v="유즈 스테이포에버 솔리드퍼퓸 002 (12/14 부터 순차배송)제품선택=스테이포에버 + 이그나이트 세트"/>
    <n v="12"/>
    <x v="0"/>
    <s v="이그나이트 + 스테이포에버"/>
    <n v="201210"/>
    <m/>
    <n v="828000"/>
    <n v="779562"/>
    <n v="68052"/>
    <n v="752727.2727272727"/>
    <s v="카페24고체향수유즈 스테이포에버 솔리드퍼퓸 002 (12/14 부터 순차배송)제품선택=스테이포에버 + 이그나이트 세트201210"/>
  </r>
  <r>
    <x v="192"/>
    <s v="수"/>
    <x v="11"/>
    <s v="카페24"/>
    <s v="유즈 스테이포에버 솔리드퍼퓸 002 (12/14 부터 순차배송)쇼핑백=선물용 쇼핑백"/>
    <n v="5"/>
    <x v="2"/>
    <s v="쇼핑백"/>
    <n v="201210"/>
    <m/>
    <n v="10000"/>
    <n v="9415"/>
    <n v="6050"/>
    <n v="9090.90909090909"/>
    <s v="카페24쇼핑백유즈 스테이포에버 솔리드퍼퓸 002 (12/14 부터 순차배송)쇼핑백=선물용 쇼핑백201210"/>
  </r>
  <r>
    <x v="193"/>
    <s v="목"/>
    <x v="11"/>
    <s v="카페24"/>
    <s v="유즈 스테이포에버 솔리드퍼퓸 002 (12/14 순차배송)제품선택=스테이포에버 솔리드퍼퓸 002[Pre-order 이벤트 17% 할인]"/>
    <n v="2"/>
    <x v="0"/>
    <s v="스테이포에버"/>
    <n v="201210"/>
    <m/>
    <n v="76000"/>
    <n v="71554"/>
    <n v="5566"/>
    <n v="69090.90909090909"/>
    <s v="카페24고체향수유즈 스테이포에버 솔리드퍼퓸 002 (12/14 순차배송)제품선택=스테이포에버 솔리드퍼퓸 002[Pre-order 이벤트 17% 할인]201210"/>
  </r>
  <r>
    <x v="193"/>
    <s v="목"/>
    <x v="11"/>
    <s v="카페24"/>
    <s v="유즈 스테이포에버 솔리드퍼퓸 002 (12/14 순차배송)제품선택=스테이포에버 2개 세트[Pre-order 이벤트 28% 할인]"/>
    <n v="3"/>
    <x v="0"/>
    <s v="스테이포에버 2set"/>
    <n v="201210"/>
    <m/>
    <n v="176400"/>
    <n v="166080.6"/>
    <n v="16698"/>
    <n v="160363.6363636364"/>
    <s v="카페24고체향수유즈 스테이포에버 솔리드퍼퓸 002 (12/14 순차배송)제품선택=스테이포에버 2개 세트[Pre-order 이벤트 28% 할인]201210"/>
  </r>
  <r>
    <x v="193"/>
    <s v="목"/>
    <x v="11"/>
    <s v="카페24"/>
    <s v="유즈 스테이포에버 솔리드퍼퓸 002 (12/14 순차배송)쇼핑백=선물용 쇼핑백"/>
    <n v="1"/>
    <x v="2"/>
    <s v="쇼핑백"/>
    <n v="201210"/>
    <m/>
    <n v="2000"/>
    <n v="1883"/>
    <n v="1210"/>
    <n v="1818.181818181818"/>
    <s v="카페24쇼핑백유즈 스테이포에버 솔리드퍼퓸 002 (12/14 순차배송)쇼핑백=선물용 쇼핑백201210"/>
  </r>
  <r>
    <x v="192"/>
    <s v="수"/>
    <x v="11"/>
    <s v="카페24"/>
    <s v="유즈 스테이포에버 솔리드퍼퓸 002 (12/4 부터 순차배송)쇼핑백=선물용 쇼핑백"/>
    <n v="7"/>
    <x v="2"/>
    <s v="쇼핑백"/>
    <n v="201210"/>
    <m/>
    <n v="14000"/>
    <n v="13181"/>
    <n v="8470"/>
    <n v="12727.27272727273"/>
    <s v="카페24쇼핑백유즈 스테이포에버 솔리드퍼퓸 002 (12/4 부터 순차배송)쇼핑백=선물용 쇼핑백201210"/>
  </r>
  <r>
    <x v="193"/>
    <s v="목"/>
    <x v="11"/>
    <s v="카페24"/>
    <s v="유즈 스테이포에버 솔리드퍼퓸 002 (스테이포에버 주문시 12/14 순차배송)쇼핑백=선물용 쇼핑백"/>
    <n v="31"/>
    <x v="2"/>
    <s v="쇼핑백"/>
    <n v="201210"/>
    <m/>
    <n v="62000"/>
    <n v="58373"/>
    <n v="37510"/>
    <n v="56363.63636363636"/>
    <s v="카페24쇼핑백유즈 스테이포에버 솔리드퍼퓸 002 (스테이포에버 주문시 12/14 순차배송)쇼핑백=선물용 쇼핑백201210"/>
  </r>
  <r>
    <x v="193"/>
    <s v="목"/>
    <x v="11"/>
    <s v="카페24"/>
    <s v="유즈 스테이포에버 솔리드퍼퓸 002 (12/14 입고 이후 순차배송)제품선택=스테이포에버 솔리드퍼퓸 002[Pre-order 이벤트 17% 할인]"/>
    <n v="2"/>
    <x v="0"/>
    <s v="스테이포에버"/>
    <n v="201210"/>
    <m/>
    <n v="76000"/>
    <n v="71554"/>
    <n v="5566"/>
    <n v="69090.90909090909"/>
    <s v="카페24고체향수유즈 스테이포에버 솔리드퍼퓸 002 (12/14 입고 이후 순차배송)제품선택=스테이포에버 솔리드퍼퓸 002[Pre-order 이벤트 17% 할인]201210"/>
  </r>
  <r>
    <x v="192"/>
    <s v="수"/>
    <x v="11"/>
    <s v="카페24"/>
    <s v="유즈 스테이포에버 솔리드퍼퓸 002 (12/4 부터 순차배송)제품선택=스테이포에버 솔리드퍼퓸 002[Pre-order 이벤트 17% 할인]"/>
    <n v="83"/>
    <x v="0"/>
    <s v="스테이포에버"/>
    <n v="201210"/>
    <m/>
    <n v="3154000"/>
    <n v="2969491"/>
    <n v="230989"/>
    <n v="2867272.727272727"/>
    <s v="카페24고체향수유즈 스테이포에버 솔리드퍼퓸 002 (12/4 부터 순차배송)제품선택=스테이포에버 솔리드퍼퓸 002[Pre-order 이벤트 17% 할인]201210"/>
  </r>
  <r>
    <x v="192"/>
    <s v="수"/>
    <x v="11"/>
    <s v="카페24"/>
    <s v="유즈 스테이포에버 솔리드퍼퓸 002 (12/4 부터 순차배송)제품선택=스테이포에버 2개 세트[Pre-order 이벤트 28% 할인]"/>
    <n v="25"/>
    <x v="0"/>
    <s v="스테이포에버 2set"/>
    <n v="201210"/>
    <m/>
    <n v="1470000"/>
    <n v="1384005"/>
    <n v="139150"/>
    <n v="1336363.636363636"/>
    <s v="카페24고체향수유즈 스테이포에버 솔리드퍼퓸 002 (12/4 부터 순차배송)제품선택=스테이포에버 2개 세트[Pre-order 이벤트 28% 할인]201210"/>
  </r>
  <r>
    <x v="192"/>
    <s v="수"/>
    <x v="11"/>
    <s v="카페24"/>
    <s v="유즈 스테이포에버 솔리드퍼퓸 002 (12/4 부터 순차배송)제품선택=스테이포에버 + 이그나이트 세트"/>
    <n v="6"/>
    <x v="0"/>
    <s v="이그나이트 + 스테이포에버"/>
    <n v="201210"/>
    <m/>
    <n v="414000"/>
    <n v="389781"/>
    <n v="34026"/>
    <n v="376363.6363636364"/>
    <s v="카페24고체향수유즈 스테이포에버 솔리드퍼퓸 002 (12/4 부터 순차배송)제품선택=스테이포에버 + 이그나이트 세트201210"/>
  </r>
  <r>
    <x v="193"/>
    <s v="목"/>
    <x v="11"/>
    <s v="카페24"/>
    <s v="유즈 스테이포에버 솔리드퍼퓸 002 (스테이포에버 주문시 12/14 순차배송)제품선택=스테이포에버 솔리드퍼퓸 002[Pre-order 이벤트 17% 할인]"/>
    <n v="712"/>
    <x v="0"/>
    <s v="스테이포에버"/>
    <n v="201210"/>
    <m/>
    <n v="27056000"/>
    <n v="25473224"/>
    <n v="1981496"/>
    <n v="24596363.63636363"/>
    <s v="카페24고체향수유즈 스테이포에버 솔리드퍼퓸 002 (스테이포에버 주문시 12/14 순차배송)제품선택=스테이포에버 솔리드퍼퓸 002[Pre-order 이벤트 17% 할인]201210"/>
  </r>
  <r>
    <x v="193"/>
    <s v="목"/>
    <x v="11"/>
    <s v="카페24"/>
    <s v="유즈 스테이포에버 솔리드퍼퓸 002 (스테이포에버 주문시 12/14 순차배송)제품선택=스테이포에버 2개 세트[Pre-order 이벤트 28% 할인]"/>
    <n v="260"/>
    <x v="0"/>
    <s v="스테이포에버 2set"/>
    <n v="201210"/>
    <m/>
    <n v="15288000"/>
    <n v="14393652"/>
    <n v="1447160"/>
    <n v="13898181.81818182"/>
    <s v="카페24고체향수유즈 스테이포에버 솔리드퍼퓸 002 (스테이포에버 주문시 12/14 순차배송)제품선택=스테이포에버 2개 세트[Pre-order 이벤트 28% 할인]201210"/>
  </r>
  <r>
    <x v="193"/>
    <s v="목"/>
    <x v="11"/>
    <s v="카페24"/>
    <s v="유즈 스테이포에버 솔리드퍼퓸 002 (스테이포에버 주문시 12/14 순차배송)제품선택=스테이포에버 + 이그나이트 세트"/>
    <n v="57"/>
    <x v="0"/>
    <s v="이그나이트 + 스테이포에버"/>
    <n v="201210"/>
    <m/>
    <n v="3933000"/>
    <n v="3702919.5"/>
    <n v="323247"/>
    <n v="3575454.545454545"/>
    <s v="카페24고체향수유즈 스테이포에버 솔리드퍼퓸 002 (스테이포에버 주문시 12/14 순차배송)제품선택=스테이포에버 + 이그나이트 세트201210"/>
  </r>
  <r>
    <x v="197"/>
    <s v="월"/>
    <x v="11"/>
    <s v="카페24"/>
    <s v="유즈 스테이포에버 솔리드퍼퓸 002 (스테이포에버 주문시 12/15 순차배송)제품선택=스테이포에버 솔리드퍼퓸 002[Pre-order 이벤트 17% 할인]"/>
    <n v="322"/>
    <x v="0"/>
    <s v="스테이포에버"/>
    <n v="201210"/>
    <m/>
    <n v="12236000"/>
    <n v="11520194"/>
    <n v="896126"/>
    <n v="11123636.36363636"/>
    <s v="카페24고체향수유즈 스테이포에버 솔리드퍼퓸 002 (스테이포에버 주문시 12/15 순차배송)제품선택=스테이포에버 솔리드퍼퓸 002[Pre-order 이벤트 17% 할인]201210"/>
  </r>
  <r>
    <x v="197"/>
    <s v="월"/>
    <x v="11"/>
    <s v="카페24"/>
    <s v="유즈 스테이포에버 솔리드퍼퓸 002 (스테이포에버 주문시 12/15 순차배송)제품선택=스테이포에버 2개 세트[Pre-order 이벤트 28% 할인]"/>
    <n v="120"/>
    <x v="0"/>
    <s v="스테이포에버 2set"/>
    <n v="201210"/>
    <m/>
    <n v="7056000"/>
    <n v="6643224"/>
    <n v="667920"/>
    <n v="6414545.454545454"/>
    <s v="카페24고체향수유즈 스테이포에버 솔리드퍼퓸 002 (스테이포에버 주문시 12/15 순차배송)제품선택=스테이포에버 2개 세트[Pre-order 이벤트 28% 할인]201210"/>
  </r>
  <r>
    <x v="197"/>
    <s v="월"/>
    <x v="11"/>
    <s v="카페24"/>
    <s v="유즈 스테이포에버 솔리드퍼퓸 002 (스테이포에버 주문시 12/15 순차배송)제품선택=스테이포에버 + 이그나이트 세트"/>
    <n v="18"/>
    <x v="0"/>
    <s v="이그나이트 + 스테이포에버"/>
    <n v="201210"/>
    <m/>
    <n v="1242000"/>
    <n v="1169343"/>
    <n v="102078"/>
    <n v="1129090.909090909"/>
    <s v="카페24고체향수유즈 스테이포에버 솔리드퍼퓸 002 (스테이포에버 주문시 12/15 순차배송)제품선택=스테이포에버 + 이그나이트 세트201210"/>
  </r>
  <r>
    <x v="197"/>
    <s v="월"/>
    <x v="11"/>
    <s v="카페24"/>
    <s v="유즈 스테이포에버 솔리드퍼퓸 002 (스테이포에버 주문시 12/15 순차배송)쇼핑백=선물용 쇼핑백"/>
    <n v="10"/>
    <x v="2"/>
    <s v="쇼핑백"/>
    <n v="201210"/>
    <m/>
    <n v="20000"/>
    <n v="18830"/>
    <n v="12100"/>
    <n v="18181.81818181818"/>
    <s v="카페24쇼핑백유즈 스테이포에버 솔리드퍼퓸 002 (스테이포에버 주문시 12/15 순차배송)쇼핑백=선물용 쇼핑백201210"/>
  </r>
  <r>
    <x v="193"/>
    <s v="목"/>
    <x v="11"/>
    <s v="카페24"/>
    <s v="유즈 이그나이트 솔리드퍼퓸 001제품선택=이그나이트 솔리드퍼퓸 - 30ml"/>
    <n v="17"/>
    <x v="0"/>
    <s v="이그나이트"/>
    <n v="201210"/>
    <m/>
    <n v="646000"/>
    <n v="608209"/>
    <n v="49096"/>
    <n v="587272.7272727272"/>
    <s v="카페24고체향수유즈 이그나이트 솔리드퍼퓸 001제품선택=이그나이트 솔리드퍼퓸 - 30ml201210"/>
  </r>
  <r>
    <x v="193"/>
    <s v="목"/>
    <x v="11"/>
    <s v="카페24"/>
    <s v="유즈 이그나이트 솔리드퍼퓸 001제품선택=이그나이트 2개 세트"/>
    <n v="5"/>
    <x v="0"/>
    <s v="이그나이트 2set"/>
    <n v="201210"/>
    <m/>
    <n v="294000"/>
    <n v="276801"/>
    <n v="28880"/>
    <n v="267272.7272727272"/>
    <s v="카페24고체향수유즈 이그나이트 솔리드퍼퓸 001제품선택=이그나이트 2개 세트201210"/>
  </r>
  <r>
    <x v="194"/>
    <s v="금"/>
    <x v="11"/>
    <s v="유즈 CS"/>
    <s v="유즈 솔리드퍼퓸 - 30ml (스테이포에버 주문 시 12/14 순차배송)향=스테이포에버, 세트 선택=1 개"/>
    <n v="1"/>
    <x v="0"/>
    <s v="스테이포에버"/>
    <n v="201210"/>
    <m/>
    <n v="0"/>
    <n v="0"/>
    <n v="5671"/>
    <n v="0"/>
    <s v="유즈 CS고체향수유즈 솔리드퍼퓸 - 30ml (스테이포에버 주문 시 12/14 순차배송)향=스테이포에버, 세트 선택=1 개201210"/>
  </r>
  <r>
    <x v="194"/>
    <s v="금"/>
    <x v="11"/>
    <s v="유즈 CS"/>
    <s v="유즈 스테이포에버 솔리드퍼퓸 002 (스테이포에버 주문시 12/14 순차배송)제품선택=스테이포에버 솔리드퍼퓸 002[Pre-order 이벤트 17% 할인]"/>
    <n v="1"/>
    <x v="0"/>
    <s v="스테이포에버"/>
    <n v="201210"/>
    <m/>
    <n v="0"/>
    <n v="0"/>
    <n v="5671"/>
    <n v="0"/>
    <s v="유즈 CS고체향수유즈 스테이포에버 솔리드퍼퓸 002 (스테이포에버 주문시 12/14 순차배송)제품선택=스테이포에버 솔리드퍼퓸 002[Pre-order 이벤트 17% 할인]201210"/>
  </r>
  <r>
    <x v="194"/>
    <s v="금"/>
    <x v="11"/>
    <s v="카페24"/>
    <s v="유즈 솔리드퍼퓸 - 30ml (스테이포에버 주문 시 12/14 순차배송)향=스테이포에버, 세트 선택=1 개"/>
    <n v="14"/>
    <x v="0"/>
    <s v="스테이포에버"/>
    <n v="201210"/>
    <m/>
    <n v="532000"/>
    <n v="500878"/>
    <n v="38962"/>
    <n v="483636.3636363636"/>
    <s v="카페24고체향수유즈 솔리드퍼퓸 - 30ml (스테이포에버 주문 시 12/14 순차배송)향=스테이포에버, 세트 선택=1 개201210"/>
  </r>
  <r>
    <x v="194"/>
    <s v="금"/>
    <x v="11"/>
    <s v="카페24"/>
    <s v="유즈 솔리드퍼퓸 - 30ml (스테이포에버 주문 시 12/14 순차배송)향=스테이포에버, 세트 선택=2개 (28% off)"/>
    <n v="1"/>
    <x v="0"/>
    <s v="스테이포에버 2set"/>
    <n v="201210"/>
    <m/>
    <n v="58800"/>
    <n v="55360.2"/>
    <n v="5566"/>
    <n v="53454.54545454545"/>
    <s v="카페24고체향수유즈 솔리드퍼퓸 - 30ml (스테이포에버 주문 시 12/14 순차배송)향=스테이포에버, 세트 선택=2개 (28% off)201210"/>
  </r>
  <r>
    <x v="194"/>
    <s v="금"/>
    <x v="11"/>
    <s v="카페24"/>
    <s v="유즈 솔리드퍼퓸 - 30ml (스테이포에버 주문 시 12/14 순차배송)향=이그나이트 + 스테이포에버, 세트 선택=1 SET"/>
    <n v="4"/>
    <x v="0"/>
    <s v="이그나이트 + 스테이포에버"/>
    <n v="201210"/>
    <m/>
    <n v="276000"/>
    <n v="259854"/>
    <n v="22684"/>
    <n v="250909.0909090909"/>
    <s v="카페24고체향수유즈 솔리드퍼퓸 - 30ml (스테이포에버 주문 시 12/14 순차배송)향=이그나이트 + 스테이포에버, 세트 선택=1 SET201210"/>
  </r>
  <r>
    <x v="194"/>
    <s v="금"/>
    <x v="11"/>
    <s v="카페24"/>
    <s v="유즈 스테이포에버 솔리드퍼퓸 002 (12/4 부터 순차배송)제품선택=스테이포에버 솔리드퍼퓸 002[Pre-order 이벤트 17% 할인]"/>
    <n v="1"/>
    <x v="0"/>
    <s v="스테이포에버"/>
    <n v="201210"/>
    <m/>
    <n v="38000"/>
    <n v="35777"/>
    <n v="2783"/>
    <n v="34545.45454545454"/>
    <s v="카페24고체향수유즈 스테이포에버 솔리드퍼퓸 002 (12/4 부터 순차배송)제품선택=스테이포에버 솔리드퍼퓸 002[Pre-order 이벤트 17% 할인]201210"/>
  </r>
  <r>
    <x v="194"/>
    <s v="금"/>
    <x v="11"/>
    <s v="카페24"/>
    <s v="유즈 스테이포에버 솔리드퍼퓸 002 (스테이포에버 주문시 12/14 순차배송)제품선택=스테이포에버 솔리드퍼퓸 002[Pre-order 이벤트 17% 할인]"/>
    <n v="166"/>
    <x v="0"/>
    <s v="스테이포에버"/>
    <n v="201210"/>
    <m/>
    <n v="6308000"/>
    <n v="5938982"/>
    <n v="461978"/>
    <n v="5734545.454545454"/>
    <s v="카페24고체향수유즈 스테이포에버 솔리드퍼퓸 002 (스테이포에버 주문시 12/14 순차배송)제품선택=스테이포에버 솔리드퍼퓸 002[Pre-order 이벤트 17% 할인]201210"/>
  </r>
  <r>
    <x v="194"/>
    <s v="금"/>
    <x v="11"/>
    <s v="카페24"/>
    <s v="유즈 스테이포에버 솔리드퍼퓸 002 (스테이포에버 주문시 12/14 순차배송)제품선택=스테이포에버 2개 세트[Pre-order 이벤트 28% 할인]"/>
    <n v="47"/>
    <x v="0"/>
    <s v="스테이포에버 2set"/>
    <n v="201210"/>
    <m/>
    <n v="2763600"/>
    <n v="2601929.4"/>
    <n v="261602"/>
    <n v="2512363.636363636"/>
    <s v="카페24고체향수유즈 스테이포에버 솔리드퍼퓸 002 (스테이포에버 주문시 12/14 순차배송)제품선택=스테이포에버 2개 세트[Pre-order 이벤트 28% 할인]201210"/>
  </r>
  <r>
    <x v="194"/>
    <s v="금"/>
    <x v="11"/>
    <s v="카페24"/>
    <s v="유즈 스테이포에버 솔리드퍼퓸 002 (스테이포에버 주문시 12/14 순차배송)제품선택=스테이포에버 + 이그나이트 세트"/>
    <n v="12"/>
    <x v="0"/>
    <s v="이그나이트 + 스테이포에버"/>
    <n v="201210"/>
    <m/>
    <n v="828000"/>
    <n v="779562"/>
    <n v="68052"/>
    <n v="752727.2727272727"/>
    <s v="카페24고체향수유즈 스테이포에버 솔리드퍼퓸 002 (스테이포에버 주문시 12/14 순차배송)제품선택=스테이포에버 + 이그나이트 세트201210"/>
  </r>
  <r>
    <x v="194"/>
    <s v="금"/>
    <x v="11"/>
    <s v="카페24"/>
    <s v="유즈 스테이포에버 솔리드퍼퓸 002 (스테이포에버 주문시 12/14 순차배송)쇼핑백=선물용 쇼핑백"/>
    <n v="5"/>
    <x v="2"/>
    <s v="쇼핑백"/>
    <n v="201210"/>
    <m/>
    <n v="10000"/>
    <n v="9415"/>
    <n v="6050"/>
    <n v="9090.90909090909"/>
    <s v="카페24쇼핑백유즈 스테이포에버 솔리드퍼퓸 002 (스테이포에버 주문시 12/14 순차배송)쇼핑백=선물용 쇼핑백201210"/>
  </r>
  <r>
    <x v="194"/>
    <s v="금"/>
    <x v="11"/>
    <s v="카페24"/>
    <s v="유즈 이그나이트 솔리드퍼퓸 001제품선택=이그나이트 솔리드퍼퓸 - 30ml"/>
    <n v="2"/>
    <x v="0"/>
    <s v="이그나이트"/>
    <n v="201210"/>
    <m/>
    <n v="76000"/>
    <n v="71554"/>
    <n v="5776"/>
    <n v="69090.90909090909"/>
    <s v="카페24고체향수유즈 이그나이트 솔리드퍼퓸 001제품선택=이그나이트 솔리드퍼퓸 - 30ml201210"/>
  </r>
  <r>
    <x v="196"/>
    <s v="일"/>
    <x v="11"/>
    <s v="카페24"/>
    <s v="유즈 솔리드퍼퓸 - 30ml (스테이포에버 주문 시 12/14 부터 순차배송)향=스테이포에버, 세트 선택=1 개"/>
    <n v="1"/>
    <x v="0"/>
    <s v="스테이포에버"/>
    <n v="201210"/>
    <m/>
    <n v="38000"/>
    <n v="35777"/>
    <n v="2783"/>
    <n v="34545.45454545454"/>
    <s v="카페24고체향수유즈 솔리드퍼퓸 - 30ml (스테이포에버 주문 시 12/14 부터 순차배송)향=스테이포에버, 세트 선택=1 개201210"/>
  </r>
  <r>
    <x v="196"/>
    <s v="일"/>
    <x v="11"/>
    <s v="카페24"/>
    <s v="유즈 솔리드퍼퓸 - 30ml (스테이포에버 주문 시 12/14 순차배송)향=이그나이트, 세트 선택=1 개"/>
    <n v="1"/>
    <x v="0"/>
    <s v="이그나이트"/>
    <n v="201210"/>
    <m/>
    <n v="38000"/>
    <n v="35777"/>
    <n v="2888"/>
    <n v="34545.45454545454"/>
    <s v="카페24고체향수유즈 솔리드퍼퓸 - 30ml (스테이포에버 주문 시 12/14 순차배송)향=이그나이트, 세트 선택=1 개201210"/>
  </r>
  <r>
    <x v="196"/>
    <s v="일"/>
    <x v="11"/>
    <s v="카페24"/>
    <s v="유즈 솔리드퍼퓸 - 30ml (스테이포에버 주문 시 12/14 순차배송)향=스테이포에버, 세트 선택=1 개"/>
    <n v="11"/>
    <x v="0"/>
    <s v="스테이포에버"/>
    <n v="201210"/>
    <m/>
    <n v="418000"/>
    <n v="393547"/>
    <n v="30613"/>
    <n v="379999.9999999999"/>
    <s v="카페24고체향수유즈 솔리드퍼퓸 - 30ml (스테이포에버 주문 시 12/14 순차배송)향=스테이포에버, 세트 선택=1 개201210"/>
  </r>
  <r>
    <x v="196"/>
    <s v="일"/>
    <x v="11"/>
    <s v="카페24"/>
    <s v="유즈 솔리드퍼퓸 - 30ml (스테이포에버 주문 시 12/14 순차배송)향=스테이포에버, 세트 선택=2개 (28% off)"/>
    <n v="3"/>
    <x v="0"/>
    <s v="스테이포에버 2set"/>
    <n v="201210"/>
    <m/>
    <n v="176400"/>
    <n v="166080.6"/>
    <n v="16698"/>
    <n v="160363.6363636364"/>
    <s v="카페24고체향수유즈 솔리드퍼퓸 - 30ml (스테이포에버 주문 시 12/14 순차배송)향=스테이포에버, 세트 선택=2개 (28% off)201210"/>
  </r>
  <r>
    <x v="196"/>
    <s v="일"/>
    <x v="11"/>
    <s v="카페24"/>
    <s v="유즈 솔리드퍼퓸 - 30ml (스테이포에버 주문 시 12/14 순차배송)향=이그나이트 + 스테이포에버, 세트 선택=1 SET"/>
    <n v="7"/>
    <x v="0"/>
    <s v="이그나이트 + 스테이포에버"/>
    <n v="201210"/>
    <m/>
    <n v="483000"/>
    <n v="454744.5"/>
    <n v="39697"/>
    <n v="439090.9090909091"/>
    <s v="카페24고체향수유즈 솔리드퍼퓸 - 30ml (스테이포에버 주문 시 12/14 순차배송)향=이그나이트 + 스테이포에버, 세트 선택=1 SET201210"/>
  </r>
  <r>
    <x v="196"/>
    <s v="일"/>
    <x v="11"/>
    <s v="카페24"/>
    <s v="유즈 스테이포에버 솔리드퍼퓸 002 (12/4 부터 순차배송)제품선택=스테이포에버 + 이그나이트 세트"/>
    <n v="1"/>
    <x v="0"/>
    <s v="이그나이트 + 스테이포에버"/>
    <n v="201210"/>
    <m/>
    <n v="69000"/>
    <n v="64963.5"/>
    <n v="5671"/>
    <n v="62727.27272727272"/>
    <s v="카페24고체향수유즈 스테이포에버 솔리드퍼퓸 002 (12/4 부터 순차배송)제품선택=스테이포에버 + 이그나이트 세트201210"/>
  </r>
  <r>
    <x v="196"/>
    <s v="일"/>
    <x v="11"/>
    <s v="카페24"/>
    <s v="유즈 스테이포에버 솔리드퍼퓸 002 (스테이포에버 주문시 12/14 순차배송)제품선택=스테이포에버 솔리드퍼퓸 002[Pre-order 이벤트 17% 할인]"/>
    <n v="189"/>
    <x v="0"/>
    <s v="스테이포에버"/>
    <n v="201210"/>
    <m/>
    <n v="7182000"/>
    <n v="6761853"/>
    <n v="525987"/>
    <n v="6529090.909090908"/>
    <s v="카페24고체향수유즈 스테이포에버 솔리드퍼퓸 002 (스테이포에버 주문시 12/14 순차배송)제품선택=스테이포에버 솔리드퍼퓸 002[Pre-order 이벤트 17% 할인]201210"/>
  </r>
  <r>
    <x v="196"/>
    <s v="일"/>
    <x v="11"/>
    <s v="카페24"/>
    <s v="유즈 스테이포에버 솔리드퍼퓸 002 (스테이포에버 주문시 12/14 순차배송)제품선택=스테이포에버 2개 세트[Pre-order 이벤트 28% 할인]"/>
    <n v="73"/>
    <x v="0"/>
    <s v="스테이포에버 2set"/>
    <n v="201210"/>
    <m/>
    <n v="4292400"/>
    <n v="4041294.6"/>
    <n v="406318"/>
    <n v="3902181.818181818"/>
    <s v="카페24고체향수유즈 스테이포에버 솔리드퍼퓸 002 (스테이포에버 주문시 12/14 순차배송)제품선택=스테이포에버 2개 세트[Pre-order 이벤트 28% 할인]201210"/>
  </r>
  <r>
    <x v="196"/>
    <s v="일"/>
    <x v="11"/>
    <s v="카페24"/>
    <s v="유즈 스테이포에버 솔리드퍼퓸 002 (스테이포에버 주문시 12/14 순차배송)제품선택=스테이포에버 + 이그나이트 세트"/>
    <n v="17"/>
    <x v="0"/>
    <s v="이그나이트 + 스테이포에버"/>
    <n v="201210"/>
    <m/>
    <n v="1173000"/>
    <n v="1104379.5"/>
    <n v="96407"/>
    <n v="1066363.636363636"/>
    <s v="카페24고체향수유즈 스테이포에버 솔리드퍼퓸 002 (스테이포에버 주문시 12/14 순차배송)제품선택=스테이포에버 + 이그나이트 세트201210"/>
  </r>
  <r>
    <x v="196"/>
    <s v="일"/>
    <x v="11"/>
    <s v="카페24"/>
    <s v="유즈 스테이포에버 솔리드퍼퓸 002 (스테이포에버 주문시 12/14 순차배송)쇼핑백=선물용 쇼핑백"/>
    <n v="8"/>
    <x v="2"/>
    <s v="쇼핑백"/>
    <n v="201210"/>
    <m/>
    <n v="16000"/>
    <n v="15064"/>
    <n v="9680"/>
    <n v="14545.45454545454"/>
    <s v="카페24쇼핑백유즈 스테이포에버 솔리드퍼퓸 002 (스테이포에버 주문시 12/14 순차배송)쇼핑백=선물용 쇼핑백201210"/>
  </r>
  <r>
    <x v="196"/>
    <s v="일"/>
    <x v="11"/>
    <s v="카페24"/>
    <s v="유즈 이그나이트 솔리드퍼퓸 001제품선택=이그나이트 솔리드퍼퓸 - 30ml"/>
    <n v="2"/>
    <x v="0"/>
    <s v="이그나이트"/>
    <n v="201210"/>
    <m/>
    <n v="76000"/>
    <n v="71554"/>
    <n v="5776"/>
    <n v="69090.90909090909"/>
    <s v="카페24고체향수유즈 이그나이트 솔리드퍼퓸 001제품선택=이그나이트 솔리드퍼퓸 - 30ml201210"/>
  </r>
  <r>
    <x v="196"/>
    <s v="일"/>
    <x v="11"/>
    <s v="카페24"/>
    <s v="유즈 이그나이트 솔리드퍼퓸 001제품선택=이그나이트 2개 세트"/>
    <n v="2"/>
    <x v="0"/>
    <s v="이그나이트 2set"/>
    <n v="201210"/>
    <m/>
    <n v="117600"/>
    <n v="110720.4"/>
    <n v="11552"/>
    <n v="106909.0909090909"/>
    <s v="카페24고체향수유즈 이그나이트 솔리드퍼퓸 001제품선택=이그나이트 2개 세트201210"/>
  </r>
  <r>
    <x v="198"/>
    <s v="화"/>
    <x v="11"/>
    <s v="카페24"/>
    <s v="유즈 솔리드퍼퓸 - 30ml (스테이포에버 주문 시 12/15 순차배송)향=스테이포에버, 세트 선택=1 개"/>
    <n v="8"/>
    <x v="0"/>
    <s v="스테이포에버"/>
    <n v="201210"/>
    <m/>
    <n v="304000"/>
    <n v="286216"/>
    <n v="22264"/>
    <n v="276363.6363636364"/>
    <s v="카페24고체향수유즈 솔리드퍼퓸 - 30ml (스테이포에버 주문 시 12/15 순차배송)향=스테이포에버, 세트 선택=1 개201210"/>
  </r>
  <r>
    <x v="198"/>
    <s v="화"/>
    <x v="11"/>
    <s v="카페24"/>
    <s v="유즈 솔리드퍼퓸 - 30ml (스테이포에버 주문 시 12/15 순차배송)향=스테이포에버, 세트 선택=2개 (28% off)"/>
    <n v="4"/>
    <x v="0"/>
    <s v="스테이포에버 2set"/>
    <n v="201210"/>
    <m/>
    <n v="235200"/>
    <n v="221440.8"/>
    <n v="22264"/>
    <n v="213818.1818181818"/>
    <s v="카페24고체향수유즈 솔리드퍼퓸 - 30ml (스테이포에버 주문 시 12/15 순차배송)향=스테이포에버, 세트 선택=2개 (28% off)201210"/>
  </r>
  <r>
    <x v="198"/>
    <s v="화"/>
    <x v="11"/>
    <s v="카페24"/>
    <s v="유즈 솔리드퍼퓸 - 30ml (스테이포에버 주문 시 12/15 순차배송)향=이그나이트 + 스테이포에버, 세트 선택=1 SET"/>
    <n v="4"/>
    <x v="0"/>
    <s v="이그나이트 + 스테이포에버"/>
    <n v="201210"/>
    <m/>
    <n v="276000"/>
    <n v="259854"/>
    <n v="22684"/>
    <n v="250909.0909090909"/>
    <s v="카페24고체향수유즈 솔리드퍼퓸 - 30ml (스테이포에버 주문 시 12/15 순차배송)향=이그나이트 + 스테이포에버, 세트 선택=1 SET201210"/>
  </r>
  <r>
    <x v="198"/>
    <s v="화"/>
    <x v="11"/>
    <s v="카페24"/>
    <s v="유즈 솔리드퍼퓸 - 30ml (스테이포에버 주문 시 12/15 순차배송)향=이그나이트 + 스테이포에버, 세트 선택=2 SET (42% off)"/>
    <n v="1"/>
    <x v="0"/>
    <s v="스테이포에버 2set"/>
    <n v="201210"/>
    <m/>
    <n v="58800"/>
    <n v="55360.2"/>
    <n v="5566"/>
    <n v="53454.54545454545"/>
    <s v="카페24고체향수유즈 솔리드퍼퓸 - 30ml (스테이포에버 주문 시 12/15 순차배송)향=이그나이트 + 스테이포에버, 세트 선택=2 SET (42% off)201210"/>
  </r>
  <r>
    <x v="198"/>
    <s v="화"/>
    <x v="11"/>
    <s v="카페24"/>
    <s v="유즈 스테이포에버 솔리드퍼퓸 002 (스테이포에버 주문시 12/14 순차배송)제품선택=스테이포에버 2개 세트[Pre-order 이벤트 28% 할인]"/>
    <n v="3"/>
    <x v="0"/>
    <s v="스테이포에버 2set"/>
    <n v="201210"/>
    <m/>
    <n v="176400"/>
    <n v="166080.6"/>
    <n v="16698"/>
    <n v="160363.6363636364"/>
    <s v="카페24고체향수유즈 스테이포에버 솔리드퍼퓸 002 (스테이포에버 주문시 12/14 순차배송)제품선택=스테이포에버 2개 세트[Pre-order 이벤트 28% 할인]201210"/>
  </r>
  <r>
    <x v="198"/>
    <s v="화"/>
    <x v="11"/>
    <s v="카페24"/>
    <s v="유즈 스테이포에버 솔리드퍼퓸 002 (스테이포에버 주문시 12/15 순차배송)제품선택=스테이포에버 솔리드퍼퓸 002[Pre-order 이벤트 17% 할인]"/>
    <n v="148"/>
    <x v="0"/>
    <s v="스테이포에버"/>
    <n v="201210"/>
    <m/>
    <n v="5624000"/>
    <n v="5294996"/>
    <n v="411884"/>
    <n v="5112727.272727272"/>
    <s v="카페24고체향수유즈 스테이포에버 솔리드퍼퓸 002 (스테이포에버 주문시 12/15 순차배송)제품선택=스테이포에버 솔리드퍼퓸 002[Pre-order 이벤트 17% 할인]201210"/>
  </r>
  <r>
    <x v="198"/>
    <s v="화"/>
    <x v="11"/>
    <s v="카페24"/>
    <s v="유즈 스테이포에버 솔리드퍼퓸 002 (스테이포에버 주문시 12/15 순차배송)제품선택=스테이포에버 2개 세트[Pre-order 이벤트 28% 할인]"/>
    <n v="59"/>
    <x v="0"/>
    <s v="스테이포에버 2set"/>
    <n v="201210"/>
    <m/>
    <n v="3469200"/>
    <n v="3266251.8"/>
    <n v="328394"/>
    <n v="3153818.181818182"/>
    <s v="카페24고체향수유즈 스테이포에버 솔리드퍼퓸 002 (스테이포에버 주문시 12/15 순차배송)제품선택=스테이포에버 2개 세트[Pre-order 이벤트 28% 할인]201210"/>
  </r>
  <r>
    <x v="198"/>
    <s v="화"/>
    <x v="11"/>
    <s v="카페24"/>
    <s v="유즈 스테이포에버 솔리드퍼퓸 002 (스테이포에버 주문시 12/15 순차배송)제품선택=스테이포에버 + 이그나이트 세트"/>
    <n v="11"/>
    <x v="0"/>
    <s v="이그나이트 + 스테이포에버"/>
    <n v="201210"/>
    <m/>
    <n v="759000"/>
    <n v="714598.5"/>
    <n v="62381"/>
    <n v="690000"/>
    <s v="카페24고체향수유즈 스테이포에버 솔리드퍼퓸 002 (스테이포에버 주문시 12/15 순차배송)제품선택=스테이포에버 + 이그나이트 세트201210"/>
  </r>
  <r>
    <x v="198"/>
    <s v="화"/>
    <x v="11"/>
    <s v="카페24"/>
    <s v="유즈 스테이포에버 솔리드퍼퓸 002 (스테이포에버 주문시 12/15 순차배송)쇼핑백=선물용 쇼핑백"/>
    <n v="3"/>
    <x v="2"/>
    <s v="쇼핑백"/>
    <n v="201210"/>
    <m/>
    <n v="6000"/>
    <n v="5649"/>
    <n v="3630"/>
    <n v="5454.545454545454"/>
    <s v="카페24쇼핑백유즈 스테이포에버 솔리드퍼퓸 002 (스테이포에버 주문시 12/15 순차배송)쇼핑백=선물용 쇼핑백201210"/>
  </r>
  <r>
    <x v="198"/>
    <s v="화"/>
    <x v="11"/>
    <s v="카페24"/>
    <s v="유즈 이그나이트 솔리드퍼퓸 001제품선택=이그나이트 솔리드퍼퓸 - 30ml"/>
    <n v="3"/>
    <x v="0"/>
    <s v="이그나이트"/>
    <n v="201210"/>
    <m/>
    <n v="114000"/>
    <n v="107331"/>
    <n v="8664"/>
    <n v="103636.3636363636"/>
    <s v="카페24고체향수유즈 이그나이트 솔리드퍼퓸 001제품선택=이그나이트 솔리드퍼퓸 - 30ml201210"/>
  </r>
  <r>
    <x v="199"/>
    <s v="수"/>
    <x v="11"/>
    <s v="카페24"/>
    <s v="유즈 솔리드퍼퓸 - 30ml (스테이포에버 주문 시 12/15 순차배송)향=스테이포에버, 세트 선택=1 개"/>
    <n v="14"/>
    <x v="0"/>
    <s v="스테이포에버"/>
    <n v="201210"/>
    <m/>
    <n v="532000"/>
    <n v="500878"/>
    <n v="38962"/>
    <n v="483636.3636363636"/>
    <s v="카페24고체향수유즈 솔리드퍼퓸 - 30ml (스테이포에버 주문 시 12/15 순차배송)향=스테이포에버, 세트 선택=1 개201210"/>
  </r>
  <r>
    <x v="199"/>
    <s v="수"/>
    <x v="11"/>
    <s v="카페24"/>
    <s v="유즈 솔리드퍼퓸 - 30ml (스테이포에버 주문 시 12/15 순차배송)향=스테이포에버, 세트 선택=2개 (28% off)"/>
    <n v="4"/>
    <x v="0"/>
    <s v="스테이포에버 2set"/>
    <n v="201210"/>
    <m/>
    <n v="235200"/>
    <n v="221440.8"/>
    <n v="22264"/>
    <n v="213818.1818181818"/>
    <s v="카페24고체향수유즈 솔리드퍼퓸 - 30ml (스테이포에버 주문 시 12/15 순차배송)향=스테이포에버, 세트 선택=2개 (28% off)201210"/>
  </r>
  <r>
    <x v="199"/>
    <s v="수"/>
    <x v="11"/>
    <s v="카페24"/>
    <s v="유즈 솔리드퍼퓸 - 30ml (스테이포에버 주문 시 12/15 순차배송)향=이그나이트 + 스테이포에버, 세트 선택=1 SET"/>
    <n v="3"/>
    <x v="0"/>
    <s v="이그나이트 + 스테이포에버"/>
    <n v="201210"/>
    <m/>
    <n v="207000"/>
    <n v="194890.5"/>
    <n v="17013"/>
    <n v="188181.8181818182"/>
    <s v="카페24고체향수유즈 솔리드퍼퓸 - 30ml (스테이포에버 주문 시 12/15 순차배송)향=이그나이트 + 스테이포에버, 세트 선택=1 SET201210"/>
  </r>
  <r>
    <x v="199"/>
    <s v="수"/>
    <x v="11"/>
    <s v="카페24"/>
    <s v="유즈 솔리드퍼퓸 - 30ml (스테이포에버 주문 시 12/15 순차배송)향=이그나이트 + 스테이포에버, 세트 선택=2 SET (42% off)"/>
    <n v="2"/>
    <x v="0"/>
    <s v="스테이포에버 2set"/>
    <n v="201210"/>
    <m/>
    <n v="117600"/>
    <n v="110720.4"/>
    <n v="11132"/>
    <n v="106909.0909090909"/>
    <s v="카페24고체향수유즈 솔리드퍼퓸 - 30ml (스테이포에버 주문 시 12/15 순차배송)향=이그나이트 + 스테이포에버, 세트 선택=2 SET (42% off)201210"/>
  </r>
  <r>
    <x v="199"/>
    <s v="수"/>
    <x v="11"/>
    <s v="카페24"/>
    <s v="유즈 스테이포에버 솔리드퍼퓸 002 (스테이포에버 주문시 12/15 순차배송)제품선택=스테이포에버 솔리드퍼퓸 002[Pre-order 이벤트 17% 할인]"/>
    <n v="150"/>
    <x v="0"/>
    <s v="스테이포에버"/>
    <n v="201210"/>
    <m/>
    <n v="5700000"/>
    <n v="5366550"/>
    <n v="417450"/>
    <n v="5181818.181818182"/>
    <s v="카페24고체향수유즈 스테이포에버 솔리드퍼퓸 002 (스테이포에버 주문시 12/15 순차배송)제품선택=스테이포에버 솔리드퍼퓸 002[Pre-order 이벤트 17% 할인]201210"/>
  </r>
  <r>
    <x v="199"/>
    <s v="수"/>
    <x v="11"/>
    <s v="카페24"/>
    <s v="유즈 스테이포에버 솔리드퍼퓸 002 (스테이포에버 주문시 12/15 순차배송)제품선택=스테이포에버 2개 세트[Pre-order 이벤트 28% 할인]"/>
    <n v="51"/>
    <x v="0"/>
    <s v="스테이포에버 2set"/>
    <n v="201210"/>
    <m/>
    <n v="2998800"/>
    <n v="2823370.2"/>
    <n v="283866"/>
    <n v="2726181.818181818"/>
    <s v="카페24고체향수유즈 스테이포에버 솔리드퍼퓸 002 (스테이포에버 주문시 12/15 순차배송)제품선택=스테이포에버 2개 세트[Pre-order 이벤트 28% 할인]201210"/>
  </r>
  <r>
    <x v="199"/>
    <s v="수"/>
    <x v="11"/>
    <s v="카페24"/>
    <s v="유즈 스테이포에버 솔리드퍼퓸 002 (스테이포에버 주문시 12/15 순차배송)제품선택=스테이포에버 + 이그나이트 세트"/>
    <n v="7"/>
    <x v="0"/>
    <s v="이그나이트 + 스테이포에버"/>
    <n v="201210"/>
    <m/>
    <n v="483000"/>
    <n v="454744.5"/>
    <n v="39697"/>
    <n v="439090.9090909091"/>
    <s v="카페24고체향수유즈 스테이포에버 솔리드퍼퓸 002 (스테이포에버 주문시 12/15 순차배송)제품선택=스테이포에버 + 이그나이트 세트201210"/>
  </r>
  <r>
    <x v="199"/>
    <s v="수"/>
    <x v="11"/>
    <s v="카페24"/>
    <s v="유즈 스테이포에버 솔리드퍼퓸 002 (스테이포에버 주문시 12/15 순차배송)쇼핑백=선물용 쇼핑백"/>
    <n v="4"/>
    <x v="2"/>
    <s v="쇼핑백"/>
    <n v="201210"/>
    <m/>
    <n v="8000"/>
    <n v="7532"/>
    <n v="4840"/>
    <n v="7272.727272727272"/>
    <s v="카페24쇼핑백유즈 스테이포에버 솔리드퍼퓸 002 (스테이포에버 주문시 12/15 순차배송)쇼핑백=선물용 쇼핑백201210"/>
  </r>
  <r>
    <x v="199"/>
    <s v="수"/>
    <x v="11"/>
    <s v="카페24"/>
    <s v="유즈 이그나이트 솔리드퍼퓸 001제품선택=이그나이트 솔리드퍼퓸 - 30ml"/>
    <n v="1"/>
    <x v="0"/>
    <s v="이그나이트"/>
    <n v="201210"/>
    <m/>
    <n v="38000"/>
    <n v="35777"/>
    <n v="2888"/>
    <n v="34545.45454545454"/>
    <s v="카페24고체향수유즈 이그나이트 솔리드퍼퓸 001제품선택=이그나이트 솔리드퍼퓸 - 30ml201210"/>
  </r>
  <r>
    <x v="199"/>
    <s v="수"/>
    <x v="11"/>
    <s v="카페24"/>
    <s v="유즈 이그나이트 솔리드퍼퓸 001제품선택=이그나이트 2개 세트"/>
    <n v="4"/>
    <x v="0"/>
    <s v="이그나이트 2set"/>
    <n v="201210"/>
    <m/>
    <n v="235200"/>
    <n v="221440.8"/>
    <n v="23104"/>
    <n v="213818.1818181818"/>
    <s v="카페24고체향수유즈 이그나이트 솔리드퍼퓸 001제품선택=이그나이트 2개 세트201210"/>
  </r>
  <r>
    <x v="200"/>
    <s v="목"/>
    <x v="11"/>
    <s v="유즈 CS"/>
    <s v="솔리드퍼퓸 스테이포에버 002 30ml"/>
    <n v="2"/>
    <x v="0"/>
    <s v="스테이포에버"/>
    <n v="201210"/>
    <m/>
    <n v="0"/>
    <n v="0"/>
    <n v="5566"/>
    <n v="0"/>
    <s v="유즈 CS고체향수솔리드퍼퓸 스테이포에버 002 30ml201210"/>
  </r>
  <r>
    <x v="200"/>
    <s v="목"/>
    <x v="11"/>
    <s v="카페24"/>
    <s v="유즈 솔리드퍼퓸 - 30ml (스테이포에버 주문 시 12/15 순차배송)향=스테이포에버, 세트 선택=1 개"/>
    <n v="12"/>
    <x v="0"/>
    <s v="스테이포에버"/>
    <n v="201210"/>
    <m/>
    <n v="456000"/>
    <n v="429324"/>
    <n v="33396"/>
    <n v="414545.4545454545"/>
    <s v="카페24고체향수유즈 솔리드퍼퓸 - 30ml (스테이포에버 주문 시 12/15 순차배송)향=스테이포에버, 세트 선택=1 개201210"/>
  </r>
  <r>
    <x v="200"/>
    <s v="목"/>
    <x v="11"/>
    <s v="카페24"/>
    <s v="유즈 솔리드퍼퓸 - 30ml (스테이포에버 주문 시 12/15 순차배송)향=스테이포에버, 세트 선택=2개 (28% off)"/>
    <n v="4"/>
    <x v="0"/>
    <s v="스테이포에버 2set"/>
    <n v="201210"/>
    <m/>
    <n v="235200"/>
    <n v="221440.8"/>
    <n v="22264"/>
    <n v="213818.1818181818"/>
    <s v="카페24고체향수유즈 솔리드퍼퓸 - 30ml (스테이포에버 주문 시 12/15 순차배송)향=스테이포에버, 세트 선택=2개 (28% off)201210"/>
  </r>
  <r>
    <x v="200"/>
    <s v="목"/>
    <x v="11"/>
    <s v="카페24"/>
    <s v="유즈 솔리드퍼퓸 - 30ml (스테이포에버 주문 시 12/15 순차배송)향=이그나이트 + 스테이포에버, 세트 선택=1 SET"/>
    <n v="7"/>
    <x v="0"/>
    <s v="이그나이트 + 스테이포에버"/>
    <n v="201210"/>
    <m/>
    <n v="483000"/>
    <n v="454744.5"/>
    <n v="39697"/>
    <n v="439090.9090909091"/>
    <s v="카페24고체향수유즈 솔리드퍼퓸 - 30ml (스테이포에버 주문 시 12/15 순차배송)향=이그나이트 + 스테이포에버, 세트 선택=1 SET201210"/>
  </r>
  <r>
    <x v="200"/>
    <s v="목"/>
    <x v="11"/>
    <s v="카페24"/>
    <s v="유즈 스테이포에버 솔리드퍼퓸 002 (스테이포에버 주문시 12/15 순차배송)제품선택=스테이포에버 솔리드퍼퓸 002[Pre-order 이벤트 17% 할인]"/>
    <n v="170"/>
    <x v="0"/>
    <s v="스테이포에버"/>
    <n v="201210"/>
    <m/>
    <n v="6460000"/>
    <n v="6082090"/>
    <n v="473110"/>
    <n v="5872727.272727272"/>
    <s v="카페24고체향수유즈 스테이포에버 솔리드퍼퓸 002 (스테이포에버 주문시 12/15 순차배송)제품선택=스테이포에버 솔리드퍼퓸 002[Pre-order 이벤트 17% 할인]201210"/>
  </r>
  <r>
    <x v="200"/>
    <s v="목"/>
    <x v="11"/>
    <s v="카페24"/>
    <s v="유즈 스테이포에버 솔리드퍼퓸 002 (스테이포에버 주문시 12/15 순차배송)제품선택=스테이포에버 2개 세트[Pre-order 이벤트 28% 할인]"/>
    <n v="41"/>
    <x v="0"/>
    <s v="스테이포에버 2set"/>
    <n v="201210"/>
    <m/>
    <n v="2410800"/>
    <n v="2269768.2"/>
    <n v="228206"/>
    <n v="2191636.363636363"/>
    <s v="카페24고체향수유즈 스테이포에버 솔리드퍼퓸 002 (스테이포에버 주문시 12/15 순차배송)제품선택=스테이포에버 2개 세트[Pre-order 이벤트 28% 할인]201210"/>
  </r>
  <r>
    <x v="200"/>
    <s v="목"/>
    <x v="11"/>
    <s v="카페24"/>
    <s v="유즈 스테이포에버 솔리드퍼퓸 002 (스테이포에버 주문시 12/15 순차배송)제품선택=스테이포에버 + 이그나이트 세트"/>
    <n v="9"/>
    <x v="0"/>
    <s v="이그나이트 + 스테이포에버"/>
    <n v="201210"/>
    <m/>
    <n v="621000"/>
    <n v="584671.5"/>
    <n v="51039"/>
    <n v="564545.4545454545"/>
    <s v="카페24고체향수유즈 스테이포에버 솔리드퍼퓸 002 (스테이포에버 주문시 12/15 순차배송)제품선택=스테이포에버 + 이그나이트 세트201210"/>
  </r>
  <r>
    <x v="200"/>
    <s v="목"/>
    <x v="11"/>
    <s v="카페24"/>
    <s v="유즈 스테이포에버 솔리드퍼퓸 002 (스테이포에버 주문시 12/15 순차배송)쇼핑백=선물용 쇼핑백"/>
    <n v="5"/>
    <x v="2"/>
    <s v="쇼핑백"/>
    <n v="201210"/>
    <m/>
    <n v="10000"/>
    <n v="9415"/>
    <n v="6050"/>
    <n v="9090.90909090909"/>
    <s v="카페24쇼핑백유즈 스테이포에버 솔리드퍼퓸 002 (스테이포에버 주문시 12/15 순차배송)쇼핑백=선물용 쇼핑백201210"/>
  </r>
  <r>
    <x v="200"/>
    <s v="목"/>
    <x v="11"/>
    <s v="카페24"/>
    <s v="유즈 이그나이트 솔리드퍼퓸 001제품선택=이그나이트 솔리드퍼퓸 - 30ml"/>
    <n v="1"/>
    <x v="0"/>
    <s v="이그나이트"/>
    <n v="201210"/>
    <m/>
    <n v="38000"/>
    <n v="35777"/>
    <n v="2888"/>
    <n v="34545.45454545454"/>
    <s v="카페24고체향수유즈 이그나이트 솔리드퍼퓸 001제품선택=이그나이트 솔리드퍼퓸 - 30ml201210"/>
  </r>
  <r>
    <x v="200"/>
    <s v="목"/>
    <x v="11"/>
    <s v="카페24"/>
    <s v="유즈 이그나이트 솔리드퍼퓸 001제품선택=이그나이트 2개 세트"/>
    <n v="1"/>
    <x v="0"/>
    <s v="이그나이트 2set"/>
    <n v="201210"/>
    <m/>
    <n v="58800"/>
    <n v="55360.2"/>
    <n v="5776"/>
    <n v="53454.54545454545"/>
    <s v="카페24고체향수유즈 이그나이트 솔리드퍼퓸 001제품선택=이그나이트 2개 세트201210"/>
  </r>
  <r>
    <x v="201"/>
    <s v="금"/>
    <x v="11"/>
    <s v="카페24"/>
    <s v="솔리드퍼퓸 스테이포에버 002 30ml"/>
    <n v="1"/>
    <x v="0"/>
    <s v="스테이포에버"/>
    <n v="201210"/>
    <m/>
    <n v="38000"/>
    <n v="35777"/>
    <n v="2783"/>
    <n v="34545.45454545454"/>
    <s v="카페24고체향수솔리드퍼퓸 스테이포에버 002 30ml201210"/>
  </r>
  <r>
    <x v="201"/>
    <s v="금"/>
    <x v="11"/>
    <s v="카페24"/>
    <s v="유즈 솔리드퍼퓸 - 30ml (스테이포에버 주문 시 12/15 순차배송)향=스테이포에버 002 SOLID PERFUME, 세트 선택=1"/>
    <n v="1"/>
    <x v="0"/>
    <s v="스테이포에버"/>
    <n v="201210"/>
    <m/>
    <n v="38000"/>
    <n v="35777"/>
    <n v="2783"/>
    <n v="34545.45454545454"/>
    <s v="카페24고체향수유즈 솔리드퍼퓸 - 30ml (스테이포에버 주문 시 12/15 순차배송)향=스테이포에버 002 SOLID PERFUME, 세트 선택=1201210"/>
  </r>
  <r>
    <x v="201"/>
    <s v="금"/>
    <x v="11"/>
    <s v="카페24"/>
    <s v="유즈 솔리드퍼퓸 - 30ml (스테이포에버 주문 시 12/15 순차배송)향=스테이포에버 002 SOLID PERFUME, 세트 선택=1 개(17% 할인)"/>
    <n v="2"/>
    <x v="0"/>
    <s v="스테이포에버"/>
    <n v="201210"/>
    <m/>
    <n v="76000"/>
    <n v="71554"/>
    <n v="5566"/>
    <n v="69090.90909090909"/>
    <s v="카페24고체향수유즈 솔리드퍼퓸 - 30ml (스테이포에버 주문 시 12/15 순차배송)향=스테이포에버 002 SOLID PERFUME, 세트 선택=1 개(17% 할인)201210"/>
  </r>
  <r>
    <x v="201"/>
    <s v="금"/>
    <x v="11"/>
    <s v="카페24"/>
    <s v="유즈 솔리드퍼퓸 - 30ml (스테이포에버 주문 시 12/15 순차배송)향=스테이포에버, 세트 선택=1 개"/>
    <n v="3"/>
    <x v="0"/>
    <s v="스테이포에버"/>
    <n v="201210"/>
    <m/>
    <n v="114000"/>
    <n v="107331"/>
    <n v="8349"/>
    <n v="103636.3636363636"/>
    <s v="카페24고체향수유즈 솔리드퍼퓸 - 30ml (스테이포에버 주문 시 12/15 순차배송)향=스테이포에버, 세트 선택=1 개201210"/>
  </r>
  <r>
    <x v="201"/>
    <s v="금"/>
    <x v="11"/>
    <s v="카페24"/>
    <s v="유즈 솔리드퍼퓸 - 30ml (스테이포에버 주문 시 12/15 순차배송)향=스테이포에버 002 SOLID PERFUME, 세트 선택=best"/>
    <n v="2"/>
    <x v="0"/>
    <s v="스테이포에버"/>
    <n v="201210"/>
    <m/>
    <n v="76000"/>
    <n v="71554"/>
    <n v="5566"/>
    <n v="69090.90909090909"/>
    <s v="카페24고체향수유즈 솔리드퍼퓸 - 30ml (스테이포에버 주문 시 12/15 순차배송)향=스테이포에버 002 SOLID PERFUME, 세트 선택=best201210"/>
  </r>
  <r>
    <x v="201"/>
    <s v="금"/>
    <x v="11"/>
    <s v="카페24"/>
    <s v="유즈 솔리드퍼퓸 - 30ml (스테이포에버 주문 시 12/15 순차배송)향=스테이포에버 002 SOLID PERFUME, 세트 선택=best(28% 할인)2개"/>
    <n v="1"/>
    <x v="0"/>
    <s v="스테이포에버 2set"/>
    <n v="201210"/>
    <m/>
    <n v="58800"/>
    <n v="55360.2"/>
    <n v="5566"/>
    <n v="53454.54545454545"/>
    <s v="카페24고체향수유즈 솔리드퍼퓸 - 30ml (스테이포에버 주문 시 12/15 순차배송)향=스테이포에버 002 SOLID PERFUME, 세트 선택=best(28% 할인)2개201210"/>
  </r>
  <r>
    <x v="201"/>
    <s v="금"/>
    <x v="11"/>
    <s v="카페24"/>
    <s v="유즈 솔리드퍼퓸 - 30ml (스테이포에버 주문 시 12/15 순차배송)향=스테이포에버, 세트 선택=2개 (28% off)"/>
    <n v="2"/>
    <x v="0"/>
    <s v="스테이포에버 2set"/>
    <n v="201210"/>
    <m/>
    <n v="117600"/>
    <n v="110720.4"/>
    <n v="11132"/>
    <n v="106909.0909090909"/>
    <s v="카페24고체향수유즈 솔리드퍼퓸 - 30ml (스테이포에버 주문 시 12/15 순차배송)향=스테이포에버, 세트 선택=2개 (28% off)201210"/>
  </r>
  <r>
    <x v="201"/>
    <s v="금"/>
    <x v="11"/>
    <s v="카페24"/>
    <s v="유즈 솔리드퍼퓸 - 30ml (스테이포에버 주문 시 12/15 순차배송)향=이그나이트 + 스테이포에버, 세트 선택=1 SET"/>
    <n v="1"/>
    <x v="0"/>
    <s v="이그나이트 + 스테이포에버"/>
    <n v="201210"/>
    <m/>
    <n v="69000"/>
    <n v="64963.5"/>
    <n v="5671"/>
    <n v="62727.27272727272"/>
    <s v="카페24고체향수유즈 솔리드퍼퓸 - 30ml (스테이포에버 주문 시 12/15 순차배송)향=이그나이트 + 스테이포에버, 세트 선택=1 SET201210"/>
  </r>
  <r>
    <x v="201"/>
    <s v="금"/>
    <x v="11"/>
    <s v="카페24"/>
    <s v="유즈 솔리드퍼퓸 - 30ml (스테이포에버 주문 시 12/15 순차배송)향=커플세트"/>
    <n v="1"/>
    <x v="0"/>
    <s v="이그나이트 + 스테이포에버"/>
    <n v="201210"/>
    <m/>
    <n v="69000"/>
    <n v="64963.5"/>
    <n v="5671"/>
    <n v="62727.27272727272"/>
    <s v="카페24고체향수유즈 솔리드퍼퓸 - 30ml (스테이포에버 주문 시 12/15 순차배송)향=커플세트201210"/>
  </r>
  <r>
    <x v="201"/>
    <s v="금"/>
    <x v="11"/>
    <s v="카페24"/>
    <s v="유즈 솔리드퍼퓸 - 30ml (스테이포에버 주문 시 12/15 순차배송)향=커플세트(이그나이트 + 스테이포에버), 세트 선택=1 SET"/>
    <n v="4"/>
    <x v="0"/>
    <s v="이그나이트 + 스테이포에버"/>
    <n v="201210"/>
    <m/>
    <n v="276000"/>
    <n v="259854"/>
    <n v="22684"/>
    <n v="250909.0909090909"/>
    <s v="카페24고체향수유즈 솔리드퍼퓸 - 30ml (스테이포에버 주문 시 12/15 순차배송)향=커플세트(이그나이트 + 스테이포에버), 세트 선택=1 SET201210"/>
  </r>
  <r>
    <x v="201"/>
    <s v="금"/>
    <x v="11"/>
    <s v="카페24"/>
    <s v="유즈 솔리드퍼퓸 - 30ml (스테이포에버 주문 시 12/15 순차배송)향=이그나이트 + 스테이포에버, 세트 선택=2 SET (42% off)"/>
    <n v="1"/>
    <x v="0"/>
    <s v="스테이포에버 2set"/>
    <n v="201210"/>
    <m/>
    <n v="58800"/>
    <n v="55360.2"/>
    <n v="5566"/>
    <n v="53454.54545454545"/>
    <s v="카페24고체향수유즈 솔리드퍼퓸 - 30ml (스테이포에버 주문 시 12/15 순차배송)향=이그나이트 + 스테이포에버, 세트 선택=2 SET (42% off)201210"/>
  </r>
  <r>
    <x v="201"/>
    <s v="금"/>
    <x v="11"/>
    <s v="카페24"/>
    <s v="유즈 솔리드퍼퓸 - 30ml (스테이포에버 주문 시 12/15 순차배송)향=커플세트"/>
    <n v="1"/>
    <x v="0"/>
    <s v="이그나이트 + 스테이포에버"/>
    <n v="201210"/>
    <m/>
    <n v="69000"/>
    <n v="64963.5"/>
    <n v="5671"/>
    <n v="62727.27272727272"/>
    <s v="카페24고체향수유즈 솔리드퍼퓸 - 30ml (스테이포에버 주문 시 12/15 순차배송)향=커플세트201210"/>
  </r>
  <r>
    <x v="201"/>
    <s v="금"/>
    <x v="11"/>
    <s v="카페24"/>
    <s v="유즈 스테이포에버 솔리드퍼퓸 002 (12/4 부터 순차배송)제품선택=스테이포에버 솔리드퍼퓸 002[Pre-order 이벤트 17% 할인]"/>
    <n v="1"/>
    <x v="0"/>
    <s v="스테이포에버"/>
    <n v="201210"/>
    <m/>
    <n v="38000"/>
    <n v="35777"/>
    <n v="2783"/>
    <n v="34545.45454545454"/>
    <s v="카페24고체향수유즈 스테이포에버 솔리드퍼퓸 002 (12/4 부터 순차배송)제품선택=스테이포에버 솔리드퍼퓸 002[Pre-order 이벤트 17% 할인]201210"/>
  </r>
  <r>
    <x v="201"/>
    <s v="금"/>
    <x v="11"/>
    <s v="카페24"/>
    <s v="유즈 스테이포에버 솔리드퍼퓸 002 (스테이포에버 주문시 12/14 순차배송)제품선택=스테이포에버 솔리드퍼퓸 002[Pre-order 이벤트 17% 할인]"/>
    <n v="2"/>
    <x v="0"/>
    <s v="스테이포에버"/>
    <n v="201210"/>
    <m/>
    <n v="76000"/>
    <n v="71554"/>
    <n v="5566"/>
    <n v="69090.90909090909"/>
    <s v="카페24고체향수유즈 스테이포에버 솔리드퍼퓸 002 (스테이포에버 주문시 12/14 순차배송)제품선택=스테이포에버 솔리드퍼퓸 002[Pre-order 이벤트 17% 할인]201210"/>
  </r>
  <r>
    <x v="201"/>
    <s v="금"/>
    <x v="11"/>
    <s v="카페24"/>
    <s v="유즈 스테이포에버 솔리드퍼퓸 002 (스테이포에버 주문시 12/15 순차배송)제품선택=스테이포에버 1개"/>
    <n v="28"/>
    <x v="0"/>
    <s v="스테이포에버"/>
    <n v="201210"/>
    <m/>
    <n v="1064000"/>
    <n v="1001756"/>
    <n v="77924"/>
    <n v="967272.7272727272"/>
    <s v="카페24고체향수유즈 스테이포에버 솔리드퍼퓸 002 (스테이포에버 주문시 12/15 순차배송)제품선택=스테이포에버 1개201210"/>
  </r>
  <r>
    <x v="201"/>
    <s v="금"/>
    <x v="11"/>
    <s v="카페24"/>
    <s v="유즈 스테이포에버 솔리드퍼퓸 002 (스테이포에버 주문시 12/15 순차배송)제품선택=스테이포에버 1개 [17% 할인]"/>
    <n v="35"/>
    <x v="0"/>
    <s v="스테이포에버"/>
    <n v="201210"/>
    <m/>
    <n v="1330000"/>
    <n v="1252195"/>
    <n v="97405"/>
    <n v="1209090.909090909"/>
    <s v="카페24고체향수유즈 스테이포에버 솔리드퍼퓸 002 (스테이포에버 주문시 12/15 순차배송)제품선택=스테이포에버 1개 [17% 할인]201210"/>
  </r>
  <r>
    <x v="201"/>
    <s v="금"/>
    <x v="11"/>
    <s v="카페24"/>
    <s v="유즈 스테이포에버 솔리드퍼퓸 002 (스테이포에버 주문시 12/15 순차배송)제품선택=스테이포에버 [17% 할인]"/>
    <n v="36"/>
    <x v="0"/>
    <s v="스테이포에버"/>
    <n v="201210"/>
    <m/>
    <n v="1368000"/>
    <n v="1287972"/>
    <n v="100188"/>
    <n v="1243636.363636364"/>
    <s v="카페24고체향수유즈 스테이포에버 솔리드퍼퓸 002 (스테이포에버 주문시 12/15 순차배송)제품선택=스테이포에버 [17% 할인]201210"/>
  </r>
  <r>
    <x v="201"/>
    <s v="금"/>
    <x v="11"/>
    <s v="카페24"/>
    <s v="유즈 스테이포에버 솔리드퍼퓸 002 (스테이포에버 주문시 12/15 순차배송)제품선택=스테이포에버 솔리드퍼퓸 002[Pre-order 이벤트 17% 할인]"/>
    <n v="56"/>
    <x v="0"/>
    <s v="스테이포에버"/>
    <n v="201210"/>
    <m/>
    <n v="2128000"/>
    <n v="2003512"/>
    <n v="155848"/>
    <n v="1934545.454545454"/>
    <s v="카페24고체향수유즈 스테이포에버 솔리드퍼퓸 002 (스테이포에버 주문시 12/15 순차배송)제품선택=스테이포에버 솔리드퍼퓸 002[Pre-order 이벤트 17% 할인]201210"/>
  </r>
  <r>
    <x v="201"/>
    <s v="금"/>
    <x v="11"/>
    <s v="카페24"/>
    <s v="유즈 스테이포에버 솔리드퍼퓸 002 (스테이포에버 주문시 12/15 순차배송)제품선택=best"/>
    <n v="17"/>
    <x v="0"/>
    <s v="스테이포에버 2set"/>
    <n v="201210"/>
    <m/>
    <n v="999600"/>
    <n v="941123.4"/>
    <n v="94622"/>
    <n v="908727.2727272727"/>
    <s v="카페24고체향수유즈 스테이포에버 솔리드퍼퓸 002 (스테이포에버 주문시 12/15 순차배송)제품선택=best201210"/>
  </r>
  <r>
    <x v="201"/>
    <s v="금"/>
    <x v="11"/>
    <s v="카페24"/>
    <s v="유즈 스테이포에버 솔리드퍼퓸 002 (스테이포에버 주문시 12/15 순차배송)제품선택=best스테이포에버 2개[28% 할인]"/>
    <n v="30"/>
    <x v="0"/>
    <s v="스테이포에버 2set"/>
    <n v="201210"/>
    <m/>
    <n v="1764000"/>
    <n v="1660806"/>
    <n v="166980"/>
    <n v="1603636.363636364"/>
    <s v="카페24고체향수유즈 스테이포에버 솔리드퍼퓸 002 (스테이포에버 주문시 12/15 순차배송)제품선택=best스테이포에버 2개[28% 할인]201210"/>
  </r>
  <r>
    <x v="201"/>
    <s v="금"/>
    <x v="11"/>
    <s v="카페24"/>
    <s v="유즈 스테이포에버 솔리드퍼퓸 002 (스테이포에버 주문시 12/15 순차배송)제품선택=스테이포에버 2개 세트[Pre-order 이벤트 28% 할인]"/>
    <n v="22"/>
    <x v="0"/>
    <s v="스테이포에버 2set"/>
    <n v="201210"/>
    <m/>
    <n v="1293600"/>
    <n v="1217924.4"/>
    <n v="122452"/>
    <n v="1176000"/>
    <s v="카페24고체향수유즈 스테이포에버 솔리드퍼퓸 002 (스테이포에버 주문시 12/15 순차배송)제품선택=스테이포에버 2개 세트[Pre-order 이벤트 28% 할인]201210"/>
  </r>
  <r>
    <x v="201"/>
    <s v="금"/>
    <x v="11"/>
    <s v="카페24"/>
    <s v="유즈 스테이포에버 솔리드퍼퓸 002 (스테이포에버 주문시 12/15 순차배송)제품선택=스테이포에버 + 이그나이트 세트"/>
    <n v="2"/>
    <x v="0"/>
    <s v="이그나이트 + 스테이포에버"/>
    <n v="201210"/>
    <m/>
    <n v="138000"/>
    <n v="129927"/>
    <n v="11342"/>
    <n v="125454.5454545454"/>
    <s v="카페24고체향수유즈 스테이포에버 솔리드퍼퓸 002 (스테이포에버 주문시 12/15 순차배송)제품선택=스테이포에버 + 이그나이트 세트201210"/>
  </r>
  <r>
    <x v="201"/>
    <s v="금"/>
    <x v="11"/>
    <s v="카페24"/>
    <s v="유즈 스테이포에버 솔리드퍼퓸 002 (스테이포에버 주문시 12/15 순차배송)제품선택=커플추천"/>
    <n v="3"/>
    <x v="0"/>
    <s v="이그나이트 + 스테이포에버"/>
    <n v="201210"/>
    <m/>
    <n v="207000"/>
    <n v="194890.5"/>
    <n v="17013"/>
    <n v="188181.8181818182"/>
    <s v="카페24고체향수유즈 스테이포에버 솔리드퍼퓸 002 (스테이포에버 주문시 12/15 순차배송)제품선택=커플추천201210"/>
  </r>
  <r>
    <x v="201"/>
    <s v="금"/>
    <x v="11"/>
    <s v="카페24"/>
    <s v="유즈 스테이포에버 솔리드퍼퓸 002 (스테이포에버 주문시 12/15 순차배송)쇼핑백=선물용 쇼핑백"/>
    <n v="6"/>
    <x v="2"/>
    <s v="쇼핑백"/>
    <n v="201210"/>
    <m/>
    <n v="12000"/>
    <n v="11298"/>
    <n v="7260"/>
    <n v="10909.09090909091"/>
    <s v="카페24쇼핑백유즈 스테이포에버 솔리드퍼퓸 002 (스테이포에버 주문시 12/15 순차배송)쇼핑백=선물용 쇼핑백201210"/>
  </r>
  <r>
    <x v="201"/>
    <s v="금"/>
    <x v="11"/>
    <s v="카페24"/>
    <s v="유즈 이그나이트 솔리드퍼퓸 001제품선택=이그나이트 솔리드퍼퓸 - 30ml"/>
    <n v="3"/>
    <x v="0"/>
    <s v="이그나이트"/>
    <n v="201210"/>
    <m/>
    <n v="114000"/>
    <n v="107331"/>
    <n v="8664"/>
    <n v="103636.3636363636"/>
    <s v="카페24고체향수유즈 이그나이트 솔리드퍼퓸 001제품선택=이그나이트 솔리드퍼퓸 - 30ml201210"/>
  </r>
  <r>
    <x v="201"/>
    <s v="금"/>
    <x v="11"/>
    <s v="카페24"/>
    <s v="유즈 이그나이트 솔리드퍼퓸 001제품선택=이그나이트 2개 세트"/>
    <n v="2"/>
    <x v="0"/>
    <s v="이그나이트 2set"/>
    <n v="201210"/>
    <m/>
    <n v="117600"/>
    <n v="110720.4"/>
    <n v="11552"/>
    <n v="106909.0909090909"/>
    <s v="카페24고체향수유즈 이그나이트 솔리드퍼퓸 001제품선택=이그나이트 2개 세트201210"/>
  </r>
  <r>
    <x v="202"/>
    <s v="토"/>
    <x v="11"/>
    <s v="카페24"/>
    <s v="유즈 솔리드퍼퓸 - 30ml (스테이포에버 주문 시 12/15 순차배송)향=이그나이트 001 SOLID PERFUME, 세트 선택=1"/>
    <n v="1"/>
    <x v="0"/>
    <s v="이그나이트"/>
    <n v="201210"/>
    <m/>
    <n v="38000"/>
    <n v="35777"/>
    <n v="2888"/>
    <n v="34545.45454545454"/>
    <s v="카페24고체향수유즈 솔리드퍼퓸 - 30ml (스테이포에버 주문 시 12/15 순차배송)향=이그나이트 001 SOLID PERFUME, 세트 선택=1201210"/>
  </r>
  <r>
    <x v="202"/>
    <s v="토"/>
    <x v="11"/>
    <s v="카페24"/>
    <s v="유즈 솔리드퍼퓸 - 30ml (스테이포에버 주문 시 12/15 순차배송)향=스테이포에버 002 SOLID PERFUME, 세트 선택=1"/>
    <n v="14"/>
    <x v="0"/>
    <s v="스테이포에버"/>
    <n v="201210"/>
    <m/>
    <n v="532000"/>
    <n v="500878"/>
    <n v="38962"/>
    <n v="483636.3636363636"/>
    <s v="카페24고체향수유즈 솔리드퍼퓸 - 30ml (스테이포에버 주문 시 12/15 순차배송)향=스테이포에버 002 SOLID PERFUME, 세트 선택=1201210"/>
  </r>
  <r>
    <x v="202"/>
    <s v="토"/>
    <x v="11"/>
    <s v="카페24"/>
    <s v="유즈 솔리드퍼퓸 - 30ml (스테이포에버 주문 시 12/15 순차배송)향=스테이포에버 002 SOLID PERFUME, 세트 선택=best"/>
    <n v="5"/>
    <x v="0"/>
    <s v="스테이포에버"/>
    <n v="201210"/>
    <m/>
    <n v="190000"/>
    <n v="178885"/>
    <n v="13915"/>
    <n v="172727.2727272727"/>
    <s v="카페24고체향수유즈 솔리드퍼퓸 - 30ml (스테이포에버 주문 시 12/15 순차배송)향=스테이포에버 002 SOLID PERFUME, 세트 선택=best201210"/>
  </r>
  <r>
    <x v="202"/>
    <s v="토"/>
    <x v="11"/>
    <s v="카페24"/>
    <s v="유즈 솔리드퍼퓸 - 30ml (스테이포에버 주문 시 12/15 순차배송)향=스테이포에버 002 SOLID PERFUME, 세트 선택=best(28% 할인)2개"/>
    <n v="5"/>
    <x v="0"/>
    <s v="스테이포에버 2set"/>
    <n v="201210"/>
    <m/>
    <n v="294000"/>
    <n v="276801"/>
    <n v="27830"/>
    <n v="267272.7272727272"/>
    <s v="카페24고체향수유즈 솔리드퍼퓸 - 30ml (스테이포에버 주문 시 12/15 순차배송)향=스테이포에버 002 SOLID PERFUME, 세트 선택=best(28% 할인)2개201210"/>
  </r>
  <r>
    <x v="202"/>
    <s v="토"/>
    <x v="11"/>
    <s v="카페24"/>
    <s v="유즈 솔리드퍼퓸 - 30ml (스테이포에버 주문 시 12/15 순차배송)향=커플세트"/>
    <n v="6"/>
    <x v="0"/>
    <s v="이그나이트 + 스테이포에버"/>
    <n v="201210"/>
    <m/>
    <n v="414000"/>
    <n v="389781"/>
    <n v="34026"/>
    <n v="376363.6363636364"/>
    <s v="카페24고체향수유즈 솔리드퍼퓸 - 30ml (스테이포에버 주문 시 12/15 순차배송)향=커플세트201210"/>
  </r>
  <r>
    <x v="202"/>
    <s v="토"/>
    <x v="11"/>
    <s v="카페24"/>
    <s v="유즈 솔리드퍼퓸 - 30ml (스테이포에버 주문 시 12/15 순차배송)향=커플세트(이그나이트 + 스테이포에버), 세트 선택=1 SET"/>
    <n v="5"/>
    <x v="0"/>
    <s v="이그나이트 + 스테이포에버"/>
    <n v="201210"/>
    <m/>
    <n v="345000"/>
    <n v="324817.5"/>
    <n v="28355"/>
    <n v="313636.3636363636"/>
    <s v="카페24고체향수유즈 솔리드퍼퓸 - 30ml (스테이포에버 주문 시 12/15 순차배송)향=커플세트(이그나이트 + 스테이포에버), 세트 선택=1 SET201210"/>
  </r>
  <r>
    <x v="202"/>
    <s v="토"/>
    <x v="11"/>
    <s v="카페24"/>
    <s v="유즈 솔리드퍼퓸 - 30ml (스테이포에버 주문 시 12/15 순차배송)향=커플세트"/>
    <n v="1"/>
    <x v="0"/>
    <s v="이그나이트 + 스테이포에버"/>
    <n v="201210"/>
    <m/>
    <n v="69000"/>
    <n v="64963.5"/>
    <n v="5671"/>
    <n v="62727.27272727272"/>
    <s v="카페24고체향수유즈 솔리드퍼퓸 - 30ml (스테이포에버 주문 시 12/15 순차배송)향=커플세트201210"/>
  </r>
  <r>
    <x v="202"/>
    <s v="토"/>
    <x v="11"/>
    <s v="카페24"/>
    <s v="유즈 솔리드퍼퓸 - 30ml (스테이포에버 주문 시 12/15 순차배송)향=커플세트(이그나이트 + 스테이포에버), 세트 선택=2 SET (42% 할인)"/>
    <n v="2"/>
    <x v="0"/>
    <s v="이그나이트 + 스테이포에버"/>
    <n v="201210"/>
    <m/>
    <n v="138000"/>
    <n v="129927"/>
    <n v="11342"/>
    <n v="125454.5454545454"/>
    <s v="카페24고체향수유즈 솔리드퍼퓸 - 30ml (스테이포에버 주문 시 12/15 순차배송)향=커플세트(이그나이트 + 스테이포에버), 세트 선택=2 SET (42% 할인)201210"/>
  </r>
  <r>
    <x v="202"/>
    <s v="토"/>
    <x v="11"/>
    <s v="카페24"/>
    <s v="유즈 스테이포에버 솔리드퍼퓸 002 (스테이포에버 주문시 12/14 순차배송)제품선택=스테이포에버 2개 세트[Pre-order 이벤트 28% 할인]"/>
    <n v="1"/>
    <x v="0"/>
    <s v="스테이포에버 2set"/>
    <n v="201210"/>
    <m/>
    <n v="58800"/>
    <n v="55360.2"/>
    <n v="5566"/>
    <n v="53454.54545454545"/>
    <s v="카페24고체향수유즈 스테이포에버 솔리드퍼퓸 002 (스테이포에버 주문시 12/14 순차배송)제품선택=스테이포에버 2개 세트[Pre-order 이벤트 28% 할인]201210"/>
  </r>
  <r>
    <x v="202"/>
    <s v="토"/>
    <x v="11"/>
    <s v="카페24"/>
    <s v="유즈 스테이포에버 솔리드퍼퓸 002 (스테이포에버 주문시 12/15 순차배송)제품선택=스테이포에버 1개"/>
    <n v="190"/>
    <x v="0"/>
    <s v="스테이포에버"/>
    <n v="201210"/>
    <m/>
    <n v="7220000"/>
    <n v="6797630"/>
    <n v="528770"/>
    <n v="6563636.363636363"/>
    <s v="카페24고체향수유즈 스테이포에버 솔리드퍼퓸 002 (스테이포에버 주문시 12/15 순차배송)제품선택=스테이포에버 1개201210"/>
  </r>
  <r>
    <x v="202"/>
    <s v="토"/>
    <x v="11"/>
    <s v="카페24"/>
    <s v="유즈 스테이포에버 솔리드퍼퓸 002 (스테이포에버 주문시 12/15 순차배송)제품선택=스테이포에버 [17% 할인]"/>
    <n v="1"/>
    <x v="0"/>
    <s v="스테이포에버"/>
    <n v="201210"/>
    <m/>
    <n v="38000"/>
    <n v="35777"/>
    <n v="2783"/>
    <n v="34545.45454545454"/>
    <s v="카페24고체향수유즈 스테이포에버 솔리드퍼퓸 002 (스테이포에버 주문시 12/15 순차배송)제품선택=스테이포에버 [17% 할인]201210"/>
  </r>
  <r>
    <x v="202"/>
    <s v="토"/>
    <x v="11"/>
    <s v="카페24"/>
    <s v="유즈 스테이포에버 솔리드퍼퓸 002 (스테이포에버 주문시 12/15 순차배송)제품선택=best"/>
    <n v="45"/>
    <x v="0"/>
    <s v="스테이포에버 2set"/>
    <n v="201210"/>
    <m/>
    <n v="2646000"/>
    <n v="2491209"/>
    <n v="250470"/>
    <n v="2405454.545454545"/>
    <s v="카페24고체향수유즈 스테이포에버 솔리드퍼퓸 002 (스테이포에버 주문시 12/15 순차배송)제품선택=best201210"/>
  </r>
  <r>
    <x v="202"/>
    <s v="토"/>
    <x v="11"/>
    <s v="카페24"/>
    <s v="유즈 스테이포에버 솔리드퍼퓸 002 (스테이포에버 주문시 12/15 순차배송)제품선택=best스테이포에버 2개[28% 할인]"/>
    <n v="55"/>
    <x v="0"/>
    <s v="스테이포에버 2set"/>
    <n v="201210"/>
    <m/>
    <n v="3234000"/>
    <n v="3044811"/>
    <n v="306130"/>
    <n v="2940000"/>
    <s v="카페24고체향수유즈 스테이포에버 솔리드퍼퓸 002 (스테이포에버 주문시 12/15 순차배송)제품선택=best스테이포에버 2개[28% 할인]201210"/>
  </r>
  <r>
    <x v="202"/>
    <s v="토"/>
    <x v="11"/>
    <s v="카페24"/>
    <s v="유즈 스테이포에버 솔리드퍼퓸 002 (스테이포에버 주문시 12/15 순차배송)제품선택=스테이포에버 2개 세트[Pre-order 이벤트 28% 할인]"/>
    <n v="1"/>
    <x v="0"/>
    <s v="스테이포에버 2set"/>
    <n v="201210"/>
    <m/>
    <n v="58800"/>
    <n v="55360.2"/>
    <n v="5566"/>
    <n v="53454.54545454545"/>
    <s v="카페24고체향수유즈 스테이포에버 솔리드퍼퓸 002 (스테이포에버 주문시 12/15 순차배송)제품선택=스테이포에버 2개 세트[Pre-order 이벤트 28% 할인]201210"/>
  </r>
  <r>
    <x v="202"/>
    <s v="토"/>
    <x v="11"/>
    <s v="카페24"/>
    <s v="유즈 스테이포에버 솔리드퍼퓸 002 (스테이포에버 주문시 12/15 순차배송)제품선택=커플추천"/>
    <n v="6"/>
    <x v="0"/>
    <s v="이그나이트 + 스테이포에버"/>
    <n v="201210"/>
    <m/>
    <n v="414000"/>
    <n v="389781"/>
    <n v="34026"/>
    <n v="376363.6363636364"/>
    <s v="카페24고체향수유즈 스테이포에버 솔리드퍼퓸 002 (스테이포에버 주문시 12/15 순차배송)제품선택=커플추천201210"/>
  </r>
  <r>
    <x v="202"/>
    <s v="토"/>
    <x v="11"/>
    <s v="카페24"/>
    <s v="유즈 스테이포에버 솔리드퍼퓸 002 (스테이포에버 주문시 12/15 순차배송)제품선택=커플추천스테이포에버 + 이그나이트 세트"/>
    <n v="7"/>
    <x v="0"/>
    <s v="이그나이트 + 스테이포에버"/>
    <n v="201210"/>
    <m/>
    <n v="483000"/>
    <n v="454744.5"/>
    <n v="39697"/>
    <n v="439090.9090909091"/>
    <s v="카페24고체향수유즈 스테이포에버 솔리드퍼퓸 002 (스테이포에버 주문시 12/15 순차배송)제품선택=커플추천스테이포에버 + 이그나이트 세트201210"/>
  </r>
  <r>
    <x v="202"/>
    <s v="토"/>
    <x v="11"/>
    <s v="카페24"/>
    <s v="유즈 스테이포에버 솔리드퍼퓸 002 (스테이포에버 주문시 12/15 순차배송)쇼핑백=선물용 쇼핑백"/>
    <n v="8"/>
    <x v="2"/>
    <s v="쇼핑백"/>
    <n v="201210"/>
    <m/>
    <n v="16000"/>
    <n v="15064"/>
    <n v="9680"/>
    <n v="14545.45454545454"/>
    <s v="카페24쇼핑백유즈 스테이포에버 솔리드퍼퓸 002 (스테이포에버 주문시 12/15 순차배송)쇼핑백=선물용 쇼핑백201210"/>
  </r>
  <r>
    <x v="202"/>
    <s v="토"/>
    <x v="11"/>
    <s v="카페24"/>
    <s v="유즈 이그나이트 솔리드퍼퓸 001제품선택=이그나이트 솔리드퍼퓸 - 30ml"/>
    <n v="4"/>
    <x v="0"/>
    <s v="이그나이트"/>
    <n v="201210"/>
    <m/>
    <n v="152000"/>
    <n v="143108"/>
    <n v="11552"/>
    <n v="138181.8181818182"/>
    <s v="카페24고체향수유즈 이그나이트 솔리드퍼퓸 001제품선택=이그나이트 솔리드퍼퓸 - 30ml201210"/>
  </r>
  <r>
    <x v="202"/>
    <s v="토"/>
    <x v="11"/>
    <s v="카페24"/>
    <s v="유즈 이그나이트 솔리드퍼퓸 001제품선택=이그나이트 2개 세트"/>
    <n v="1"/>
    <x v="0"/>
    <s v="이그나이트 2set"/>
    <n v="201210"/>
    <m/>
    <n v="58800"/>
    <n v="55360.2"/>
    <n v="5776"/>
    <n v="53454.54545454545"/>
    <s v="카페24고체향수유즈 이그나이트 솔리드퍼퓸 001제품선택=이그나이트 2개 세트201210"/>
  </r>
  <r>
    <x v="203"/>
    <s v="일"/>
    <x v="11"/>
    <s v="카페24"/>
    <s v="유즈 솔리드퍼퓸 - 30ml (스테이포에버 주문 시 12/15 순차배송)향=이그나이트 001 SOLID PERFUME, 세트 선택=1"/>
    <n v="1"/>
    <x v="0"/>
    <s v="이그나이트"/>
    <n v="201210"/>
    <m/>
    <n v="38000"/>
    <n v="35777"/>
    <n v="2888"/>
    <n v="34545.45454545454"/>
    <s v="카페24고체향수유즈 솔리드퍼퓸 - 30ml (스테이포에버 주문 시 12/15 순차배송)향=이그나이트 001 SOLID PERFUME, 세트 선택=1201210"/>
  </r>
  <r>
    <x v="203"/>
    <s v="일"/>
    <x v="11"/>
    <s v="카페24"/>
    <s v="유즈 솔리드퍼퓸 - 30ml (스테이포에버 주문 시 12/15 순차배송)향=스테이포에버 002 SOLID PERFUME, 세트 선택=1"/>
    <n v="19"/>
    <x v="0"/>
    <s v="스테이포에버"/>
    <n v="201210"/>
    <m/>
    <n v="722000"/>
    <n v="679763"/>
    <n v="52877"/>
    <n v="656363.6363636364"/>
    <s v="카페24고체향수유즈 솔리드퍼퓸 - 30ml (스테이포에버 주문 시 12/15 순차배송)향=스테이포에버 002 SOLID PERFUME, 세트 선택=1201210"/>
  </r>
  <r>
    <x v="203"/>
    <s v="일"/>
    <x v="11"/>
    <s v="카페24"/>
    <s v="유즈 솔리드퍼퓸 - 30ml (스테이포에버 주문 시 12/15 순차배송)향=스테이포에버 002 SOLID PERFUME, 세트 선택=best"/>
    <n v="3"/>
    <x v="0"/>
    <s v="스테이포에버"/>
    <n v="201210"/>
    <m/>
    <n v="114000"/>
    <n v="107331"/>
    <n v="8349"/>
    <n v="103636.3636363636"/>
    <s v="카페24고체향수유즈 솔리드퍼퓸 - 30ml (스테이포에버 주문 시 12/15 순차배송)향=스테이포에버 002 SOLID PERFUME, 세트 선택=best201210"/>
  </r>
  <r>
    <x v="203"/>
    <s v="일"/>
    <x v="11"/>
    <s v="카페24"/>
    <s v="유즈 솔리드퍼퓸 - 30ml (스테이포에버 주문 시 12/15 순차배송)향=커플세트"/>
    <n v="5"/>
    <x v="0"/>
    <s v="이그나이트 + 스테이포에버"/>
    <n v="201210"/>
    <m/>
    <n v="345000"/>
    <n v="324817.5"/>
    <n v="28355"/>
    <n v="313636.3636363636"/>
    <s v="카페24고체향수유즈 솔리드퍼퓸 - 30ml (스테이포에버 주문 시 12/15 순차배송)향=커플세트201210"/>
  </r>
  <r>
    <x v="203"/>
    <s v="일"/>
    <x v="11"/>
    <s v="카페24"/>
    <s v="유즈 솔리드퍼퓸 - 30ml (스테이포에버 주문 시 12/15 순차배송)향=커플세트(이그나이트 + 스테이포에버), 세트 선택=1 SET"/>
    <n v="4"/>
    <x v="0"/>
    <s v="이그나이트 + 스테이포에버"/>
    <n v="201210"/>
    <m/>
    <n v="276000"/>
    <n v="259854"/>
    <n v="22684"/>
    <n v="250909.0909090909"/>
    <s v="카페24고체향수유즈 솔리드퍼퓸 - 30ml (스테이포에버 주문 시 12/15 순차배송)향=커플세트(이그나이트 + 스테이포에버), 세트 선택=1 SET201210"/>
  </r>
  <r>
    <x v="203"/>
    <s v="일"/>
    <x v="11"/>
    <s v="카페24"/>
    <s v="유즈 솔리드퍼퓸 - 30ml (스테이포에버 주문 시 12/15 순차배송)향=커플세트(이그나이트 + 스테이포에버), 세트 선택=2 SET (42% 할인)"/>
    <n v="1"/>
    <x v="0"/>
    <s v="이그나이트 + 스테이포에버"/>
    <n v="201210"/>
    <m/>
    <n v="69000"/>
    <n v="64963.5"/>
    <n v="5671"/>
    <n v="62727.27272727272"/>
    <s v="카페24고체향수유즈 솔리드퍼퓸 - 30ml (스테이포에버 주문 시 12/15 순차배송)향=커플세트(이그나이트 + 스테이포에버), 세트 선택=2 SET (42% 할인)201210"/>
  </r>
  <r>
    <x v="203"/>
    <s v="일"/>
    <x v="11"/>
    <s v="카페24"/>
    <s v="유즈 스테이포에버 솔리드퍼퓸 002 (스테이포에버 주문시 12/15 순차배송)제품선택=스테이포에버 1개"/>
    <n v="197"/>
    <x v="0"/>
    <s v="스테이포에버"/>
    <n v="201210"/>
    <m/>
    <n v="7486000"/>
    <n v="7048069"/>
    <n v="548251"/>
    <n v="6805454.545454545"/>
    <s v="카페24고체향수유즈 스테이포에버 솔리드퍼퓸 002 (스테이포에버 주문시 12/15 순차배송)제품선택=스테이포에버 1개201210"/>
  </r>
  <r>
    <x v="203"/>
    <s v="일"/>
    <x v="11"/>
    <s v="카페24"/>
    <s v="유즈 스테이포에버 솔리드퍼퓸 002 (스테이포에버 주문시 12/15 순차배송)제품선택=스테이포에버 솔리드퍼퓸 002[Pre-order 이벤트 17% 할인]"/>
    <n v="1"/>
    <x v="0"/>
    <s v="스테이포에버"/>
    <n v="201210"/>
    <m/>
    <n v="38000"/>
    <n v="35777"/>
    <n v="2783"/>
    <n v="34545.45454545454"/>
    <s v="카페24고체향수유즈 스테이포에버 솔리드퍼퓸 002 (스테이포에버 주문시 12/15 순차배송)제품선택=스테이포에버 솔리드퍼퓸 002[Pre-order 이벤트 17% 할인]201210"/>
  </r>
  <r>
    <x v="203"/>
    <s v="일"/>
    <x v="11"/>
    <s v="카페24"/>
    <s v="유즈 스테이포에버 솔리드퍼퓸 002 (스테이포에버 주문시 12/15 순차배송)제품선택=best"/>
    <n v="44"/>
    <x v="0"/>
    <s v="스테이포에버 2set"/>
    <n v="201210"/>
    <m/>
    <n v="2587200"/>
    <n v="2435848.8"/>
    <n v="244904"/>
    <n v="2352000"/>
    <s v="카페24고체향수유즈 스테이포에버 솔리드퍼퓸 002 (스테이포에버 주문시 12/15 순차배송)제품선택=best201210"/>
  </r>
  <r>
    <x v="203"/>
    <s v="일"/>
    <x v="11"/>
    <s v="카페24"/>
    <s v="유즈 스테이포에버 솔리드퍼퓸 002 (스테이포에버 주문시 12/15 순차배송)제품선택=best스테이포에버 2개[28% 할인]"/>
    <n v="54"/>
    <x v="0"/>
    <s v="스테이포에버 2set"/>
    <n v="201210"/>
    <m/>
    <n v="3175200"/>
    <n v="2989450.8"/>
    <n v="300564"/>
    <n v="2886545.454545454"/>
    <s v="카페24고체향수유즈 스테이포에버 솔리드퍼퓸 002 (스테이포에버 주문시 12/15 순차배송)제품선택=best스테이포에버 2개[28% 할인]201210"/>
  </r>
  <r>
    <x v="203"/>
    <s v="일"/>
    <x v="11"/>
    <s v="카페24"/>
    <s v="유즈 스테이포에버 솔리드퍼퓸 002 (스테이포에버 주문시 12/15 순차배송)제품선택=커플추천"/>
    <n v="2"/>
    <x v="0"/>
    <s v="이그나이트 + 스테이포에버"/>
    <n v="201210"/>
    <m/>
    <n v="138000"/>
    <n v="129927"/>
    <n v="11342"/>
    <n v="125454.5454545454"/>
    <s v="카페24고체향수유즈 스테이포에버 솔리드퍼퓸 002 (스테이포에버 주문시 12/15 순차배송)제품선택=커플추천201210"/>
  </r>
  <r>
    <x v="203"/>
    <s v="일"/>
    <x v="11"/>
    <s v="카페24"/>
    <s v="유즈 스테이포에버 솔리드퍼퓸 002 (스테이포에버 주문시 12/15 순차배송)제품선택=커플추천스테이포에버 + 이그나이트 세트"/>
    <n v="8"/>
    <x v="0"/>
    <s v="이그나이트 + 스테이포에버"/>
    <n v="201210"/>
    <m/>
    <n v="552000"/>
    <n v="519708"/>
    <n v="45368"/>
    <n v="501818.1818181818"/>
    <s v="카페24고체향수유즈 스테이포에버 솔리드퍼퓸 002 (스테이포에버 주문시 12/15 순차배송)제품선택=커플추천스테이포에버 + 이그나이트 세트201210"/>
  </r>
  <r>
    <x v="203"/>
    <s v="일"/>
    <x v="11"/>
    <s v="카페24"/>
    <s v="유즈 스테이포에버 솔리드퍼퓸 002 (스테이포에버 주문시 12/15 순차배송)쇼핑백=선물용 쇼핑백"/>
    <n v="3"/>
    <x v="2"/>
    <s v="쇼핑백"/>
    <n v="201210"/>
    <m/>
    <n v="6000"/>
    <n v="5649"/>
    <n v="3630"/>
    <n v="5454.545454545454"/>
    <s v="카페24쇼핑백유즈 스테이포에버 솔리드퍼퓸 002 (스테이포에버 주문시 12/15 순차배송)쇼핑백=선물용 쇼핑백201210"/>
  </r>
  <r>
    <x v="203"/>
    <s v="일"/>
    <x v="11"/>
    <s v="카페24"/>
    <s v="유즈 이그나이트 솔리드퍼퓸 001제품선택=이그나이트 솔리드퍼퓸 - 30ml"/>
    <n v="3"/>
    <x v="0"/>
    <s v="이그나이트"/>
    <n v="201210"/>
    <m/>
    <n v="114000"/>
    <n v="107331"/>
    <n v="8664"/>
    <n v="103636.3636363636"/>
    <s v="카페24고체향수유즈 이그나이트 솔리드퍼퓸 001제품선택=이그나이트 솔리드퍼퓸 - 30ml201210"/>
  </r>
  <r>
    <x v="203"/>
    <s v="일"/>
    <x v="11"/>
    <s v="카페24"/>
    <s v="유즈 이그나이트 솔리드퍼퓸 001제품선택=이그나이트 2개 세트"/>
    <n v="1"/>
    <x v="0"/>
    <s v="이그나이트 2set"/>
    <n v="201210"/>
    <m/>
    <n v="58800"/>
    <n v="55360.2"/>
    <n v="5776"/>
    <n v="53454.54545454545"/>
    <s v="카페24고체향수유즈 이그나이트 솔리드퍼퓸 001제품선택=이그나이트 2개 세트201210"/>
  </r>
  <r>
    <x v="204"/>
    <s v="월"/>
    <x v="11"/>
    <s v="카페24"/>
    <s v="스테이포에버 솔리드퍼퓸 002 (10차 재입고 완료제품선택=스테이포에버 1개"/>
    <n v="20"/>
    <x v="0"/>
    <s v="스테이포에버"/>
    <n v="201210"/>
    <m/>
    <n v="760000"/>
    <n v="715540"/>
    <n v="55660"/>
    <n v="690909.0909090908"/>
    <s v="카페24고체향수스테이포에버 솔리드퍼퓸 002 (10차 재입고 완료제품선택=스테이포에버 1개201210"/>
  </r>
  <r>
    <x v="204"/>
    <s v="월"/>
    <x v="11"/>
    <s v="카페24"/>
    <s v="스테이포에버 솔리드퍼퓸 002 (10차 재입고 완료제품선택=best"/>
    <n v="15"/>
    <x v="0"/>
    <s v="스테이포에버 2set"/>
    <n v="201210"/>
    <m/>
    <n v="882000"/>
    <n v="830403"/>
    <n v="83490"/>
    <n v="801818.1818181818"/>
    <s v="카페24고체향수스테이포에버 솔리드퍼퓸 002 (10차 재입고 완료제품선택=best201210"/>
  </r>
  <r>
    <x v="204"/>
    <s v="월"/>
    <x v="11"/>
    <s v="카페24"/>
    <s v="스테이포에버 솔리드퍼퓸 002 (10차 재입고 완료제품선택=커플추천"/>
    <n v="2"/>
    <x v="0"/>
    <s v="이그나이트 + 스테이포에버"/>
    <n v="201210"/>
    <m/>
    <n v="138000"/>
    <n v="129927"/>
    <n v="11342"/>
    <n v="125454.5454545454"/>
    <s v="카페24고체향수스테이포에버 솔리드퍼퓸 002 (10차 재입고 완료제품선택=커플추천201210"/>
  </r>
  <r>
    <x v="204"/>
    <s v="월"/>
    <x v="11"/>
    <s v="카페24"/>
    <s v="스테이포에버 솔리드퍼퓸 002 (10차 재입고 완료쇼핑백=선물용 쇼핑백"/>
    <n v="1"/>
    <x v="2"/>
    <s v="쇼핑백"/>
    <n v="201210"/>
    <m/>
    <n v="2000"/>
    <n v="1883"/>
    <n v="1210"/>
    <n v="1818.181818181818"/>
    <s v="카페24쇼핑백스테이포에버 솔리드퍼퓸 002 (10차 재입고 완료쇼핑백=선물용 쇼핑백201210"/>
  </r>
  <r>
    <x v="204"/>
    <s v="월"/>
    <x v="11"/>
    <s v="카페24"/>
    <s v="스테이포에버 솔리드퍼퓸 002 (10차 재입고 완료)제품선택=스테이포에버 1개"/>
    <n v="45"/>
    <x v="0"/>
    <s v="스테이포에버"/>
    <n v="201210"/>
    <m/>
    <n v="1710000"/>
    <n v="1609965"/>
    <n v="125235"/>
    <n v="1554545.454545454"/>
    <s v="카페24고체향수스테이포에버 솔리드퍼퓸 002 (10차 재입고 완료)제품선택=스테이포에버 1개201210"/>
  </r>
  <r>
    <x v="204"/>
    <s v="월"/>
    <x v="11"/>
    <s v="카페24"/>
    <s v="스테이포에버 솔리드퍼퓸 002 (10차 재입고 완료)제품선택=best스테이포에버 2개[28% 할인]"/>
    <n v="12"/>
    <x v="0"/>
    <s v="스테이포에버 2set"/>
    <n v="201210"/>
    <m/>
    <n v="705600"/>
    <n v="664322.4"/>
    <n v="66792"/>
    <n v="641454.5454545454"/>
    <s v="카페24고체향수스테이포에버 솔리드퍼퓸 002 (10차 재입고 완료)제품선택=best스테이포에버 2개[28% 할인]201210"/>
  </r>
  <r>
    <x v="204"/>
    <s v="월"/>
    <x v="11"/>
    <s v="카페24"/>
    <s v="스테이포에버 솔리드퍼퓸 002 (10차 재입고 완료)제품선택=커플추천스테이포에버 + 이그나이트 세트"/>
    <n v="1"/>
    <x v="0"/>
    <s v="이그나이트 + 스테이포에버"/>
    <n v="201210"/>
    <m/>
    <n v="69000"/>
    <n v="64963.5"/>
    <n v="5671"/>
    <n v="62727.27272727272"/>
    <s v="카페24고체향수스테이포에버 솔리드퍼퓸 002 (10차 재입고 완료)제품선택=커플추천스테이포에버 + 이그나이트 세트201210"/>
  </r>
  <r>
    <x v="204"/>
    <s v="월"/>
    <x v="11"/>
    <s v="카페24"/>
    <s v="스테이포에버 솔리드퍼퓸 002 (10차 재입고 완료)쇼핑백=선물용 쇼핑백"/>
    <n v="4"/>
    <x v="2"/>
    <s v="쇼핑백"/>
    <n v="201210"/>
    <m/>
    <n v="8000"/>
    <n v="7532"/>
    <n v="4840"/>
    <n v="7272.727272727272"/>
    <s v="카페24쇼핑백스테이포에버 솔리드퍼퓸 002 (10차 재입고 완료)쇼핑백=선물용 쇼핑백201210"/>
  </r>
  <r>
    <x v="204"/>
    <s v="월"/>
    <x v="11"/>
    <s v="카페24"/>
    <s v="유즈 솔리드퍼퓸 - 30ml (10차 재입고 완료향=스테이포에버 002 SOLID PERFUME, 세트 선택=1개"/>
    <n v="3"/>
    <x v="0"/>
    <s v="스테이포에버"/>
    <n v="201210"/>
    <m/>
    <n v="114000"/>
    <n v="107331"/>
    <n v="8349"/>
    <n v="103636.3636363636"/>
    <s v="카페24고체향수유즈 솔리드퍼퓸 - 30ml (10차 재입고 완료향=스테이포에버 002 SOLID PERFUME, 세트 선택=1개201210"/>
  </r>
  <r>
    <x v="204"/>
    <s v="월"/>
    <x v="11"/>
    <s v="카페24"/>
    <s v="유즈 솔리드퍼퓸 - 30ml (10차 재입고 완료 )향=스테이포에버 002 SOLID PERFUME, 세트 선택=1개"/>
    <n v="3"/>
    <x v="0"/>
    <s v="스테이포에버"/>
    <n v="201210"/>
    <m/>
    <n v="114000"/>
    <n v="107331"/>
    <n v="8349"/>
    <n v="103636.3636363636"/>
    <s v="카페24고체향수유즈 솔리드퍼퓸 - 30ml (10차 재입고 완료 )향=스테이포에버 002 SOLID PERFUME, 세트 선택=1개201210"/>
  </r>
  <r>
    <x v="204"/>
    <s v="월"/>
    <x v="11"/>
    <s v="카페24"/>
    <s v="유즈 솔리드퍼퓸 - 30ml (10차 재입고 완료 )향=스테이포에버 002 SOLID PERFUME, 세트 선택=best 2개 (28% 할인)"/>
    <n v="2"/>
    <x v="0"/>
    <s v="스테이포에버 2set"/>
    <n v="201210"/>
    <m/>
    <n v="117600"/>
    <n v="110720.4"/>
    <n v="11132"/>
    <n v="106909.0909090909"/>
    <s v="카페24고체향수유즈 솔리드퍼퓸 - 30ml (10차 재입고 완료 )향=스테이포에버 002 SOLID PERFUME, 세트 선택=best 2개 (28% 할인)201210"/>
  </r>
  <r>
    <x v="204"/>
    <s v="월"/>
    <x v="11"/>
    <s v="카페24"/>
    <s v="유즈 솔리드퍼퓸 - 30ml (스테이포에버 주문 시 12/15 순차배송)향=스테이포에버 002 SOLID PERFUME, 세트 선택=1"/>
    <n v="7"/>
    <x v="0"/>
    <s v="스테이포에버"/>
    <n v="201210"/>
    <m/>
    <n v="266000"/>
    <n v="250439"/>
    <n v="19481"/>
    <n v="241818.1818181818"/>
    <s v="카페24고체향수유즈 솔리드퍼퓸 - 30ml (스테이포에버 주문 시 12/15 순차배송)향=스테이포에버 002 SOLID PERFUME, 세트 선택=1201210"/>
  </r>
  <r>
    <x v="204"/>
    <s v="월"/>
    <x v="11"/>
    <s v="카페24"/>
    <s v="유즈 솔리드퍼퓸 - 30ml (스테이포에버 주문 시 12/15 순차배송)향=스테이포에버, 세트 선택=1 개"/>
    <n v="2"/>
    <x v="0"/>
    <s v="스테이포에버"/>
    <n v="201210"/>
    <m/>
    <n v="76000"/>
    <n v="71554"/>
    <n v="5566"/>
    <n v="69090.90909090909"/>
    <s v="카페24고체향수유즈 솔리드퍼퓸 - 30ml (스테이포에버 주문 시 12/15 순차배송)향=스테이포에버, 세트 선택=1 개201210"/>
  </r>
  <r>
    <x v="204"/>
    <s v="월"/>
    <x v="11"/>
    <s v="카페24"/>
    <s v="유즈 솔리드퍼퓸 - 30ml (스테이포에버 주문 시 12/15 순차배송)향=스테이포에버 002 SOLID PERFUME, 세트 선택=best"/>
    <n v="3"/>
    <x v="0"/>
    <s v="스테이포에버"/>
    <n v="201210"/>
    <m/>
    <n v="114000"/>
    <n v="107331"/>
    <n v="8349"/>
    <n v="103636.3636363636"/>
    <s v="카페24고체향수유즈 솔리드퍼퓸 - 30ml (스테이포에버 주문 시 12/15 순차배송)향=스테이포에버 002 SOLID PERFUME, 세트 선택=best201210"/>
  </r>
  <r>
    <x v="204"/>
    <s v="월"/>
    <x v="11"/>
    <s v="카페24"/>
    <s v="유즈 솔리드퍼퓸 - 30ml (스테이포에버 주문 시 12/15 순차배송)향=스테이포에버 002 SOLID PERFUME, 세트 선택=best(28% 할인)2개"/>
    <n v="1"/>
    <x v="0"/>
    <s v="스테이포에버 2set"/>
    <n v="201210"/>
    <m/>
    <n v="58800"/>
    <n v="55360.2"/>
    <n v="5566"/>
    <n v="53454.54545454545"/>
    <s v="카페24고체향수유즈 솔리드퍼퓸 - 30ml (스테이포에버 주문 시 12/15 순차배송)향=스테이포에버 002 SOLID PERFUME, 세트 선택=best(28% 할인)2개201210"/>
  </r>
  <r>
    <x v="204"/>
    <s v="월"/>
    <x v="11"/>
    <s v="카페24"/>
    <s v="유즈 솔리드퍼퓸 - 30ml (스테이포에버 주문 시 12/15 순차배송)향=이그나이트 + 스테이포에버, 세트 선택=1 SET"/>
    <n v="3"/>
    <x v="0"/>
    <s v="이그나이트 + 스테이포에버"/>
    <n v="201210"/>
    <m/>
    <n v="207000"/>
    <n v="194890.5"/>
    <n v="17013"/>
    <n v="188181.8181818182"/>
    <s v="카페24고체향수유즈 솔리드퍼퓸 - 30ml (스테이포에버 주문 시 12/15 순차배송)향=이그나이트 + 스테이포에버, 세트 선택=1 SET201210"/>
  </r>
  <r>
    <x v="204"/>
    <s v="월"/>
    <x v="11"/>
    <s v="카페24"/>
    <s v="유즈 솔리드퍼퓸 - 30ml (스테이포에버 주문 시 12/15 순차배송)향=커플세트"/>
    <n v="7"/>
    <x v="0"/>
    <s v="이그나이트 + 스테이포에버"/>
    <n v="201210"/>
    <m/>
    <n v="483000"/>
    <n v="454744.5"/>
    <n v="39697"/>
    <n v="439090.9090909091"/>
    <s v="카페24고체향수유즈 솔리드퍼퓸 - 30ml (스테이포에버 주문 시 12/15 순차배송)향=커플세트201210"/>
  </r>
  <r>
    <x v="204"/>
    <s v="월"/>
    <x v="11"/>
    <s v="카페24"/>
    <s v="유즈 솔리드퍼퓸 - 30ml (스테이포에버 주문 시 12/15 순차배송)향=커플세트(이그나이트 + 스테이포에버), 세트 선택=1 SET"/>
    <n v="2"/>
    <x v="0"/>
    <s v="이그나이트 + 스테이포에버"/>
    <n v="201210"/>
    <m/>
    <n v="138000"/>
    <n v="129927"/>
    <n v="11342"/>
    <n v="125454.5454545454"/>
    <s v="카페24고체향수유즈 솔리드퍼퓸 - 30ml (스테이포에버 주문 시 12/15 순차배송)향=커플세트(이그나이트 + 스테이포에버), 세트 선택=1 SET201210"/>
  </r>
  <r>
    <x v="204"/>
    <s v="월"/>
    <x v="11"/>
    <s v="카페24"/>
    <s v="유즈 스테이포에버 솔리드퍼퓸 002 (10차 재입고 완료제품선택=커플추천"/>
    <n v="1"/>
    <x v="0"/>
    <s v="이그나이트 + 스테이포에버"/>
    <n v="201210"/>
    <m/>
    <n v="69000"/>
    <n v="64963.5"/>
    <n v="5671"/>
    <n v="62727.27272727272"/>
    <s v="카페24고체향수유즈 스테이포에버 솔리드퍼퓸 002 (10차 재입고 완료제품선택=커플추천201210"/>
  </r>
  <r>
    <x v="204"/>
    <s v="월"/>
    <x v="11"/>
    <s v="카페24"/>
    <s v="유즈 스테이포에버 솔리드퍼퓸 002 (10차 재입고 완료)제품선택=스테이포에버 1개"/>
    <n v="1"/>
    <x v="0"/>
    <s v="스테이포에버"/>
    <n v="201210"/>
    <m/>
    <n v="38000"/>
    <n v="35777"/>
    <n v="2783"/>
    <n v="34545.45454545454"/>
    <s v="카페24고체향수유즈 스테이포에버 솔리드퍼퓸 002 (10차 재입고 완료)제품선택=스테이포에버 1개201210"/>
  </r>
  <r>
    <x v="204"/>
    <s v="월"/>
    <x v="11"/>
    <s v="카페24"/>
    <s v="유즈 스테이포에버 솔리드퍼퓸 002 (스테이포에버 주문시 12/14 순차배송)제품선택=스테이포에버 솔리드퍼퓸 002[Pre-order 이벤트 17% 할인]"/>
    <n v="1"/>
    <x v="0"/>
    <s v="스테이포에버"/>
    <n v="201210"/>
    <m/>
    <n v="38000"/>
    <n v="35777"/>
    <n v="2783"/>
    <n v="34545.45454545454"/>
    <s v="카페24고체향수유즈 스테이포에버 솔리드퍼퓸 002 (스테이포에버 주문시 12/14 순차배송)제품선택=스테이포에버 솔리드퍼퓸 002[Pre-order 이벤트 17% 할인]201210"/>
  </r>
  <r>
    <x v="204"/>
    <s v="월"/>
    <x v="11"/>
    <s v="카페24"/>
    <s v="유즈 스테이포에버 솔리드퍼퓸 002 (스테이포에버 주문시 12/15 순차배송)제품선택=스테이포에버 1개"/>
    <n v="166"/>
    <x v="0"/>
    <s v="스테이포에버"/>
    <n v="201210"/>
    <m/>
    <n v="6308000"/>
    <n v="5938982"/>
    <n v="461978"/>
    <n v="5734545.454545454"/>
    <s v="카페24고체향수유즈 스테이포에버 솔리드퍼퓸 002 (스테이포에버 주문시 12/15 순차배송)제품선택=스테이포에버 1개201210"/>
  </r>
  <r>
    <x v="204"/>
    <s v="월"/>
    <x v="11"/>
    <s v="카페24"/>
    <s v="유즈 스테이포에버 솔리드퍼퓸 002 (스테이포에버 주문시 12/15 순차배송)제품선택=스테이포에버 1개 [17% 할인]"/>
    <n v="3"/>
    <x v="0"/>
    <s v="스테이포에버"/>
    <n v="201210"/>
    <m/>
    <n v="114000"/>
    <n v="107331"/>
    <n v="8349"/>
    <n v="103636.3636363636"/>
    <s v="카페24고체향수유즈 스테이포에버 솔리드퍼퓸 002 (스테이포에버 주문시 12/15 순차배송)제품선택=스테이포에버 1개 [17% 할인]201210"/>
  </r>
  <r>
    <x v="204"/>
    <s v="월"/>
    <x v="11"/>
    <s v="카페24"/>
    <s v="유즈 스테이포에버 솔리드퍼퓸 002 (스테이포에버 주문시 12/15 순차배송)제품선택=스테이포에버 [17% 할인]"/>
    <n v="3"/>
    <x v="0"/>
    <s v="스테이포에버"/>
    <n v="201210"/>
    <m/>
    <n v="114000"/>
    <n v="107331"/>
    <n v="8349"/>
    <n v="103636.3636363636"/>
    <s v="카페24고체향수유즈 스테이포에버 솔리드퍼퓸 002 (스테이포에버 주문시 12/15 순차배송)제품선택=스테이포에버 [17% 할인]201210"/>
  </r>
  <r>
    <x v="204"/>
    <s v="월"/>
    <x v="11"/>
    <s v="카페24"/>
    <s v="유즈 스테이포에버 솔리드퍼퓸 002 (스테이포에버 주문시 12/15 순차배송)제품선택=스테이포에버 솔리드퍼퓸 002[Pre-order 이벤트 17% 할인]"/>
    <n v="20"/>
    <x v="0"/>
    <s v="스테이포에버"/>
    <n v="201210"/>
    <m/>
    <n v="760000"/>
    <n v="715540"/>
    <n v="55660"/>
    <n v="690909.0909090908"/>
    <s v="카페24고체향수유즈 스테이포에버 솔리드퍼퓸 002 (스테이포에버 주문시 12/15 순차배송)제품선택=스테이포에버 솔리드퍼퓸 002[Pre-order 이벤트 17% 할인]201210"/>
  </r>
  <r>
    <x v="204"/>
    <s v="월"/>
    <x v="11"/>
    <s v="카페24"/>
    <s v="유즈 스테이포에버 솔리드퍼퓸 002 (스테이포에버 주문시 12/15 순차배송)제품선택=best"/>
    <n v="44"/>
    <x v="0"/>
    <s v="스테이포에버 2set"/>
    <n v="201210"/>
    <m/>
    <n v="2587200"/>
    <n v="2435848.8"/>
    <n v="244904"/>
    <n v="2352000"/>
    <s v="카페24고체향수유즈 스테이포에버 솔리드퍼퓸 002 (스테이포에버 주문시 12/15 순차배송)제품선택=best201210"/>
  </r>
  <r>
    <x v="204"/>
    <s v="월"/>
    <x v="11"/>
    <s v="카페24"/>
    <s v="유즈 스테이포에버 솔리드퍼퓸 002 (스테이포에버 주문시 12/15 순차배송)제품선택=best스테이포에버 2개[28% 할인]"/>
    <n v="33"/>
    <x v="0"/>
    <s v="스테이포에버 2set"/>
    <n v="201210"/>
    <m/>
    <n v="1940400"/>
    <n v="1826886.6"/>
    <n v="183678"/>
    <n v="1764000"/>
    <s v="카페24고체향수유즈 스테이포에버 솔리드퍼퓸 002 (스테이포에버 주문시 12/15 순차배송)제품선택=best스테이포에버 2개[28% 할인]201210"/>
  </r>
  <r>
    <x v="204"/>
    <s v="월"/>
    <x v="11"/>
    <s v="카페24"/>
    <s v="유즈 스테이포에버 솔리드퍼퓸 002 (스테이포에버 주문시 12/15 순차배송)제품선택=스테이포에버 2개 세트[Pre-order 이벤트 28% 할인]"/>
    <n v="7"/>
    <x v="0"/>
    <s v="스테이포에버 2set"/>
    <n v="201210"/>
    <m/>
    <n v="411600"/>
    <n v="387521.4"/>
    <n v="38962"/>
    <n v="374181.8181818182"/>
    <s v="카페24고체향수유즈 스테이포에버 솔리드퍼퓸 002 (스테이포에버 주문시 12/15 순차배송)제품선택=스테이포에버 2개 세트[Pre-order 이벤트 28% 할인]201210"/>
  </r>
  <r>
    <x v="204"/>
    <s v="월"/>
    <x v="11"/>
    <s v="카페24"/>
    <s v="유즈 스테이포에버 솔리드퍼퓸 002 (스테이포에버 주문시 12/15 순차배송)제품선택=스테이포에버 + 이그나이트 세트"/>
    <n v="1"/>
    <x v="0"/>
    <s v="이그나이트 + 스테이포에버"/>
    <n v="201210"/>
    <m/>
    <n v="69000"/>
    <n v="64963.5"/>
    <n v="5671"/>
    <n v="62727.27272727272"/>
    <s v="카페24고체향수유즈 스테이포에버 솔리드퍼퓸 002 (스테이포에버 주문시 12/15 순차배송)제품선택=스테이포에버 + 이그나이트 세트201210"/>
  </r>
  <r>
    <x v="204"/>
    <s v="월"/>
    <x v="11"/>
    <s v="카페24"/>
    <s v="유즈 스테이포에버 솔리드퍼퓸 002 (스테이포에버 주문시 12/15 순차배송)제품선택=커플추천"/>
    <n v="4"/>
    <x v="0"/>
    <s v="이그나이트 + 스테이포에버"/>
    <n v="201210"/>
    <m/>
    <n v="276000"/>
    <n v="259854"/>
    <n v="22684"/>
    <n v="250909.0909090909"/>
    <s v="카페24고체향수유즈 스테이포에버 솔리드퍼퓸 002 (스테이포에버 주문시 12/15 순차배송)제품선택=커플추천201210"/>
  </r>
  <r>
    <x v="204"/>
    <s v="월"/>
    <x v="11"/>
    <s v="카페24"/>
    <s v="유즈 스테이포에버 솔리드퍼퓸 002 (스테이포에버 주문시 12/15 순차배송)제품선택=커플추천스테이포에버 + 이그나이트 세트"/>
    <n v="6"/>
    <x v="0"/>
    <s v="이그나이트 + 스테이포에버"/>
    <n v="201210"/>
    <m/>
    <n v="414000"/>
    <n v="389781"/>
    <n v="34026"/>
    <n v="376363.6363636364"/>
    <s v="카페24고체향수유즈 스테이포에버 솔리드퍼퓸 002 (스테이포에버 주문시 12/15 순차배송)제품선택=커플추천스테이포에버 + 이그나이트 세트201210"/>
  </r>
  <r>
    <x v="204"/>
    <s v="월"/>
    <x v="11"/>
    <s v="카페24"/>
    <s v="유즈 스테이포에버 솔리드퍼퓸 002 (스테이포에버 주문시 12/15 순차배송)쇼핑백=선물용 쇼핑백"/>
    <n v="4"/>
    <x v="2"/>
    <s v="쇼핑백"/>
    <n v="201210"/>
    <m/>
    <n v="8000"/>
    <n v="7532"/>
    <n v="4840"/>
    <n v="7272.727272727272"/>
    <s v="카페24쇼핑백유즈 스테이포에버 솔리드퍼퓸 002 (스테이포에버 주문시 12/15 순차배송)쇼핑백=선물용 쇼핑백201210"/>
  </r>
  <r>
    <x v="204"/>
    <s v="월"/>
    <x v="11"/>
    <s v="카페24"/>
    <s v="유즈 이그나이트 솔리드퍼퓸 001제품선택=이그나이트 솔리드퍼퓸 - 30ml"/>
    <n v="4"/>
    <x v="0"/>
    <s v="이그나이트"/>
    <n v="201210"/>
    <m/>
    <n v="152000"/>
    <n v="143108"/>
    <n v="11552"/>
    <n v="138181.8181818182"/>
    <s v="카페24고체향수유즈 이그나이트 솔리드퍼퓸 001제품선택=이그나이트 솔리드퍼퓸 - 30ml201210"/>
  </r>
  <r>
    <x v="204"/>
    <s v="월"/>
    <x v="11"/>
    <s v="카페24"/>
    <s v="유즈 이그나이트 솔리드퍼퓸 001제품선택=이그나이트 2개 세트"/>
    <n v="2"/>
    <x v="0"/>
    <s v="이그나이트 2set"/>
    <n v="201210"/>
    <m/>
    <n v="117600"/>
    <n v="110720.4"/>
    <n v="11552"/>
    <n v="106909.0909090909"/>
    <s v="카페24고체향수유즈 이그나이트 솔리드퍼퓸 001제품선택=이그나이트 2개 세트201210"/>
  </r>
  <r>
    <x v="205"/>
    <s v="화"/>
    <x v="11"/>
    <s v="유즈 CS"/>
    <s v="솔리드퍼퓸 스테이포에버 002 30ml"/>
    <n v="40"/>
    <x v="0"/>
    <s v="스테이포에버"/>
    <n v="201210"/>
    <m/>
    <n v="0"/>
    <n v="0"/>
    <n v="111320"/>
    <n v="0"/>
    <s v="유즈 CS고체향수솔리드퍼퓸 스테이포에버 002 30ml201210"/>
  </r>
  <r>
    <x v="205"/>
    <s v="화"/>
    <x v="11"/>
    <s v="카페24"/>
    <s v="스테이포에버 솔리드퍼퓸 002 (10차 재입고 완료제품선택=스테이포에버 1개"/>
    <n v="137"/>
    <x v="0"/>
    <s v="스테이포에버"/>
    <n v="201210"/>
    <m/>
    <n v="5206000"/>
    <n v="4901449"/>
    <n v="381271"/>
    <n v="4732727.272727272"/>
    <s v="카페24고체향수스테이포에버 솔리드퍼퓸 002 (10차 재입고 완료제품선택=스테이포에버 1개201210"/>
  </r>
  <r>
    <x v="205"/>
    <s v="화"/>
    <x v="11"/>
    <s v="카페24"/>
    <s v="스테이포에버 솔리드퍼퓸 002 (10차 재입고 완료제품선택=best"/>
    <n v="65"/>
    <x v="0"/>
    <s v="스테이포에버 2set"/>
    <n v="201210"/>
    <m/>
    <n v="3822000"/>
    <n v="3598413"/>
    <n v="361790"/>
    <n v="3474545.454545454"/>
    <s v="카페24고체향수스테이포에버 솔리드퍼퓸 002 (10차 재입고 완료제품선택=best201210"/>
  </r>
  <r>
    <x v="205"/>
    <s v="화"/>
    <x v="11"/>
    <s v="카페24"/>
    <s v="스테이포에버 솔리드퍼퓸 002 (10차 재입고 완료제품선택=커플추천"/>
    <n v="10"/>
    <x v="0"/>
    <s v="이그나이트 + 스테이포에버"/>
    <n v="201210"/>
    <m/>
    <n v="690000"/>
    <n v="649635"/>
    <n v="56710"/>
    <n v="627272.7272727272"/>
    <s v="카페24고체향수스테이포에버 솔리드퍼퓸 002 (10차 재입고 완료제품선택=커플추천201210"/>
  </r>
  <r>
    <x v="205"/>
    <s v="화"/>
    <x v="11"/>
    <s v="카페24"/>
    <s v="스테이포에버 솔리드퍼퓸 002 (10차 재입고 완료쇼핑백=선물용 쇼핑백"/>
    <n v="5"/>
    <x v="2"/>
    <s v="쇼핑백"/>
    <n v="201210"/>
    <m/>
    <n v="10000"/>
    <n v="9415"/>
    <n v="6050"/>
    <n v="9090.90909090909"/>
    <s v="카페24쇼핑백스테이포에버 솔리드퍼퓸 002 (10차 재입고 완료쇼핑백=선물용 쇼핑백201210"/>
  </r>
  <r>
    <x v="205"/>
    <s v="화"/>
    <x v="11"/>
    <s v="카페24"/>
    <s v="스테이포에버 솔리드퍼퓸 002 (10차 재입고 완료)제품선택=스테이포에버 1개"/>
    <n v="134"/>
    <x v="0"/>
    <s v="스테이포에버"/>
    <n v="201210"/>
    <m/>
    <n v="5092000"/>
    <n v="4794118"/>
    <n v="372922"/>
    <n v="4629090.909090909"/>
    <s v="카페24고체향수스테이포에버 솔리드퍼퓸 002 (10차 재입고 완료)제품선택=스테이포에버 1개201210"/>
  </r>
  <r>
    <x v="205"/>
    <s v="화"/>
    <x v="11"/>
    <s v="카페24"/>
    <s v="스테이포에버 솔리드퍼퓸 002 (10차 재입고 완료)제품선택=best스테이포에버 2개[28% 할인]"/>
    <n v="62"/>
    <x v="0"/>
    <s v="스테이포에버 2set"/>
    <n v="201210"/>
    <m/>
    <n v="3645600"/>
    <n v="3432332.4"/>
    <n v="345092"/>
    <n v="3314181.818181818"/>
    <s v="카페24고체향수스테이포에버 솔리드퍼퓸 002 (10차 재입고 완료)제품선택=best스테이포에버 2개[28% 할인]201210"/>
  </r>
  <r>
    <x v="205"/>
    <s v="화"/>
    <x v="11"/>
    <s v="카페24"/>
    <s v="스테이포에버 솔리드퍼퓸 002 (10차 재입고 완료)제품선택=커플추천스테이포에버 + 이그나이트 세트"/>
    <n v="8"/>
    <x v="0"/>
    <s v="이그나이트 + 스테이포에버"/>
    <n v="201210"/>
    <m/>
    <n v="552000"/>
    <n v="519708"/>
    <n v="45368"/>
    <n v="501818.1818181818"/>
    <s v="카페24고체향수스테이포에버 솔리드퍼퓸 002 (10차 재입고 완료)제품선택=커플추천스테이포에버 + 이그나이트 세트201210"/>
  </r>
  <r>
    <x v="205"/>
    <s v="화"/>
    <x v="11"/>
    <s v="카페24"/>
    <s v="스테이포에버 솔리드퍼퓸 002 (10차 재입고 완료)쇼핑백=선물용 쇼핑백"/>
    <n v="9"/>
    <x v="2"/>
    <s v="쇼핑백"/>
    <n v="201210"/>
    <m/>
    <n v="18000"/>
    <n v="16947"/>
    <n v="10890"/>
    <n v="16363.63636363636"/>
    <s v="카페24쇼핑백스테이포에버 솔리드퍼퓸 002 (10차 재입고 완료)쇼핑백=선물용 쇼핑백201210"/>
  </r>
  <r>
    <x v="205"/>
    <s v="화"/>
    <x v="11"/>
    <s v="카페24"/>
    <s v="유즈 솔리드퍼퓸 - 30ml (10차 재입고 완료향=이그나이트 001 SOLID PERFUME, 세트 선택=1개"/>
    <n v="1"/>
    <x v="0"/>
    <s v="이그나이트"/>
    <n v="201210"/>
    <m/>
    <n v="38000"/>
    <n v="35777"/>
    <n v="2888"/>
    <n v="34545.45454545454"/>
    <s v="카페24고체향수유즈 솔리드퍼퓸 - 30ml (10차 재입고 완료향=이그나이트 001 SOLID PERFUME, 세트 선택=1개201210"/>
  </r>
  <r>
    <x v="205"/>
    <s v="화"/>
    <x v="11"/>
    <s v="카페24"/>
    <s v="유즈 솔리드퍼퓸 - 30ml (10차 재입고 완료향=스테이포에버 002 SOLID PERFUME, 세트 선택=1개"/>
    <n v="7"/>
    <x v="0"/>
    <s v="스테이포에버"/>
    <n v="201210"/>
    <m/>
    <n v="266000"/>
    <n v="250439"/>
    <n v="19481"/>
    <n v="241818.1818181818"/>
    <s v="카페24고체향수유즈 솔리드퍼퓸 - 30ml (10차 재입고 완료향=스테이포에버 002 SOLID PERFUME, 세트 선택=1개201210"/>
  </r>
  <r>
    <x v="205"/>
    <s v="화"/>
    <x v="11"/>
    <s v="카페24"/>
    <s v="유즈 솔리드퍼퓸 - 30ml (10차 재입고 완료향=스테이포에버 002 SOLID PERFUME, 세트 선택=best"/>
    <n v="3"/>
    <x v="0"/>
    <s v="스테이포에버 2set"/>
    <n v="201210"/>
    <m/>
    <n v="176400"/>
    <n v="166080.6"/>
    <n v="16698"/>
    <n v="160363.6363636364"/>
    <s v="카페24고체향수유즈 솔리드퍼퓸 - 30ml (10차 재입고 완료향=스테이포에버 002 SOLID PERFUME, 세트 선택=best201210"/>
  </r>
  <r>
    <x v="205"/>
    <s v="화"/>
    <x v="11"/>
    <s v="카페24"/>
    <s v="유즈 솔리드퍼퓸 - 30ml (10차 재입고 완료향=커플세트"/>
    <n v="3"/>
    <x v="0"/>
    <s v="이그나이트 + 스테이포에버"/>
    <n v="201210"/>
    <m/>
    <n v="207000"/>
    <n v="194890.5"/>
    <n v="17013"/>
    <n v="188181.8181818182"/>
    <s v="카페24고체향수유즈 솔리드퍼퓸 - 30ml (10차 재입고 완료향=커플세트201210"/>
  </r>
  <r>
    <x v="205"/>
    <s v="화"/>
    <x v="11"/>
    <s v="카페24"/>
    <s v="유즈 솔리드퍼퓸 - 30ml (10차 재입고 완료향=커플세트"/>
    <n v="3"/>
    <x v="0"/>
    <s v="이그나이트 + 스테이포에버"/>
    <n v="201210"/>
    <m/>
    <n v="207000"/>
    <n v="194890.5"/>
    <n v="17013"/>
    <n v="188181.8181818182"/>
    <s v="카페24고체향수유즈 솔리드퍼퓸 - 30ml (10차 재입고 완료향=커플세트201210"/>
  </r>
  <r>
    <x v="205"/>
    <s v="화"/>
    <x v="11"/>
    <s v="카페24"/>
    <s v="유즈 솔리드퍼퓸 - 30ml (10차 재입고 완료 )향=이그나이트 001 SOLID PERFUME, 세트 선택=1개"/>
    <n v="1"/>
    <x v="0"/>
    <s v="이그나이트"/>
    <n v="201210"/>
    <m/>
    <n v="38000"/>
    <n v="35777"/>
    <n v="2888"/>
    <n v="34545.45454545454"/>
    <s v="카페24고체향수유즈 솔리드퍼퓸 - 30ml (10차 재입고 완료 )향=이그나이트 001 SOLID PERFUME, 세트 선택=1개201210"/>
  </r>
  <r>
    <x v="205"/>
    <s v="화"/>
    <x v="11"/>
    <s v="카페24"/>
    <s v="유즈 솔리드퍼퓸 - 30ml (10차 재입고 완료 )향=스테이포에버 002 SOLID PERFUME, 세트 선택=1개"/>
    <n v="5"/>
    <x v="0"/>
    <s v="스테이포에버"/>
    <n v="201210"/>
    <m/>
    <n v="190000"/>
    <n v="178885"/>
    <n v="13915"/>
    <n v="172727.2727272727"/>
    <s v="카페24고체향수유즈 솔리드퍼퓸 - 30ml (10차 재입고 완료 )향=스테이포에버 002 SOLID PERFUME, 세트 선택=1개201210"/>
  </r>
  <r>
    <x v="205"/>
    <s v="화"/>
    <x v="11"/>
    <s v="카페24"/>
    <s v="유즈 솔리드퍼퓸 - 30ml (10차 재입고 완료 )향=스테이포에버 002 SOLID PERFUME, 세트 선택=best 2개 (28% 할인)"/>
    <n v="1"/>
    <x v="0"/>
    <s v="스테이포에버 2set"/>
    <n v="201210"/>
    <m/>
    <n v="58800"/>
    <n v="55360.2"/>
    <n v="5566"/>
    <n v="53454.54545454545"/>
    <s v="카페24고체향수유즈 솔리드퍼퓸 - 30ml (10차 재입고 완료 )향=스테이포에버 002 SOLID PERFUME, 세트 선택=best 2개 (28% 할인)201210"/>
  </r>
  <r>
    <x v="205"/>
    <s v="화"/>
    <x v="11"/>
    <s v="카페24"/>
    <s v="유즈 솔리드퍼퓸 - 30ml (10차 재입고 완료 )향=커플세트(이그나이트 + 스테이포에버), 세트 선택=1 SET"/>
    <n v="1"/>
    <x v="0"/>
    <s v="이그나이트 + 스테이포에버"/>
    <n v="201210"/>
    <m/>
    <n v="69000"/>
    <n v="64963.5"/>
    <n v="5671"/>
    <n v="62727.27272727272"/>
    <s v="카페24고체향수유즈 솔리드퍼퓸 - 30ml (10차 재입고 완료 )향=커플세트(이그나이트 + 스테이포에버), 세트 선택=1 SET201210"/>
  </r>
  <r>
    <x v="205"/>
    <s v="화"/>
    <x v="11"/>
    <s v="카페24"/>
    <s v="유즈 솔리드퍼퓸 - 30ml (스테이포에버 주문 시 12/15 순차배송)향=스테이포에버 002 SOLID PERFUME, 세트 선택=1"/>
    <n v="1"/>
    <x v="0"/>
    <s v="스테이포에버"/>
    <n v="201210"/>
    <m/>
    <n v="38000"/>
    <n v="35777"/>
    <n v="2783"/>
    <n v="34545.45454545454"/>
    <s v="카페24고체향수유즈 솔리드퍼퓸 - 30ml (스테이포에버 주문 시 12/15 순차배송)향=스테이포에버 002 SOLID PERFUME, 세트 선택=1201210"/>
  </r>
  <r>
    <x v="205"/>
    <s v="화"/>
    <x v="11"/>
    <s v="카페24"/>
    <s v="유즈 스테이포에버 솔리드퍼퓸 002 (스테이포에버 주문시 12/15 순차배송)제품선택=스테이포에버 1개"/>
    <n v="5"/>
    <x v="0"/>
    <s v="스테이포에버"/>
    <n v="201210"/>
    <m/>
    <n v="190000"/>
    <n v="178885"/>
    <n v="13915"/>
    <n v="172727.2727272727"/>
    <s v="카페24고체향수유즈 스테이포에버 솔리드퍼퓸 002 (스테이포에버 주문시 12/15 순차배송)제품선택=스테이포에버 1개201210"/>
  </r>
  <r>
    <x v="205"/>
    <s v="화"/>
    <x v="11"/>
    <s v="카페24"/>
    <s v="유즈 스테이포에버 솔리드퍼퓸 002 (스테이포에버 주문시 12/15 순차배송)제품선택=스테이포에버 1개 [17% 할인]"/>
    <n v="1"/>
    <x v="0"/>
    <s v="스테이포에버"/>
    <n v="201210"/>
    <m/>
    <n v="38000"/>
    <n v="35777"/>
    <n v="2783"/>
    <n v="34545.45454545454"/>
    <s v="카페24고체향수유즈 스테이포에버 솔리드퍼퓸 002 (스테이포에버 주문시 12/15 순차배송)제품선택=스테이포에버 1개 [17% 할인]201210"/>
  </r>
  <r>
    <x v="205"/>
    <s v="화"/>
    <x v="11"/>
    <s v="카페24"/>
    <s v="유즈 이그나이트 솔리드퍼퓸 001제품선택=이그나이트 솔리드퍼퓸 - 30ml"/>
    <n v="5"/>
    <x v="0"/>
    <s v="이그나이트"/>
    <n v="201210"/>
    <m/>
    <n v="190000"/>
    <n v="178885"/>
    <n v="14440"/>
    <n v="172727.2727272727"/>
    <s v="카페24고체향수유즈 이그나이트 솔리드퍼퓸 001제품선택=이그나이트 솔리드퍼퓸 - 30ml201210"/>
  </r>
  <r>
    <x v="206"/>
    <s v="수"/>
    <x v="11"/>
    <s v="유즈 CS"/>
    <s v="솔리드퍼퓸 스테이포에버 002 30ml"/>
    <n v="3"/>
    <x v="0"/>
    <s v="스테이포에버"/>
    <n v="201210"/>
    <m/>
    <n v="0"/>
    <n v="0"/>
    <n v="8349"/>
    <n v="0"/>
    <s v="유즈 CS고체향수솔리드퍼퓸 스테이포에버 002 30ml201210"/>
  </r>
  <r>
    <x v="206"/>
    <s v="수"/>
    <x v="11"/>
    <s v="카페24"/>
    <s v="스테이포에버 솔리드퍼퓸 002 (10차 재입고 완료제품선택=스테이포에버 1개"/>
    <n v="94"/>
    <x v="0"/>
    <s v="스테이포에버"/>
    <n v="201210"/>
    <m/>
    <n v="3572000"/>
    <n v="3363038"/>
    <n v="261602"/>
    <n v="3247272.727272727"/>
    <s v="카페24고체향수스테이포에버 솔리드퍼퓸 002 (10차 재입고 완료제품선택=스테이포에버 1개201210"/>
  </r>
  <r>
    <x v="206"/>
    <s v="수"/>
    <x v="11"/>
    <s v="카페24"/>
    <s v="스테이포에버 솔리드퍼퓸 002 (10차 재입고 완료제품선택=best"/>
    <n v="44"/>
    <x v="0"/>
    <s v="스테이포에버 2set"/>
    <n v="201210"/>
    <m/>
    <n v="2587200"/>
    <n v="2435848.8"/>
    <n v="244904"/>
    <n v="2352000"/>
    <s v="카페24고체향수스테이포에버 솔리드퍼퓸 002 (10차 재입고 완료제품선택=best201210"/>
  </r>
  <r>
    <x v="206"/>
    <s v="수"/>
    <x v="11"/>
    <s v="카페24"/>
    <s v="스테이포에버 솔리드퍼퓸 002 (10차 재입고 완료제품선택=커플추천"/>
    <n v="9"/>
    <x v="0"/>
    <s v="이그나이트 + 스테이포에버"/>
    <n v="201210"/>
    <m/>
    <n v="621000"/>
    <n v="584671.5"/>
    <n v="51039"/>
    <n v="564545.4545454545"/>
    <s v="카페24고체향수스테이포에버 솔리드퍼퓸 002 (10차 재입고 완료제품선택=커플추천201210"/>
  </r>
  <r>
    <x v="206"/>
    <s v="수"/>
    <x v="11"/>
    <s v="카페24"/>
    <s v="스테이포에버 솔리드퍼퓸 002 (10차 재입고 완료쇼핑백=선물용 쇼핑백"/>
    <n v="2"/>
    <x v="2"/>
    <s v="쇼핑백"/>
    <n v="201210"/>
    <m/>
    <n v="4000"/>
    <n v="3766"/>
    <n v="2420"/>
    <n v="3636.363636363636"/>
    <s v="카페24쇼핑백스테이포에버 솔리드퍼퓸 002 (10차 재입고 완료쇼핑백=선물용 쇼핑백201210"/>
  </r>
  <r>
    <x v="206"/>
    <s v="수"/>
    <x v="11"/>
    <s v="카페24"/>
    <s v="스테이포에버 솔리드퍼퓸 002 (10차 재입고 완료)제품선택=스테이포에버 1개"/>
    <n v="158"/>
    <x v="0"/>
    <s v="스테이포에버"/>
    <n v="201210"/>
    <m/>
    <n v="6004000"/>
    <n v="5652766"/>
    <n v="439714"/>
    <n v="5458181.818181817"/>
    <s v="카페24고체향수스테이포에버 솔리드퍼퓸 002 (10차 재입고 완료)제품선택=스테이포에버 1개201210"/>
  </r>
  <r>
    <x v="206"/>
    <s v="수"/>
    <x v="11"/>
    <s v="카페24"/>
    <s v="스테이포에버 솔리드퍼퓸 002 (10차 재입고 완료)제품선택=best스테이포에버 2개[28% 할인]"/>
    <n v="60"/>
    <x v="0"/>
    <s v="스테이포에버 2set"/>
    <n v="201210"/>
    <m/>
    <n v="3528000"/>
    <n v="3321612"/>
    <n v="333960"/>
    <n v="3207272.727272727"/>
    <s v="카페24고체향수스테이포에버 솔리드퍼퓸 002 (10차 재입고 완료)제품선택=best스테이포에버 2개[28% 할인]201210"/>
  </r>
  <r>
    <x v="206"/>
    <s v="수"/>
    <x v="11"/>
    <s v="카페24"/>
    <s v="스테이포에버 솔리드퍼퓸 002 (10차 재입고 완료)제품선택=커플추천스테이포에버 + 이그나이트 세트"/>
    <n v="9"/>
    <x v="0"/>
    <s v="이그나이트 + 스테이포에버"/>
    <n v="201210"/>
    <m/>
    <n v="621000"/>
    <n v="584671.5"/>
    <n v="51039"/>
    <n v="564545.4545454545"/>
    <s v="카페24고체향수스테이포에버 솔리드퍼퓸 002 (10차 재입고 완료)제품선택=커플추천스테이포에버 + 이그나이트 세트201210"/>
  </r>
  <r>
    <x v="206"/>
    <s v="수"/>
    <x v="11"/>
    <s v="카페24"/>
    <s v="스테이포에버 솔리드퍼퓸 002 (10차 재입고 완료)쇼핑백=선물용 쇼핑백"/>
    <n v="5"/>
    <x v="2"/>
    <s v="쇼핑백"/>
    <n v="201210"/>
    <m/>
    <n v="10000"/>
    <n v="9415"/>
    <n v="6050"/>
    <n v="9090.90909090909"/>
    <s v="카페24쇼핑백스테이포에버 솔리드퍼퓸 002 (10차 재입고 완료)쇼핑백=선물용 쇼핑백201210"/>
  </r>
  <r>
    <x v="206"/>
    <s v="수"/>
    <x v="11"/>
    <s v="카페24"/>
    <s v="유즈 솔리드퍼퓸 - 30ml (10차 재입고 완료향=스테이포에버 002 SOLID PERFUME, 세트 선택=1개"/>
    <n v="5"/>
    <x v="0"/>
    <s v="스테이포에버"/>
    <n v="201210"/>
    <m/>
    <n v="190000"/>
    <n v="178885"/>
    <n v="13915"/>
    <n v="172727.2727272727"/>
    <s v="카페24고체향수유즈 솔리드퍼퓸 - 30ml (10차 재입고 완료향=스테이포에버 002 SOLID PERFUME, 세트 선택=1개201210"/>
  </r>
  <r>
    <x v="206"/>
    <s v="수"/>
    <x v="11"/>
    <s v="카페24"/>
    <s v="유즈 솔리드퍼퓸 - 30ml (10차 재입고 완료향=스테이포에버 002 SOLID PERFUME, 세트 선택=best"/>
    <n v="6"/>
    <x v="0"/>
    <s v="스테이포에버 2set"/>
    <n v="201210"/>
    <m/>
    <n v="352800"/>
    <n v="332161.2"/>
    <n v="33396"/>
    <n v="320727.2727272727"/>
    <s v="카페24고체향수유즈 솔리드퍼퓸 - 30ml (10차 재입고 완료향=스테이포에버 002 SOLID PERFUME, 세트 선택=best201210"/>
  </r>
  <r>
    <x v="206"/>
    <s v="수"/>
    <x v="11"/>
    <s v="카페24"/>
    <s v="유즈 솔리드퍼퓸 - 30ml (10차 재입고 완료향=커플세트"/>
    <n v="7"/>
    <x v="0"/>
    <s v="이그나이트 + 스테이포에버"/>
    <n v="201210"/>
    <m/>
    <n v="483000"/>
    <n v="454744.5"/>
    <n v="39697"/>
    <n v="439090.9090909091"/>
    <s v="카페24고체향수유즈 솔리드퍼퓸 - 30ml (10차 재입고 완료향=커플세트201210"/>
  </r>
  <r>
    <x v="206"/>
    <s v="수"/>
    <x v="11"/>
    <s v="카페24"/>
    <s v="유즈 솔리드퍼퓸 - 30ml (10차 재입고 완료향=커플세트"/>
    <n v="1"/>
    <x v="0"/>
    <s v="이그나이트 + 스테이포에버"/>
    <n v="201210"/>
    <m/>
    <n v="69000"/>
    <n v="64963.5"/>
    <n v="5671"/>
    <n v="62727.27272727272"/>
    <s v="카페24고체향수유즈 솔리드퍼퓸 - 30ml (10차 재입고 완료향=커플세트201210"/>
  </r>
  <r>
    <x v="206"/>
    <s v="수"/>
    <x v="11"/>
    <s v="카페24"/>
    <s v="유즈 솔리드퍼퓸 - 30ml (10차 재입고 완료 )향=이그나이트 001 SOLID PERFUME, 세트 선택=1개"/>
    <n v="2"/>
    <x v="0"/>
    <s v="이그나이트"/>
    <n v="201210"/>
    <m/>
    <n v="76000"/>
    <n v="71554"/>
    <n v="5776"/>
    <n v="69090.90909090909"/>
    <s v="카페24고체향수유즈 솔리드퍼퓸 - 30ml (10차 재입고 완료 )향=이그나이트 001 SOLID PERFUME, 세트 선택=1개201210"/>
  </r>
  <r>
    <x v="206"/>
    <s v="수"/>
    <x v="11"/>
    <s v="카페24"/>
    <s v="유즈 솔리드퍼퓸 - 30ml (10차 재입고 완료 )향=스테이포에버 002 SOLID PERFUME, 세트 선택=1개"/>
    <n v="6"/>
    <x v="0"/>
    <s v="스테이포에버"/>
    <n v="201210"/>
    <m/>
    <n v="228000"/>
    <n v="214662"/>
    <n v="16698"/>
    <n v="207272.7272727273"/>
    <s v="카페24고체향수유즈 솔리드퍼퓸 - 30ml (10차 재입고 완료 )향=스테이포에버 002 SOLID PERFUME, 세트 선택=1개201210"/>
  </r>
  <r>
    <x v="206"/>
    <s v="수"/>
    <x v="11"/>
    <s v="카페24"/>
    <s v="유즈 솔리드퍼퓸 - 30ml (10차 재입고 완료 )향=스테이포에버 002 SOLID PERFUME, 세트 선택=best 2개 (28% 할인)"/>
    <n v="1"/>
    <x v="0"/>
    <s v="스테이포에버 2set"/>
    <n v="201210"/>
    <m/>
    <n v="58800"/>
    <n v="55360.2"/>
    <n v="5566"/>
    <n v="53454.54545454545"/>
    <s v="카페24고체향수유즈 솔리드퍼퓸 - 30ml (10차 재입고 완료 )향=스테이포에버 002 SOLID PERFUME, 세트 선택=best 2개 (28% 할인)201210"/>
  </r>
  <r>
    <x v="206"/>
    <s v="수"/>
    <x v="11"/>
    <s v="카페24"/>
    <s v="유즈 솔리드퍼퓸 - 30ml (10차 재입고 완료 )향=커플세트(이그나이트 + 스테이포에버), 세트 선택=1 SET"/>
    <n v="3"/>
    <x v="0"/>
    <s v="이그나이트 + 스테이포에버"/>
    <n v="201210"/>
    <m/>
    <n v="207000"/>
    <n v="194890.5"/>
    <n v="17013"/>
    <n v="188181.8181818182"/>
    <s v="카페24고체향수유즈 솔리드퍼퓸 - 30ml (10차 재입고 완료 )향=커플세트(이그나이트 + 스테이포에버), 세트 선택=1 SET201210"/>
  </r>
  <r>
    <x v="206"/>
    <s v="수"/>
    <x v="11"/>
    <s v="카페24"/>
    <s v="유즈 스테이포에버 솔리드퍼퓸 002 (스테이포에버 주문시 12/15 순차배송)제품선택=스테이포에버 1개"/>
    <n v="3"/>
    <x v="0"/>
    <s v="스테이포에버"/>
    <n v="201210"/>
    <m/>
    <n v="114000"/>
    <n v="107331"/>
    <n v="8349"/>
    <n v="103636.3636363636"/>
    <s v="카페24고체향수유즈 스테이포에버 솔리드퍼퓸 002 (스테이포에버 주문시 12/15 순차배송)제품선택=스테이포에버 1개201210"/>
  </r>
  <r>
    <x v="206"/>
    <s v="수"/>
    <x v="11"/>
    <s v="카페24"/>
    <s v="유즈 스테이포에버 솔리드퍼퓸 002 (스테이포에버 주문시 12/15 순차배송)제품선택=best"/>
    <n v="1"/>
    <x v="0"/>
    <s v="스테이포에버 2set"/>
    <n v="201210"/>
    <m/>
    <n v="58800"/>
    <n v="55360.2"/>
    <n v="5566"/>
    <n v="53454.54545454545"/>
    <s v="카페24고체향수유즈 스테이포에버 솔리드퍼퓸 002 (스테이포에버 주문시 12/15 순차배송)제품선택=best201210"/>
  </r>
  <r>
    <x v="206"/>
    <s v="수"/>
    <x v="11"/>
    <s v="카페24"/>
    <s v="유즈 이그나이트 솔리드퍼퓸 001제품선택=이그나이트 솔리드퍼퓸 - 30ml"/>
    <n v="1"/>
    <x v="0"/>
    <s v="이그나이트"/>
    <n v="201210"/>
    <m/>
    <n v="38000"/>
    <n v="35777"/>
    <n v="2888"/>
    <n v="34545.45454545454"/>
    <s v="카페24고체향수유즈 이그나이트 솔리드퍼퓸 001제품선택=이그나이트 솔리드퍼퓸 - 30ml201210"/>
  </r>
  <r>
    <x v="206"/>
    <s v="수"/>
    <x v="11"/>
    <s v="카페24"/>
    <s v="유즈 이그나이트 솔리드퍼퓸 001제품선택=이그나이트 2개 세트"/>
    <n v="1"/>
    <x v="0"/>
    <s v="이그나이트 2set"/>
    <n v="201210"/>
    <m/>
    <n v="58800"/>
    <n v="55360.2"/>
    <n v="5776"/>
    <n v="53454.54545454545"/>
    <s v="카페24고체향수유즈 이그나이트 솔리드퍼퓸 001제품선택=이그나이트 2개 세트201210"/>
  </r>
  <r>
    <x v="207"/>
    <s v="목"/>
    <x v="11"/>
    <s v="유즈 CS"/>
    <s v="솔리드퍼퓸 스테이포에버 002 30ml"/>
    <n v="8"/>
    <x v="0"/>
    <s v="스테이포에버"/>
    <n v="201210"/>
    <m/>
    <n v="0"/>
    <n v="0"/>
    <n v="22264"/>
    <n v="0"/>
    <s v="유즈 CS고체향수솔리드퍼퓸 스테이포에버 002 30ml201210"/>
  </r>
  <r>
    <x v="207"/>
    <s v="목"/>
    <x v="11"/>
    <s v="유즈 CS"/>
    <s v="유즈 솔리드퍼퓸 - 30ml (10차 재입고 완료향=커플세트"/>
    <n v="1"/>
    <x v="0"/>
    <s v="이그나이트 + 스테이포에버"/>
    <n v="201210"/>
    <m/>
    <n v="0"/>
    <n v="0"/>
    <n v="5671"/>
    <n v="0"/>
    <s v="유즈 CS고체향수유즈 솔리드퍼퓸 - 30ml (10차 재입고 완료향=커플세트201210"/>
  </r>
  <r>
    <x v="207"/>
    <s v="목"/>
    <x v="11"/>
    <s v="카페24"/>
    <s v="유즈 솔리드퍼퓸 - 30ml (10차 재입고 완료향=이그나이트 001 SOLID PERFUME, 세트 선택=best"/>
    <n v="1"/>
    <x v="0"/>
    <s v="이그나이트 2set"/>
    <n v="201210"/>
    <m/>
    <n v="58800"/>
    <n v="55360.2"/>
    <n v="5776"/>
    <n v="53454.54545454545"/>
    <s v="카페24고체향수유즈 솔리드퍼퓸 - 30ml (10차 재입고 완료향=이그나이트 001 SOLID PERFUME, 세트 선택=best201210"/>
  </r>
  <r>
    <x v="207"/>
    <s v="목"/>
    <x v="11"/>
    <s v="카페24"/>
    <s v="스테이포에버 솔리드퍼퓸 002 (10차 재입고 완료제품선택=스테이포에버 1개"/>
    <n v="101"/>
    <x v="0"/>
    <s v="스테이포에버"/>
    <n v="201210"/>
    <m/>
    <n v="3838000"/>
    <n v="3613477"/>
    <n v="281083"/>
    <n v="3489090.909090909"/>
    <s v="카페24고체향수스테이포에버 솔리드퍼퓸 002 (10차 재입고 완료제품선택=스테이포에버 1개201210"/>
  </r>
  <r>
    <x v="207"/>
    <s v="목"/>
    <x v="11"/>
    <s v="카페24"/>
    <s v="스테이포에버 솔리드퍼퓸 002 (10차 재입고 완료제품선택=best"/>
    <n v="53"/>
    <x v="0"/>
    <s v="스테이포에버 2set"/>
    <n v="201210"/>
    <m/>
    <n v="3116400"/>
    <n v="2934090.6"/>
    <n v="294998"/>
    <n v="2833090.909090909"/>
    <s v="카페24고체향수스테이포에버 솔리드퍼퓸 002 (10차 재입고 완료제품선택=best201210"/>
  </r>
  <r>
    <x v="207"/>
    <s v="목"/>
    <x v="11"/>
    <s v="카페24"/>
    <s v="스테이포에버 솔리드퍼퓸 002 (10차 재입고 완료제품선택=커플추천"/>
    <n v="6"/>
    <x v="0"/>
    <s v="이그나이트 + 스테이포에버"/>
    <n v="201210"/>
    <m/>
    <n v="414000"/>
    <n v="389781"/>
    <n v="34026"/>
    <n v="376363.6363636364"/>
    <s v="카페24고체향수스테이포에버 솔리드퍼퓸 002 (10차 재입고 완료제품선택=커플추천201210"/>
  </r>
  <r>
    <x v="207"/>
    <s v="목"/>
    <x v="11"/>
    <s v="카페24"/>
    <s v="스테이포에버 솔리드퍼퓸 002 (10차 재입고 완료쇼핑백=선물용 쇼핑백"/>
    <n v="4"/>
    <x v="2"/>
    <s v="쇼핑백"/>
    <n v="201210"/>
    <m/>
    <n v="8000"/>
    <n v="7532"/>
    <n v="4840"/>
    <n v="7272.727272727272"/>
    <s v="카페24쇼핑백스테이포에버 솔리드퍼퓸 002 (10차 재입고 완료쇼핑백=선물용 쇼핑백201210"/>
  </r>
  <r>
    <x v="207"/>
    <s v="목"/>
    <x v="11"/>
    <s v="카페24"/>
    <s v="스테이포에버 솔리드퍼퓸 002 (10차 재입고 완료)제품선택=스테이포에버 1개"/>
    <n v="169"/>
    <x v="0"/>
    <s v="스테이포에버"/>
    <n v="201210"/>
    <m/>
    <n v="6422000"/>
    <n v="6046313"/>
    <n v="470327"/>
    <n v="5838181.818181817"/>
    <s v="카페24고체향수스테이포에버 솔리드퍼퓸 002 (10차 재입고 완료)제품선택=스테이포에버 1개201210"/>
  </r>
  <r>
    <x v="207"/>
    <s v="목"/>
    <x v="11"/>
    <s v="카페24"/>
    <s v="스테이포에버 솔리드퍼퓸 002 (10차 재입고 완료)제품선택=best스테이포에버 2개[28% 할인]"/>
    <n v="67"/>
    <x v="0"/>
    <s v="스테이포에버 2set"/>
    <n v="201210"/>
    <m/>
    <n v="3939600"/>
    <n v="3709133.4"/>
    <n v="372922"/>
    <n v="3581454.545454545"/>
    <s v="카페24고체향수스테이포에버 솔리드퍼퓸 002 (10차 재입고 완료)제품선택=best스테이포에버 2개[28% 할인]201210"/>
  </r>
  <r>
    <x v="207"/>
    <s v="목"/>
    <x v="11"/>
    <s v="카페24"/>
    <s v="스테이포에버 솔리드퍼퓸 002 (10차 재입고 완료)제품선택=커플추천스테이포에버 + 이그나이트 세트"/>
    <n v="12"/>
    <x v="0"/>
    <s v="이그나이트 + 스테이포에버"/>
    <n v="201210"/>
    <m/>
    <n v="828000"/>
    <n v="779562"/>
    <n v="68052"/>
    <n v="752727.2727272727"/>
    <s v="카페24고체향수스테이포에버 솔리드퍼퓸 002 (10차 재입고 완료)제품선택=커플추천스테이포에버 + 이그나이트 세트201210"/>
  </r>
  <r>
    <x v="207"/>
    <s v="목"/>
    <x v="11"/>
    <s v="카페24"/>
    <s v="스테이포에버 솔리드퍼퓸 002 (10차 재입고 완료)쇼핑백=선물용 쇼핑백"/>
    <n v="7"/>
    <x v="2"/>
    <s v="쇼핑백"/>
    <n v="201210"/>
    <m/>
    <n v="14000"/>
    <n v="13181"/>
    <n v="8470"/>
    <n v="12727.27272727273"/>
    <s v="카페24쇼핑백스테이포에버 솔리드퍼퓸 002 (10차 재입고 완료)쇼핑백=선물용 쇼핑백201210"/>
  </r>
  <r>
    <x v="207"/>
    <s v="목"/>
    <x v="11"/>
    <s v="카페24"/>
    <s v="유즈 솔리드퍼퓸 - 30ml (10차 재입고 완료향=스테이포에버 002 SOLID PERFUME, 세트 선택=1개"/>
    <n v="5"/>
    <x v="0"/>
    <s v="스테이포에버"/>
    <n v="201210"/>
    <m/>
    <n v="190000"/>
    <n v="178885"/>
    <n v="13915"/>
    <n v="172727.2727272727"/>
    <s v="카페24고체향수유즈 솔리드퍼퓸 - 30ml (10차 재입고 완료향=스테이포에버 002 SOLID PERFUME, 세트 선택=1개201210"/>
  </r>
  <r>
    <x v="207"/>
    <s v="목"/>
    <x v="11"/>
    <s v="카페24"/>
    <s v="유즈 솔리드퍼퓸 - 30ml (10차 재입고 완료향=스테이포에버 002 SOLID PERFUME, 세트 선택=best"/>
    <n v="3"/>
    <x v="0"/>
    <s v="스테이포에버 2set"/>
    <n v="201210"/>
    <m/>
    <n v="176400"/>
    <n v="166080.6"/>
    <n v="16698"/>
    <n v="160363.6363636364"/>
    <s v="카페24고체향수유즈 솔리드퍼퓸 - 30ml (10차 재입고 완료향=스테이포에버 002 SOLID PERFUME, 세트 선택=best201210"/>
  </r>
  <r>
    <x v="207"/>
    <s v="목"/>
    <x v="11"/>
    <s v="카페24"/>
    <s v="유즈 솔리드퍼퓸 - 30ml (10차 재입고 완료향=커플세트"/>
    <n v="8"/>
    <x v="0"/>
    <s v="이그나이트 + 스테이포에버"/>
    <n v="201210"/>
    <m/>
    <n v="552000"/>
    <n v="519708"/>
    <n v="45368"/>
    <n v="501818.1818181818"/>
    <s v="카페24고체향수유즈 솔리드퍼퓸 - 30ml (10차 재입고 완료향=커플세트201210"/>
  </r>
  <r>
    <x v="207"/>
    <s v="목"/>
    <x v="11"/>
    <s v="카페24"/>
    <s v="유즈 솔리드퍼퓸 - 30ml (10차 재입고 완료향=커플세트"/>
    <n v="1"/>
    <x v="0"/>
    <s v="이그나이트 + 스테이포에버"/>
    <n v="201210"/>
    <m/>
    <n v="69000"/>
    <n v="64963.5"/>
    <n v="5671"/>
    <n v="62727.27272727272"/>
    <s v="카페24고체향수유즈 솔리드퍼퓸 - 30ml (10차 재입고 완료향=커플세트201210"/>
  </r>
  <r>
    <x v="207"/>
    <s v="목"/>
    <x v="11"/>
    <s v="카페24"/>
    <s v="유즈 솔리드퍼퓸 - 30ml (10차 재입고 완료 )향=스테이포에버 002 SOLID PERFUME, 세트 선택=1개"/>
    <n v="7"/>
    <x v="0"/>
    <s v="스테이포에버"/>
    <n v="201210"/>
    <m/>
    <n v="266000"/>
    <n v="250439"/>
    <n v="19481"/>
    <n v="241818.1818181818"/>
    <s v="카페24고체향수유즈 솔리드퍼퓸 - 30ml (10차 재입고 완료 )향=스테이포에버 002 SOLID PERFUME, 세트 선택=1개201210"/>
  </r>
  <r>
    <x v="207"/>
    <s v="목"/>
    <x v="11"/>
    <s v="카페24"/>
    <s v="유즈 솔리드퍼퓸 - 30ml (10차 재입고 완료 )향=커플세트(이그나이트 + 스테이포에버), 세트 선택=1 SET"/>
    <n v="3"/>
    <x v="0"/>
    <s v="이그나이트 + 스테이포에버"/>
    <n v="201210"/>
    <m/>
    <n v="207000"/>
    <n v="194890.5"/>
    <n v="17013"/>
    <n v="188181.8181818182"/>
    <s v="카페24고체향수유즈 솔리드퍼퓸 - 30ml (10차 재입고 완료 )향=커플세트(이그나이트 + 스테이포에버), 세트 선택=1 SET201210"/>
  </r>
  <r>
    <x v="207"/>
    <s v="목"/>
    <x v="11"/>
    <s v="카페24"/>
    <s v="유즈 이그나이트 솔리드퍼퓸 001제품선택=이그나이트 솔리드퍼퓸 - 30ml"/>
    <n v="5"/>
    <x v="0"/>
    <s v="이그나이트"/>
    <n v="201210"/>
    <m/>
    <n v="190000"/>
    <n v="178885"/>
    <n v="14440"/>
    <n v="172727.2727272727"/>
    <s v="카페24고체향수유즈 이그나이트 솔리드퍼퓸 001제품선택=이그나이트 솔리드퍼퓸 - 30ml201210"/>
  </r>
  <r>
    <x v="207"/>
    <s v="목"/>
    <x v="11"/>
    <s v="카페24"/>
    <s v="유즈 이그나이트 솔리드퍼퓸 001제품선택=이그나이트 2개 세트"/>
    <n v="3"/>
    <x v="0"/>
    <s v="이그나이트 2set"/>
    <n v="201210"/>
    <m/>
    <n v="176400"/>
    <n v="166080.6"/>
    <n v="17328"/>
    <n v="160363.6363636364"/>
    <s v="카페24고체향수유즈 이그나이트 솔리드퍼퓸 001제품선택=이그나이트 2개 세트201210"/>
  </r>
  <r>
    <x v="208"/>
    <s v="금"/>
    <x v="11"/>
    <s v="카페24"/>
    <s v="스테이포에버 솔리드퍼퓸 002 (10차 재입고 완료제품선택=스테이포에버 1개"/>
    <n v="27"/>
    <x v="0"/>
    <s v="스테이포에버"/>
    <n v="201210"/>
    <m/>
    <n v="1026000"/>
    <n v="965979"/>
    <n v="75141"/>
    <n v="932727.2727272727"/>
    <s v="카페24고체향수스테이포에버 솔리드퍼퓸 002 (10차 재입고 완료제품선택=스테이포에버 1개201210"/>
  </r>
  <r>
    <x v="208"/>
    <s v="금"/>
    <x v="11"/>
    <s v="카페24"/>
    <s v="스테이포에버 솔리드퍼퓸 002 (10차 재입고 완료제품선택=best"/>
    <n v="13"/>
    <x v="0"/>
    <s v="스테이포에버 2set"/>
    <n v="201210"/>
    <m/>
    <n v="764400"/>
    <n v="719682.6"/>
    <n v="72358"/>
    <n v="694909.0909090908"/>
    <s v="카페24고체향수스테이포에버 솔리드퍼퓸 002 (10차 재입고 완료제품선택=best201210"/>
  </r>
  <r>
    <x v="208"/>
    <s v="금"/>
    <x v="11"/>
    <s v="카페24"/>
    <s v="스테이포에버 솔리드퍼퓸 002 (10차 재입고 완료제품선택=커플추천"/>
    <n v="1"/>
    <x v="0"/>
    <s v="이그나이트 + 스테이포에버"/>
    <n v="201210"/>
    <m/>
    <n v="69000"/>
    <n v="64963.5"/>
    <n v="5671"/>
    <n v="62727.27272727272"/>
    <s v="카페24고체향수스테이포에버 솔리드퍼퓸 002 (10차 재입고 완료제품선택=커플추천201210"/>
  </r>
  <r>
    <x v="208"/>
    <s v="금"/>
    <x v="11"/>
    <s v="카페24"/>
    <s v="스테이포에버 솔리드퍼퓸 002 (10차 재입고 완료쇼핑백=선물용 쇼핑백"/>
    <n v="2"/>
    <x v="2"/>
    <s v="쇼핑백"/>
    <n v="201210"/>
    <m/>
    <n v="4000"/>
    <n v="3766"/>
    <n v="2420"/>
    <n v="3636.363636363636"/>
    <s v="카페24쇼핑백스테이포에버 솔리드퍼퓸 002 (10차 재입고 완료쇼핑백=선물용 쇼핑백201210"/>
  </r>
  <r>
    <x v="208"/>
    <s v="금"/>
    <x v="11"/>
    <s v="카페24"/>
    <s v="스테이포에버 솔리드퍼퓸 002 (10차 재입고 완료)제품선택=스테이포에버 1개"/>
    <n v="44"/>
    <x v="0"/>
    <s v="스테이포에버"/>
    <n v="201210"/>
    <m/>
    <n v="1672000"/>
    <n v="1574188"/>
    <n v="122452"/>
    <n v="1520000"/>
    <s v="카페24고체향수스테이포에버 솔리드퍼퓸 002 (10차 재입고 완료)제품선택=스테이포에버 1개201210"/>
  </r>
  <r>
    <x v="208"/>
    <s v="금"/>
    <x v="11"/>
    <s v="카페24"/>
    <s v="스테이포에버 솔리드퍼퓸 002 (10차 재입고 완료)제품선택=best스테이포에버 2개[28% 할인]"/>
    <n v="19"/>
    <x v="0"/>
    <s v="스테이포에버 2set"/>
    <n v="201210"/>
    <m/>
    <n v="1117200"/>
    <n v="1051843.8"/>
    <n v="105754"/>
    <n v="1015636.363636364"/>
    <s v="카페24고체향수스테이포에버 솔리드퍼퓸 002 (10차 재입고 완료)제품선택=best스테이포에버 2개[28% 할인]201210"/>
  </r>
  <r>
    <x v="208"/>
    <s v="금"/>
    <x v="11"/>
    <s v="카페24"/>
    <s v="스테이포에버 솔리드퍼퓸 002 (10차 재입고 완료)제품선택=커플추천스테이포에버 + 이그나이트 세트"/>
    <n v="1"/>
    <x v="0"/>
    <s v="이그나이트 + 스테이포에버"/>
    <n v="201210"/>
    <m/>
    <n v="69000"/>
    <n v="64963.5"/>
    <n v="5671"/>
    <n v="62727.27272727272"/>
    <s v="카페24고체향수스테이포에버 솔리드퍼퓸 002 (10차 재입고 완료)제품선택=커플추천스테이포에버 + 이그나이트 세트201210"/>
  </r>
  <r>
    <x v="208"/>
    <s v="금"/>
    <x v="11"/>
    <s v="카페24"/>
    <s v="스테이포에버 솔리드퍼퓸 002 (10차 재입고 완료)쇼핑백=선물용 쇼핑백"/>
    <n v="3"/>
    <x v="2"/>
    <s v="쇼핑백"/>
    <n v="201210"/>
    <m/>
    <n v="6000"/>
    <n v="5649"/>
    <n v="3630"/>
    <n v="5454.545454545454"/>
    <s v="카페24쇼핑백스테이포에버 솔리드퍼퓸 002 (10차 재입고 완료)쇼핑백=선물용 쇼핑백201210"/>
  </r>
  <r>
    <x v="208"/>
    <s v="금"/>
    <x v="11"/>
    <s v="카페24"/>
    <s v="유즈 솔리드퍼퓸 - 30ml (10차 재입고 완료향=스테이포에버 002 SOLID PERFUME, 세트 선택=1개"/>
    <n v="3"/>
    <x v="0"/>
    <s v="스테이포에버"/>
    <n v="201210"/>
    <m/>
    <n v="114000"/>
    <n v="107331"/>
    <n v="8349"/>
    <n v="103636.3636363636"/>
    <s v="카페24고체향수유즈 솔리드퍼퓸 - 30ml (10차 재입고 완료향=스테이포에버 002 SOLID PERFUME, 세트 선택=1개201210"/>
  </r>
  <r>
    <x v="208"/>
    <s v="금"/>
    <x v="11"/>
    <s v="카페24"/>
    <s v="유즈 솔리드퍼퓸 - 30ml (10차 재입고 완료향=스테이포에버 002 SOLID PERFUME, 세트 선택=best"/>
    <n v="3"/>
    <x v="0"/>
    <s v="스테이포에버 2set"/>
    <n v="201210"/>
    <m/>
    <n v="176400"/>
    <n v="166080.6"/>
    <n v="16698"/>
    <n v="160363.6363636364"/>
    <s v="카페24고체향수유즈 솔리드퍼퓸 - 30ml (10차 재입고 완료향=스테이포에버 002 SOLID PERFUME, 세트 선택=best201210"/>
  </r>
  <r>
    <x v="208"/>
    <s v="금"/>
    <x v="11"/>
    <s v="카페24"/>
    <s v="유즈 솔리드퍼퓸 - 30ml (10차 재입고 완료향=커플세트"/>
    <n v="6"/>
    <x v="0"/>
    <s v="이그나이트 + 스테이포에버"/>
    <n v="201210"/>
    <m/>
    <n v="414000"/>
    <n v="389781"/>
    <n v="34026"/>
    <n v="376363.6363636364"/>
    <s v="카페24고체향수유즈 솔리드퍼퓸 - 30ml (10차 재입고 완료향=커플세트201210"/>
  </r>
  <r>
    <x v="208"/>
    <s v="금"/>
    <x v="11"/>
    <s v="카페24"/>
    <s v="유즈 솔리드퍼퓸 - 30ml (10차 재입고 완료향=커플세트"/>
    <n v="1"/>
    <x v="0"/>
    <s v="이그나이트 + 스테이포에버"/>
    <n v="201210"/>
    <m/>
    <n v="69000"/>
    <n v="64963.5"/>
    <n v="5671"/>
    <n v="62727.27272727272"/>
    <s v="카페24고체향수유즈 솔리드퍼퓸 - 30ml (10차 재입고 완료향=커플세트201210"/>
  </r>
  <r>
    <x v="208"/>
    <s v="금"/>
    <x v="11"/>
    <s v="카페24"/>
    <s v="유즈 솔리드퍼퓸 - 30ml (10차 재입고 완료 )향=스테이포에버 002 SOLID PERFUME, 세트 선택=1개"/>
    <n v="8"/>
    <x v="0"/>
    <s v="스테이포에버"/>
    <n v="201210"/>
    <m/>
    <n v="304000"/>
    <n v="286216"/>
    <n v="22264"/>
    <n v="276363.6363636364"/>
    <s v="카페24고체향수유즈 솔리드퍼퓸 - 30ml (10차 재입고 완료 )향=스테이포에버 002 SOLID PERFUME, 세트 선택=1개201210"/>
  </r>
  <r>
    <x v="208"/>
    <s v="금"/>
    <x v="11"/>
    <s v="카페24"/>
    <s v="유즈 솔리드퍼퓸 - 30ml (10차 재입고 완료 )향=스테이포에버 002 SOLID PERFUME, 세트 선택=best 2개 (28% 할인)"/>
    <n v="2"/>
    <x v="0"/>
    <s v="스테이포에버 2set"/>
    <n v="201210"/>
    <m/>
    <n v="117600"/>
    <n v="110720.4"/>
    <n v="11132"/>
    <n v="106909.0909090909"/>
    <s v="카페24고체향수유즈 솔리드퍼퓸 - 30ml (10차 재입고 완료 )향=스테이포에버 002 SOLID PERFUME, 세트 선택=best 2개 (28% 할인)201210"/>
  </r>
  <r>
    <x v="208"/>
    <s v="금"/>
    <x v="11"/>
    <s v="카페24"/>
    <s v="유즈 솔리드퍼퓸 - 30ml (10차 재입고 완료 )향=커플세트(이그나이트 + 스테이포에버), 세트 선택=1 SET"/>
    <n v="1"/>
    <x v="0"/>
    <s v="이그나이트 + 스테이포에버"/>
    <n v="201210"/>
    <m/>
    <n v="69000"/>
    <n v="64963.5"/>
    <n v="5671"/>
    <n v="62727.27272727272"/>
    <s v="카페24고체향수유즈 솔리드퍼퓸 - 30ml (10차 재입고 완료 )향=커플세트(이그나이트 + 스테이포에버), 세트 선택=1 SET201210"/>
  </r>
  <r>
    <x v="208"/>
    <s v="금"/>
    <x v="11"/>
    <s v="카페24"/>
    <s v="유즈 스테이포에버 솔리드퍼퓸 002 (10차 재입고 완료제품선택=스테이포에버 1개"/>
    <n v="58"/>
    <x v="0"/>
    <s v="스테이포에버"/>
    <n v="201210"/>
    <m/>
    <n v="2204000"/>
    <n v="2075066"/>
    <n v="161414"/>
    <n v="2003636.363636364"/>
    <s v="카페24고체향수유즈 스테이포에버 솔리드퍼퓸 002 (10차 재입고 완료제품선택=스테이포에버 1개201210"/>
  </r>
  <r>
    <x v="208"/>
    <s v="금"/>
    <x v="11"/>
    <s v="카페24"/>
    <s v="유즈 스테이포에버 솔리드퍼퓸 002 (10차 재입고 완료제품선택=best"/>
    <n v="42"/>
    <x v="0"/>
    <s v="스테이포에버 2set"/>
    <n v="201210"/>
    <m/>
    <n v="2469600"/>
    <n v="2325128.4"/>
    <n v="233772"/>
    <n v="2245090.909090909"/>
    <s v="카페24고체향수유즈 스테이포에버 솔리드퍼퓸 002 (10차 재입고 완료제품선택=best201210"/>
  </r>
  <r>
    <x v="208"/>
    <s v="금"/>
    <x v="11"/>
    <s v="카페24"/>
    <s v="유즈 스테이포에버 솔리드퍼퓸 002 (10차 재입고 완료제품선택=커플추천"/>
    <n v="6"/>
    <x v="0"/>
    <s v="이그나이트 + 스테이포에버"/>
    <n v="201210"/>
    <m/>
    <n v="414000"/>
    <n v="389781"/>
    <n v="34026"/>
    <n v="376363.6363636364"/>
    <s v="카페24고체향수유즈 스테이포에버 솔리드퍼퓸 002 (10차 재입고 완료제품선택=커플추천201210"/>
  </r>
  <r>
    <x v="208"/>
    <s v="금"/>
    <x v="11"/>
    <s v="카페24"/>
    <s v="유즈 스테이포에버 솔리드퍼퓸 002 (10차 재입고 완료쇼핑백=선물용 쇼핑백"/>
    <n v="3"/>
    <x v="0"/>
    <s v="쇼핑백"/>
    <n v="201210"/>
    <m/>
    <n v="6000"/>
    <n v="5649"/>
    <n v="3630"/>
    <n v="5454.545454545454"/>
    <s v="카페24고체향수유즈 스테이포에버 솔리드퍼퓸 002 (10차 재입고 완료쇼핑백=선물용 쇼핑백201210"/>
  </r>
  <r>
    <x v="208"/>
    <s v="금"/>
    <x v="11"/>
    <s v="카페24"/>
    <s v="유즈 스테이포에버 솔리드퍼퓸 002 (10차 재입고 완료)제품선택=스테이포에버 1개"/>
    <n v="90"/>
    <x v="0"/>
    <s v="스테이포에버"/>
    <n v="201210"/>
    <m/>
    <n v="3420000"/>
    <n v="3219930"/>
    <n v="250470"/>
    <n v="3109090.909090909"/>
    <s v="카페24고체향수유즈 스테이포에버 솔리드퍼퓸 002 (10차 재입고 완료)제품선택=스테이포에버 1개201210"/>
  </r>
  <r>
    <x v="208"/>
    <s v="금"/>
    <x v="11"/>
    <s v="카페24"/>
    <s v="유즈 스테이포에버 솔리드퍼퓸 002 (10차 재입고 완료)제품선택=best스테이포에버 2개[28% 할인]"/>
    <n v="55"/>
    <x v="0"/>
    <s v="스테이포에버 2set"/>
    <n v="201210"/>
    <m/>
    <n v="3234000"/>
    <n v="3044811"/>
    <n v="306130"/>
    <n v="2940000"/>
    <s v="카페24고체향수유즈 스테이포에버 솔리드퍼퓸 002 (10차 재입고 완료)제품선택=best스테이포에버 2개[28% 할인]201210"/>
  </r>
  <r>
    <x v="208"/>
    <s v="금"/>
    <x v="11"/>
    <s v="카페24"/>
    <s v="유즈 스테이포에버 솔리드퍼퓸 002 (10차 재입고 완료)제품선택=커플추천스테이포에버 + 이그나이트 세트"/>
    <n v="5"/>
    <x v="0"/>
    <s v="이그나이트 + 스테이포에버"/>
    <n v="201210"/>
    <m/>
    <n v="0"/>
    <n v="0"/>
    <n v="28355"/>
    <n v="0"/>
    <s v="카페24고체향수유즈 스테이포에버 솔리드퍼퓸 002 (10차 재입고 완료)제품선택=커플추천스테이포에버 + 이그나이트 세트201210"/>
  </r>
  <r>
    <x v="208"/>
    <s v="금"/>
    <x v="11"/>
    <s v="카페24"/>
    <s v="유즈 스테이포에버 솔리드퍼퓸 002 (10차 재입고 완료)쇼핑백=선물용 쇼핑백"/>
    <n v="3"/>
    <x v="0"/>
    <s v="쇼핑백"/>
    <n v="201210"/>
    <m/>
    <n v="6000"/>
    <n v="5649"/>
    <n v="3630"/>
    <n v="5454.545454545454"/>
    <s v="카페24고체향수유즈 스테이포에버 솔리드퍼퓸 002 (10차 재입고 완료)쇼핑백=선물용 쇼핑백201210"/>
  </r>
  <r>
    <x v="208"/>
    <s v="금"/>
    <x v="11"/>
    <s v="카페24"/>
    <s v="유즈 이그나이트 솔리드퍼퓸 001제품선택=이그나이트 솔리드퍼퓸 - 30ml"/>
    <n v="1"/>
    <x v="0"/>
    <s v="이그나이트"/>
    <n v="201210"/>
    <m/>
    <n v="38000"/>
    <n v="35777"/>
    <n v="2888"/>
    <n v="34545.45454545454"/>
    <s v="카페24고체향수유즈 이그나이트 솔리드퍼퓸 001제품선택=이그나이트 솔리드퍼퓸 - 30ml201210"/>
  </r>
  <r>
    <x v="208"/>
    <s v="금"/>
    <x v="11"/>
    <s v="카페24"/>
    <s v="유즈 이그나이트 솔리드퍼퓸 001쇼핑백=선물용 쇼핑백"/>
    <n v="1"/>
    <x v="2"/>
    <s v="쇼핑백"/>
    <n v="201210"/>
    <m/>
    <n v="2000"/>
    <n v="1883"/>
    <n v="1210"/>
    <n v="1818.181818181818"/>
    <s v="카페24쇼핑백유즈 이그나이트 솔리드퍼퓸 001쇼핑백=선물용 쇼핑백201210"/>
  </r>
  <r>
    <x v="209"/>
    <s v="토"/>
    <x v="11"/>
    <s v="카페24"/>
    <s v="SHOPPING BAG"/>
    <n v="2"/>
    <x v="2"/>
    <s v="쇼핑백"/>
    <n v="201210"/>
    <m/>
    <n v="4000"/>
    <n v="3766"/>
    <n v="2420"/>
    <n v="3636.363636363636"/>
    <s v="카페24쇼핑백SHOPPING BAG201210"/>
  </r>
  <r>
    <x v="209"/>
    <s v="토"/>
    <x v="11"/>
    <s v="카페24"/>
    <s v="스테이포에버 솔리드퍼퓸 002 (10차 재입고 완료제품선택=스테이포에버 1개"/>
    <n v="3"/>
    <x v="0"/>
    <s v="스테이포에버"/>
    <n v="201210"/>
    <m/>
    <n v="114000"/>
    <n v="107331"/>
    <n v="8349"/>
    <n v="103636.3636363636"/>
    <s v="카페24고체향수스테이포에버 솔리드퍼퓸 002 (10차 재입고 완료제품선택=스테이포에버 1개201210"/>
  </r>
  <r>
    <x v="209"/>
    <s v="토"/>
    <x v="11"/>
    <s v="카페24"/>
    <s v="스테이포에버 솔리드퍼퓸 002 (10차 재입고 완료제품선택=커플추천"/>
    <n v="1"/>
    <x v="0"/>
    <s v="이그나이트 + 스테이포에버"/>
    <n v="201210"/>
    <m/>
    <n v="69000"/>
    <n v="64963.5"/>
    <n v="5671"/>
    <n v="62727.27272727272"/>
    <s v="카페24고체향수스테이포에버 솔리드퍼퓸 002 (10차 재입고 완료제품선택=커플추천201210"/>
  </r>
  <r>
    <x v="209"/>
    <s v="토"/>
    <x v="11"/>
    <s v="카페24"/>
    <s v="유즈 솔리드퍼퓸 - 30ml (10차 재입고 완료향=이그나이트 001 SOLID PERFUME, 세트 선택=1개"/>
    <n v="1"/>
    <x v="0"/>
    <s v="이그나이트"/>
    <n v="201210"/>
    <m/>
    <n v="38000"/>
    <n v="35777"/>
    <n v="2888"/>
    <n v="34545.45454545454"/>
    <s v="카페24고체향수유즈 솔리드퍼퓸 - 30ml (10차 재입고 완료향=이그나이트 001 SOLID PERFUME, 세트 선택=1개201210"/>
  </r>
  <r>
    <x v="209"/>
    <s v="토"/>
    <x v="11"/>
    <s v="카페24"/>
    <s v="유즈 솔리드퍼퓸 - 30ml (10차 재입고 완료향=스테이포에버 002 SOLID PERFUME, 세트 선택=1개"/>
    <n v="7"/>
    <x v="0"/>
    <s v="스테이포에버"/>
    <n v="201210"/>
    <m/>
    <n v="266000"/>
    <n v="250439"/>
    <n v="19481"/>
    <n v="241818.1818181818"/>
    <s v="카페24고체향수유즈 솔리드퍼퓸 - 30ml (10차 재입고 완료향=스테이포에버 002 SOLID PERFUME, 세트 선택=1개201210"/>
  </r>
  <r>
    <x v="209"/>
    <s v="토"/>
    <x v="11"/>
    <s v="카페24"/>
    <s v="유즈 솔리드퍼퓸 - 30ml (10차 재입고 완료향=스테이포에버 002 SOLID PERFUME, 세트 선택=best"/>
    <n v="4"/>
    <x v="0"/>
    <s v="스테이포에버 2set"/>
    <n v="201210"/>
    <m/>
    <n v="235200"/>
    <n v="221440.8"/>
    <n v="22264"/>
    <n v="213818.1818181818"/>
    <s v="카페24고체향수유즈 솔리드퍼퓸 - 30ml (10차 재입고 완료향=스테이포에버 002 SOLID PERFUME, 세트 선택=best201210"/>
  </r>
  <r>
    <x v="209"/>
    <s v="토"/>
    <x v="11"/>
    <s v="카페24"/>
    <s v="유즈 솔리드퍼퓸 - 30ml (10차 재입고 완료향=커플세트"/>
    <n v="6"/>
    <x v="0"/>
    <s v="이그나이트 + 스테이포에버"/>
    <n v="201210"/>
    <m/>
    <n v="414000"/>
    <n v="389781"/>
    <n v="34026"/>
    <n v="376363.6363636364"/>
    <s v="카페24고체향수유즈 솔리드퍼퓸 - 30ml (10차 재입고 완료향=커플세트201210"/>
  </r>
  <r>
    <x v="209"/>
    <s v="토"/>
    <x v="11"/>
    <s v="카페24"/>
    <s v="유즈 솔리드퍼퓸 - 30ml (10차 재입고 완료향=커플세트"/>
    <n v="2"/>
    <x v="0"/>
    <s v="이그나이트 + 스테이포에버"/>
    <n v="201210"/>
    <m/>
    <n v="138000"/>
    <n v="129927"/>
    <n v="11342"/>
    <n v="125454.5454545454"/>
    <s v="카페24고체향수유즈 솔리드퍼퓸 - 30ml (10차 재입고 완료향=커플세트201210"/>
  </r>
  <r>
    <x v="209"/>
    <s v="토"/>
    <x v="11"/>
    <s v="카페24"/>
    <s v="유즈 솔리드퍼퓸 - 30ml (10차 재입고 완료 )향=이그나이트 001 SOLID PERFUME, 세트 선택=best 2개 (28% 할인)"/>
    <n v="1"/>
    <x v="0"/>
    <s v="이그나이트 2set"/>
    <n v="201210"/>
    <m/>
    <n v="58800"/>
    <n v="55360.2"/>
    <n v="5776"/>
    <n v="53454.54545454545"/>
    <s v="카페24고체향수유즈 솔리드퍼퓸 - 30ml (10차 재입고 완료 )향=이그나이트 001 SOLID PERFUME, 세트 선택=best 2개 (28% 할인)201210"/>
  </r>
  <r>
    <x v="209"/>
    <s v="토"/>
    <x v="11"/>
    <s v="카페24"/>
    <s v="유즈 솔리드퍼퓸 - 30ml (10차 재입고 완료 )향=스테이포에버 002 SOLID PERFUME, 세트 선택=1개"/>
    <n v="12"/>
    <x v="0"/>
    <s v="스테이포에버"/>
    <n v="201210"/>
    <m/>
    <n v="456000"/>
    <n v="429324"/>
    <n v="33396"/>
    <n v="414545.4545454545"/>
    <s v="카페24고체향수유즈 솔리드퍼퓸 - 30ml (10차 재입고 완료 )향=스테이포에버 002 SOLID PERFUME, 세트 선택=1개201210"/>
  </r>
  <r>
    <x v="209"/>
    <s v="토"/>
    <x v="11"/>
    <s v="카페24"/>
    <s v="유즈 솔리드퍼퓸 - 30ml (10차 재입고 완료 )향=스테이포에버 002 SOLID PERFUME, 세트 선택=best 2개 (28% 할인)"/>
    <n v="2"/>
    <x v="0"/>
    <s v="스테이포에버 2set"/>
    <n v="201210"/>
    <m/>
    <n v="117600"/>
    <n v="110720.4"/>
    <n v="11132"/>
    <n v="106909.0909090909"/>
    <s v="카페24고체향수유즈 솔리드퍼퓸 - 30ml (10차 재입고 완료 )향=스테이포에버 002 SOLID PERFUME, 세트 선택=best 2개 (28% 할인)201210"/>
  </r>
  <r>
    <x v="209"/>
    <s v="토"/>
    <x v="11"/>
    <s v="카페24"/>
    <s v="유즈 솔리드퍼퓸 - 30ml (10차 재입고 완료 )향=커플세트(이그나이트 + 스테이포에버), 세트 선택=1 SET"/>
    <n v="2"/>
    <x v="0"/>
    <s v="이그나이트 + 스테이포에버"/>
    <n v="201210"/>
    <m/>
    <n v="138000"/>
    <n v="129927"/>
    <n v="11342"/>
    <n v="125454.5454545454"/>
    <s v="카페24고체향수유즈 솔리드퍼퓸 - 30ml (10차 재입고 완료 )향=커플세트(이그나이트 + 스테이포에버), 세트 선택=1 SET201210"/>
  </r>
  <r>
    <x v="209"/>
    <s v="토"/>
    <x v="11"/>
    <s v="카페24"/>
    <s v="유즈 스테이포에버 솔리드퍼퓸 002 (10차 재입고 완료제품선택=스테이포에버 1개"/>
    <n v="113"/>
    <x v="0"/>
    <s v="스테이포에버"/>
    <n v="201210"/>
    <m/>
    <n v="4294000"/>
    <n v="4042801"/>
    <n v="314479"/>
    <n v="3903636.363636363"/>
    <s v="카페24고체향수유즈 스테이포에버 솔리드퍼퓸 002 (10차 재입고 완료제품선택=스테이포에버 1개201210"/>
  </r>
  <r>
    <x v="209"/>
    <s v="토"/>
    <x v="11"/>
    <s v="카페24"/>
    <s v="유즈 스테이포에버 솔리드퍼퓸 002 (10차 재입고 완료제품선택=best"/>
    <n v="59"/>
    <x v="0"/>
    <s v="스테이포에버 2set"/>
    <n v="201210"/>
    <m/>
    <n v="3469200"/>
    <n v="3266251.8"/>
    <n v="328394"/>
    <n v="3153818.181818182"/>
    <s v="카페24고체향수유즈 스테이포에버 솔리드퍼퓸 002 (10차 재입고 완료제품선택=best201210"/>
  </r>
  <r>
    <x v="209"/>
    <s v="토"/>
    <x v="11"/>
    <s v="카페24"/>
    <s v="유즈 스테이포에버 솔리드퍼퓸 002 (10차 재입고 완료제품선택=커플추천"/>
    <n v="6"/>
    <x v="0"/>
    <s v="이그나이트 + 스테이포에버"/>
    <n v="201210"/>
    <m/>
    <n v="414000"/>
    <n v="389781"/>
    <n v="34026"/>
    <n v="376363.6363636364"/>
    <s v="카페24고체향수유즈 스테이포에버 솔리드퍼퓸 002 (10차 재입고 완료제품선택=커플추천201210"/>
  </r>
  <r>
    <x v="209"/>
    <s v="토"/>
    <x v="11"/>
    <s v="카페24"/>
    <s v="유즈 스테이포에버 솔리드퍼퓸 002 (10차 재입고 완료쇼핑백=선물용 쇼핑백"/>
    <n v="7"/>
    <x v="0"/>
    <s v="쇼핑백"/>
    <n v="201210"/>
    <m/>
    <n v="14000"/>
    <n v="13181"/>
    <n v="8470"/>
    <n v="12727.27272727273"/>
    <s v="카페24고체향수유즈 스테이포에버 솔리드퍼퓸 002 (10차 재입고 완료쇼핑백=선물용 쇼핑백201210"/>
  </r>
  <r>
    <x v="209"/>
    <s v="토"/>
    <x v="11"/>
    <s v="카페24"/>
    <s v="유즈 스테이포에버 솔리드퍼퓸 002 (10차 재입고 완료)제품선택=스테이포에버 1개"/>
    <n v="190"/>
    <x v="0"/>
    <s v="스테이포에버"/>
    <n v="201210"/>
    <m/>
    <n v="7220000"/>
    <n v="6797630"/>
    <n v="528770"/>
    <n v="6563636.363636363"/>
    <s v="카페24고체향수유즈 스테이포에버 솔리드퍼퓸 002 (10차 재입고 완료)제품선택=스테이포에버 1개201210"/>
  </r>
  <r>
    <x v="209"/>
    <s v="토"/>
    <x v="11"/>
    <s v="카페24"/>
    <s v="유즈 스테이포에버 솔리드퍼퓸 002 (10차 재입고 완료)제품선택=best스테이포에버 2개[28% 할인]"/>
    <n v="59"/>
    <x v="0"/>
    <s v="스테이포에버 2set"/>
    <n v="201210"/>
    <m/>
    <n v="3469200"/>
    <n v="3266251.8"/>
    <n v="328394"/>
    <n v="3153818.181818182"/>
    <s v="카페24고체향수유즈 스테이포에버 솔리드퍼퓸 002 (10차 재입고 완료)제품선택=best스테이포에버 2개[28% 할인]201210"/>
  </r>
  <r>
    <x v="209"/>
    <s v="토"/>
    <x v="11"/>
    <s v="카페24"/>
    <s v="유즈 스테이포에버 솔리드퍼퓸 002 (10차 재입고 완료)제품선택=커플추천스테이포에버 + 이그나이트 세트"/>
    <n v="10"/>
    <x v="0"/>
    <s v="이그나이트 + 스테이포에버"/>
    <n v="201210"/>
    <m/>
    <n v="0"/>
    <n v="0"/>
    <n v="56710"/>
    <n v="0"/>
    <s v="카페24고체향수유즈 스테이포에버 솔리드퍼퓸 002 (10차 재입고 완료)제품선택=커플추천스테이포에버 + 이그나이트 세트201210"/>
  </r>
  <r>
    <x v="209"/>
    <s v="토"/>
    <x v="11"/>
    <s v="카페24"/>
    <s v="유즈 스테이포에버 솔리드퍼퓸 002 (10차 재입고 완료)쇼핑백=선물용 쇼핑백"/>
    <n v="9"/>
    <x v="0"/>
    <s v="쇼핑백"/>
    <n v="201210"/>
    <m/>
    <n v="18000"/>
    <n v="16947"/>
    <n v="10890"/>
    <n v="16363.63636363636"/>
    <s v="카페24고체향수유즈 스테이포에버 솔리드퍼퓸 002 (10차 재입고 완료)쇼핑백=선물용 쇼핑백201210"/>
  </r>
  <r>
    <x v="209"/>
    <s v="토"/>
    <x v="11"/>
    <s v="카페24"/>
    <s v="유즈 이그나이트 솔리드퍼퓸 001제품선택=이그나이트 솔리드퍼퓸 - 30ml"/>
    <n v="2"/>
    <x v="0"/>
    <s v="이그나이트"/>
    <n v="201210"/>
    <m/>
    <n v="76000"/>
    <n v="71554"/>
    <n v="5776"/>
    <n v="69090.90909090909"/>
    <s v="카페24고체향수유즈 이그나이트 솔리드퍼퓸 001제품선택=이그나이트 솔리드퍼퓸 - 30ml201210"/>
  </r>
  <r>
    <x v="209"/>
    <s v="토"/>
    <x v="11"/>
    <s v="카페24"/>
    <s v="유즈 이그나이트 솔리드퍼퓸 001제품선택=이그나이트 2개 세트"/>
    <n v="1"/>
    <x v="0"/>
    <s v="이그나이트 2set"/>
    <n v="201210"/>
    <m/>
    <n v="58800"/>
    <n v="55360.2"/>
    <n v="5776"/>
    <n v="53454.54545454545"/>
    <s v="카페24고체향수유즈 이그나이트 솔리드퍼퓸 001제품선택=이그나이트 2개 세트201210"/>
  </r>
  <r>
    <x v="210"/>
    <s v="일"/>
    <x v="11"/>
    <s v="카페24"/>
    <s v="SHOPPING BAG"/>
    <n v="1"/>
    <x v="2"/>
    <s v="쇼핑백"/>
    <n v="201210"/>
    <m/>
    <n v="2000"/>
    <n v="1883"/>
    <n v="1210"/>
    <n v="1818.181818181818"/>
    <s v="카페24쇼핑백SHOPPING BAG201210"/>
  </r>
  <r>
    <x v="210"/>
    <s v="일"/>
    <x v="11"/>
    <s v="카페24"/>
    <s v="유즈 솔리드퍼퓸 - 30ml (10차 재입고 완료향=스테이포에버 002 SOLID PERFUME, 세트 선택=1개"/>
    <n v="5"/>
    <x v="0"/>
    <s v="스테이포에버"/>
    <n v="201210"/>
    <m/>
    <n v="190000"/>
    <n v="178885"/>
    <n v="13915"/>
    <n v="172727.2727272727"/>
    <s v="카페24고체향수유즈 솔리드퍼퓸 - 30ml (10차 재입고 완료향=스테이포에버 002 SOLID PERFUME, 세트 선택=1개201210"/>
  </r>
  <r>
    <x v="210"/>
    <s v="일"/>
    <x v="11"/>
    <s v="카페24"/>
    <s v="유즈 솔리드퍼퓸 - 30ml (10차 재입고 완료향=커플세트"/>
    <n v="5"/>
    <x v="0"/>
    <s v="이그나이트 + 스테이포에버"/>
    <n v="201210"/>
    <m/>
    <n v="345000"/>
    <n v="324817.5"/>
    <n v="28355"/>
    <n v="313636.3636363636"/>
    <s v="카페24고체향수유즈 솔리드퍼퓸 - 30ml (10차 재입고 완료향=커플세트201210"/>
  </r>
  <r>
    <x v="210"/>
    <s v="일"/>
    <x v="11"/>
    <s v="카페24"/>
    <s v="유즈 솔리드퍼퓸 - 30ml (10차 재입고 완료향=커플세트"/>
    <n v="1"/>
    <x v="0"/>
    <s v="이그나이트 + 스테이포에버"/>
    <n v="201210"/>
    <m/>
    <n v="69000"/>
    <n v="64963.5"/>
    <n v="5671"/>
    <n v="62727.27272727272"/>
    <s v="카페24고체향수유즈 솔리드퍼퓸 - 30ml (10차 재입고 완료향=커플세트201210"/>
  </r>
  <r>
    <x v="210"/>
    <s v="일"/>
    <x v="11"/>
    <s v="카페24"/>
    <s v="유즈 솔리드퍼퓸 - 30ml (10차 재입고 완료 )향=이그나이트 001 SOLID PERFUME, 세트 선택=1개"/>
    <n v="3"/>
    <x v="0"/>
    <s v="이그나이트"/>
    <n v="201210"/>
    <m/>
    <n v="114000"/>
    <n v="107331"/>
    <n v="8664"/>
    <n v="103636.3636363636"/>
    <s v="카페24고체향수유즈 솔리드퍼퓸 - 30ml (10차 재입고 완료 )향=이그나이트 001 SOLID PERFUME, 세트 선택=1개201210"/>
  </r>
  <r>
    <x v="210"/>
    <s v="일"/>
    <x v="11"/>
    <s v="카페24"/>
    <s v="유즈 솔리드퍼퓸 - 30ml (10차 재입고 완료 )향=스테이포에버 002 SOLID PERFUME, 세트 선택=1개"/>
    <n v="10"/>
    <x v="0"/>
    <s v="스테이포에버"/>
    <n v="201210"/>
    <m/>
    <n v="380000"/>
    <n v="357770"/>
    <n v="27830"/>
    <n v="345454.5454545454"/>
    <s v="카페24고체향수유즈 솔리드퍼퓸 - 30ml (10차 재입고 완료 )향=스테이포에버 002 SOLID PERFUME, 세트 선택=1개201210"/>
  </r>
  <r>
    <x v="210"/>
    <s v="일"/>
    <x v="11"/>
    <s v="카페24"/>
    <s v="유즈 솔리드퍼퓸 - 30ml (10차 재입고 완료 )향=스테이포에버 002 SOLID PERFUME, 세트 선택=best 2개 (28% 할인)"/>
    <n v="3"/>
    <x v="0"/>
    <s v="스테이포에버 2set"/>
    <n v="201210"/>
    <m/>
    <n v="176400"/>
    <n v="166080.6"/>
    <n v="16698"/>
    <n v="160363.6363636364"/>
    <s v="카페24고체향수유즈 솔리드퍼퓸 - 30ml (10차 재입고 완료 )향=스테이포에버 002 SOLID PERFUME, 세트 선택=best 2개 (28% 할인)201210"/>
  </r>
  <r>
    <x v="210"/>
    <s v="일"/>
    <x v="11"/>
    <s v="카페24"/>
    <s v="유즈 솔리드퍼퓸 - 30ml (10차 재입고 완료 )향=커플세트(이그나이트 + 스테이포에버), 세트 선택=1 SET"/>
    <n v="4"/>
    <x v="0"/>
    <s v="이그나이트 + 스테이포에버"/>
    <n v="201210"/>
    <m/>
    <n v="276000"/>
    <n v="259854"/>
    <n v="22684"/>
    <n v="250909.0909090909"/>
    <s v="카페24고체향수유즈 솔리드퍼퓸 - 30ml (10차 재입고 완료 )향=커플세트(이그나이트 + 스테이포에버), 세트 선택=1 SET201210"/>
  </r>
  <r>
    <x v="210"/>
    <s v="일"/>
    <x v="11"/>
    <s v="카페24"/>
    <s v="유즈 스테이포에버 솔리드퍼퓸 002 (10차 재입고 완료제품선택=스테이포에버 1개"/>
    <n v="94"/>
    <x v="0"/>
    <s v="스테이포에버"/>
    <n v="201210"/>
    <m/>
    <n v="3572000"/>
    <n v="3363038"/>
    <n v="261602"/>
    <n v="3247272.727272727"/>
    <s v="카페24고체향수유즈 스테이포에버 솔리드퍼퓸 002 (10차 재입고 완료제품선택=스테이포에버 1개201210"/>
  </r>
  <r>
    <x v="210"/>
    <s v="일"/>
    <x v="11"/>
    <s v="카페24"/>
    <s v="유즈 스테이포에버 솔리드퍼퓸 002 (10차 재입고 완료제품선택=best"/>
    <n v="45"/>
    <x v="0"/>
    <s v="스테이포에버 2set"/>
    <n v="201210"/>
    <m/>
    <n v="2646000"/>
    <n v="2491209"/>
    <n v="250470"/>
    <n v="2405454.545454545"/>
    <s v="카페24고체향수유즈 스테이포에버 솔리드퍼퓸 002 (10차 재입고 완료제품선택=best201210"/>
  </r>
  <r>
    <x v="210"/>
    <s v="일"/>
    <x v="11"/>
    <s v="카페24"/>
    <s v="유즈 스테이포에버 솔리드퍼퓸 002 (10차 재입고 완료제품선택=커플추천"/>
    <n v="15"/>
    <x v="0"/>
    <s v="이그나이트 + 스테이포에버"/>
    <n v="201210"/>
    <m/>
    <n v="1035000"/>
    <n v="974452.5"/>
    <n v="85065"/>
    <n v="940909.0909090908"/>
    <s v="카페24고체향수유즈 스테이포에버 솔리드퍼퓸 002 (10차 재입고 완료제품선택=커플추천201210"/>
  </r>
  <r>
    <x v="210"/>
    <s v="일"/>
    <x v="11"/>
    <s v="카페24"/>
    <s v="유즈 스테이포에버 솔리드퍼퓸 002 (10차 재입고 완료쇼핑백=선물용 쇼핑백"/>
    <n v="3"/>
    <x v="0"/>
    <s v="쇼핑백"/>
    <n v="201210"/>
    <m/>
    <n v="6000"/>
    <n v="5649"/>
    <n v="3630"/>
    <n v="5454.545454545454"/>
    <s v="카페24고체향수유즈 스테이포에버 솔리드퍼퓸 002 (10차 재입고 완료쇼핑백=선물용 쇼핑백201210"/>
  </r>
  <r>
    <x v="210"/>
    <s v="일"/>
    <x v="11"/>
    <s v="카페24"/>
    <s v="유즈 스테이포에버 솔리드퍼퓸 002 (10차 재입고 완료)제품선택=스테이포에버 1개"/>
    <n v="154"/>
    <x v="0"/>
    <s v="스테이포에버"/>
    <n v="201210"/>
    <m/>
    <n v="5852000"/>
    <n v="5509658"/>
    <n v="428582"/>
    <n v="5320000"/>
    <s v="카페24고체향수유즈 스테이포에버 솔리드퍼퓸 002 (10차 재입고 완료)제품선택=스테이포에버 1개201210"/>
  </r>
  <r>
    <x v="210"/>
    <s v="일"/>
    <x v="11"/>
    <s v="카페24"/>
    <s v="유즈 스테이포에버 솔리드퍼퓸 002 (10차 재입고 완료)제품선택=best스테이포에버 2개[28% 할인]"/>
    <n v="57"/>
    <x v="0"/>
    <s v="스테이포에버 2set"/>
    <n v="201210"/>
    <m/>
    <n v="3351600"/>
    <n v="3155531.4"/>
    <n v="317262"/>
    <n v="3046909.090909091"/>
    <s v="카페24고체향수유즈 스테이포에버 솔리드퍼퓸 002 (10차 재입고 완료)제품선택=best스테이포에버 2개[28% 할인]201210"/>
  </r>
  <r>
    <x v="210"/>
    <s v="일"/>
    <x v="11"/>
    <s v="카페24"/>
    <s v="유즈 스테이포에버 솔리드퍼퓸 002 (10차 재입고 완료)제품선택=커플추천스테이포에버 + 이그나이트 세트"/>
    <n v="16"/>
    <x v="0"/>
    <s v="이그나이트 + 스테이포에버"/>
    <n v="201210"/>
    <m/>
    <n v="0"/>
    <n v="0"/>
    <n v="90736"/>
    <n v="0"/>
    <s v="카페24고체향수유즈 스테이포에버 솔리드퍼퓸 002 (10차 재입고 완료)제품선택=커플추천스테이포에버 + 이그나이트 세트201210"/>
  </r>
  <r>
    <x v="210"/>
    <s v="일"/>
    <x v="11"/>
    <s v="카페24"/>
    <s v="유즈 스테이포에버 솔리드퍼퓸 002 (10차 재입고 완료)쇼핑백=선물용 쇼핑백"/>
    <n v="11"/>
    <x v="0"/>
    <s v="쇼핑백"/>
    <n v="201210"/>
    <m/>
    <n v="22000"/>
    <n v="20713"/>
    <n v="13310"/>
    <n v="20000"/>
    <s v="카페24고체향수유즈 스테이포에버 솔리드퍼퓸 002 (10차 재입고 완료)쇼핑백=선물용 쇼핑백201210"/>
  </r>
  <r>
    <x v="210"/>
    <s v="일"/>
    <x v="11"/>
    <s v="카페24"/>
    <s v="유즈 이그나이트 솔리드퍼퓸 001제품선택=이그나이트 솔리드퍼퓸 - 30ml"/>
    <n v="5"/>
    <x v="0"/>
    <s v="이그나이트"/>
    <n v="201210"/>
    <m/>
    <n v="190000"/>
    <n v="178885"/>
    <n v="14440"/>
    <n v="172727.2727272727"/>
    <s v="카페24고체향수유즈 이그나이트 솔리드퍼퓸 001제품선택=이그나이트 솔리드퍼퓸 - 30ml201210"/>
  </r>
  <r>
    <x v="211"/>
    <s v="월"/>
    <x v="11"/>
    <s v="유즈 CS"/>
    <s v="솔리드퍼퓸 스테이포에버 002 30ml"/>
    <n v="1"/>
    <x v="0"/>
    <s v="스테이포에버"/>
    <n v="201210"/>
    <m/>
    <n v="0"/>
    <n v="0"/>
    <n v="2783"/>
    <n v="0"/>
    <s v="유즈 CS고체향수솔리드퍼퓸 스테이포에버 002 30ml201210"/>
  </r>
  <r>
    <x v="211"/>
    <s v="월"/>
    <x v="11"/>
    <s v="카페24"/>
    <s v="스테이포에버 솔리드퍼퓸 002 (10차 재입고 완료제품선택=best"/>
    <n v="1"/>
    <x v="0"/>
    <s v="스테이포에버 2set"/>
    <n v="201210"/>
    <m/>
    <n v="58800"/>
    <n v="55360.2"/>
    <n v="5566"/>
    <n v="53454.54545454545"/>
    <s v="카페24고체향수스테이포에버 솔리드퍼퓸 002 (10차 재입고 완료제품선택=best201210"/>
  </r>
  <r>
    <x v="211"/>
    <s v="월"/>
    <x v="11"/>
    <s v="카페24"/>
    <s v="유즈 솔리드퍼퓸 - 30ml (10차 재입고 완료향=이그나이트 001 SOLID PERFUME, 세트 선택=1개"/>
    <n v="4"/>
    <x v="0"/>
    <s v="이그나이트"/>
    <n v="201210"/>
    <m/>
    <n v="152000"/>
    <n v="143108"/>
    <n v="11552"/>
    <n v="138181.8181818182"/>
    <s v="카페24고체향수유즈 솔리드퍼퓸 - 30ml (10차 재입고 완료향=이그나이트 001 SOLID PERFUME, 세트 선택=1개201210"/>
  </r>
  <r>
    <x v="211"/>
    <s v="월"/>
    <x v="11"/>
    <s v="카페24"/>
    <s v="유즈 솔리드퍼퓸 - 30ml (10차 재입고 완료향=이그나이트 001 SOLID PERFUME, 세트 선택=best"/>
    <n v="1"/>
    <x v="0"/>
    <s v="이그나이트 2set"/>
    <n v="201210"/>
    <m/>
    <n v="58800"/>
    <n v="55360.2"/>
    <n v="5776"/>
    <n v="53454.54545454545"/>
    <s v="카페24고체향수유즈 솔리드퍼퓸 - 30ml (10차 재입고 완료향=이그나이트 001 SOLID PERFUME, 세트 선택=best201210"/>
  </r>
  <r>
    <x v="211"/>
    <s v="월"/>
    <x v="11"/>
    <s v="카페24"/>
    <s v="유즈 솔리드퍼퓸 - 30ml (10차 재입고 완료향=스테이포에버 002 SOLID PERFUME, 세트 선택=1개"/>
    <n v="4"/>
    <x v="0"/>
    <s v="스테이포에버"/>
    <n v="201210"/>
    <m/>
    <n v="152000"/>
    <n v="143108"/>
    <n v="11132"/>
    <n v="138181.8181818182"/>
    <s v="카페24고체향수유즈 솔리드퍼퓸 - 30ml (10차 재입고 완료향=스테이포에버 002 SOLID PERFUME, 세트 선택=1개201210"/>
  </r>
  <r>
    <x v="211"/>
    <s v="월"/>
    <x v="11"/>
    <s v="카페24"/>
    <s v="유즈 솔리드퍼퓸 - 30ml (10차 재입고 완료향=스테이포에버 002 SOLID PERFUME, 세트 선택=best"/>
    <n v="2"/>
    <x v="0"/>
    <s v="스테이포에버 2set"/>
    <n v="201210"/>
    <m/>
    <n v="117600"/>
    <n v="110720.4"/>
    <n v="11132"/>
    <n v="106909.0909090909"/>
    <s v="카페24고체향수유즈 솔리드퍼퓸 - 30ml (10차 재입고 완료향=스테이포에버 002 SOLID PERFUME, 세트 선택=best201210"/>
  </r>
  <r>
    <x v="211"/>
    <s v="월"/>
    <x v="11"/>
    <s v="카페24"/>
    <s v="유즈 솔리드퍼퓸 - 30ml (10차 재입고 완료향=커플세트"/>
    <n v="1"/>
    <x v="0"/>
    <s v="이그나이트 + 스테이포에버"/>
    <n v="201210"/>
    <m/>
    <n v="69000"/>
    <n v="64963.5"/>
    <n v="5671"/>
    <n v="62727.27272727272"/>
    <s v="카페24고체향수유즈 솔리드퍼퓸 - 30ml (10차 재입고 완료향=커플세트201210"/>
  </r>
  <r>
    <x v="211"/>
    <s v="월"/>
    <x v="11"/>
    <s v="카페24"/>
    <s v="유즈 솔리드퍼퓸 - 30ml (10차 재입고 완료 )향=스테이포에버 002 SOLID PERFUME, 세트 선택=1개"/>
    <n v="6"/>
    <x v="0"/>
    <s v="스테이포에버"/>
    <n v="201210"/>
    <m/>
    <n v="228000"/>
    <n v="214662"/>
    <n v="16698"/>
    <n v="207272.7272727273"/>
    <s v="카페24고체향수유즈 솔리드퍼퓸 - 30ml (10차 재입고 완료 )향=스테이포에버 002 SOLID PERFUME, 세트 선택=1개201210"/>
  </r>
  <r>
    <x v="211"/>
    <s v="월"/>
    <x v="11"/>
    <s v="카페24"/>
    <s v="유즈 솔리드퍼퓸 - 30ml (10차 재입고 완료 )향=커플세트(이그나이트 + 스테이포에버), 세트 선택=1 SET"/>
    <n v="2"/>
    <x v="0"/>
    <s v="이그나이트 + 스테이포에버"/>
    <n v="201210"/>
    <m/>
    <n v="138000"/>
    <n v="129927"/>
    <n v="11342"/>
    <n v="125454.5454545454"/>
    <s v="카페24고체향수유즈 솔리드퍼퓸 - 30ml (10차 재입고 완료 )향=커플세트(이그나이트 + 스테이포에버), 세트 선택=1 SET201210"/>
  </r>
  <r>
    <x v="211"/>
    <s v="월"/>
    <x v="11"/>
    <s v="카페24"/>
    <s v="유즈 솔리드퍼퓸 - 30ml (10차 재입고 완료 )향=커플세트(이그나이트 + 스테이포에버), 세트 선택=2 SET (42% 할인)"/>
    <n v="1"/>
    <x v="0"/>
    <s v="이그나이트 + 스테이포에버"/>
    <n v="201210"/>
    <m/>
    <n v="0"/>
    <n v="0"/>
    <n v="5671"/>
    <n v="0"/>
    <s v="카페24고체향수유즈 솔리드퍼퓸 - 30ml (10차 재입고 완료 )향=커플세트(이그나이트 + 스테이포에버), 세트 선택=2 SET (42% 할인)201210"/>
  </r>
  <r>
    <x v="211"/>
    <s v="월"/>
    <x v="11"/>
    <s v="카페24"/>
    <s v="유즈 스테이포에버 솔리드퍼퓸 002 (10차 재입고 완료제품선택=스테이포에버 1개"/>
    <n v="75"/>
    <x v="0"/>
    <s v="스테이포에버"/>
    <n v="201210"/>
    <m/>
    <n v="2850000"/>
    <n v="2683275"/>
    <n v="208725"/>
    <n v="2590909.090909091"/>
    <s v="카페24고체향수유즈 스테이포에버 솔리드퍼퓸 002 (10차 재입고 완료제품선택=스테이포에버 1개201210"/>
  </r>
  <r>
    <x v="211"/>
    <s v="월"/>
    <x v="11"/>
    <s v="카페24"/>
    <s v="유즈 스테이포에버 솔리드퍼퓸 002 (10차 재입고 완료제품선택=best"/>
    <n v="35"/>
    <x v="0"/>
    <s v="스테이포에버 2set"/>
    <n v="201210"/>
    <m/>
    <n v="2058000"/>
    <n v="1937607"/>
    <n v="194810"/>
    <n v="1870909.090909091"/>
    <s v="카페24고체향수유즈 스테이포에버 솔리드퍼퓸 002 (10차 재입고 완료제품선택=best201210"/>
  </r>
  <r>
    <x v="211"/>
    <s v="월"/>
    <x v="11"/>
    <s v="카페24"/>
    <s v="유즈 스테이포에버 솔리드퍼퓸 002 (10차 재입고 완료제품선택=커플추천"/>
    <n v="1"/>
    <x v="0"/>
    <s v="이그나이트 + 스테이포에버"/>
    <n v="201210"/>
    <m/>
    <n v="69000"/>
    <n v="64963.5"/>
    <n v="5671"/>
    <n v="62727.27272727272"/>
    <s v="카페24고체향수유즈 스테이포에버 솔리드퍼퓸 002 (10차 재입고 완료제품선택=커플추천201210"/>
  </r>
  <r>
    <x v="211"/>
    <s v="월"/>
    <x v="11"/>
    <s v="카페24"/>
    <s v="유즈 스테이포에버 솔리드퍼퓸 002 (10차 재입고 완료쇼핑백=선물용 쇼핑백"/>
    <n v="5"/>
    <x v="0"/>
    <s v="쇼핑백"/>
    <n v="201210"/>
    <m/>
    <n v="10000"/>
    <n v="9415"/>
    <n v="6050"/>
    <n v="9090.90909090909"/>
    <s v="카페24고체향수유즈 스테이포에버 솔리드퍼퓸 002 (10차 재입고 완료쇼핑백=선물용 쇼핑백201210"/>
  </r>
  <r>
    <x v="211"/>
    <s v="월"/>
    <x v="11"/>
    <s v="카페24"/>
    <s v="유즈 스테이포에버 솔리드퍼퓸 002 (10차 재입고 완료)제품선택=스테이포에버 1개"/>
    <n v="94"/>
    <x v="0"/>
    <s v="스테이포에버"/>
    <n v="201210"/>
    <m/>
    <n v="3572000"/>
    <n v="3363038"/>
    <n v="261602"/>
    <n v="3247272.727272727"/>
    <s v="카페24고체향수유즈 스테이포에버 솔리드퍼퓸 002 (10차 재입고 완료)제품선택=스테이포에버 1개201210"/>
  </r>
  <r>
    <x v="211"/>
    <s v="월"/>
    <x v="11"/>
    <s v="카페24"/>
    <s v="유즈 스테이포에버 솔리드퍼퓸 002 (10차 재입고 완료)제품선택=best스테이포에버 2개[28% 할인]"/>
    <n v="40"/>
    <x v="0"/>
    <s v="스테이포에버 2set"/>
    <n v="201210"/>
    <m/>
    <n v="2352000"/>
    <n v="2214408"/>
    <n v="222640"/>
    <n v="2138181.818181818"/>
    <s v="카페24고체향수유즈 스테이포에버 솔리드퍼퓸 002 (10차 재입고 완료)제품선택=best스테이포에버 2개[28% 할인]201210"/>
  </r>
  <r>
    <x v="211"/>
    <s v="월"/>
    <x v="11"/>
    <s v="카페24"/>
    <s v="유즈 스테이포에버 솔리드퍼퓸 002 (10차 재입고 완료)제품선택=커플추천스테이포에버 + 이그나이트 세트"/>
    <n v="9"/>
    <x v="0"/>
    <s v="이그나이트 + 스테이포에버"/>
    <n v="201210"/>
    <m/>
    <n v="0"/>
    <n v="0"/>
    <n v="51039"/>
    <n v="0"/>
    <s v="카페24고체향수유즈 스테이포에버 솔리드퍼퓸 002 (10차 재입고 완료)제품선택=커플추천스테이포에버 + 이그나이트 세트201210"/>
  </r>
  <r>
    <x v="211"/>
    <s v="월"/>
    <x v="11"/>
    <s v="카페24"/>
    <s v="유즈 스테이포에버 솔리드퍼퓸 002 (10차 재입고 완료)쇼핑백=선물용 쇼핑백"/>
    <n v="7"/>
    <x v="0"/>
    <s v="쇼핑백"/>
    <n v="201210"/>
    <m/>
    <n v="14000"/>
    <n v="13181"/>
    <n v="8470"/>
    <n v="12727.27272727273"/>
    <s v="카페24고체향수유즈 스테이포에버 솔리드퍼퓸 002 (10차 재입고 완료)쇼핑백=선물용 쇼핑백201210"/>
  </r>
  <r>
    <x v="211"/>
    <s v="월"/>
    <x v="11"/>
    <s v="카페24"/>
    <s v="유즈 스테이포에버 솔리드퍼퓸 002 (스테이포에버 주문시 12/15 순차배송)제품선택=스테이포에버 1개"/>
    <n v="1"/>
    <x v="0"/>
    <s v="스테이포에버"/>
    <n v="201210"/>
    <m/>
    <n v="38000"/>
    <n v="35777"/>
    <n v="2783"/>
    <n v="34545.45454545454"/>
    <s v="카페24고체향수유즈 스테이포에버 솔리드퍼퓸 002 (스테이포에버 주문시 12/15 순차배송)제품선택=스테이포에버 1개201210"/>
  </r>
  <r>
    <x v="211"/>
    <s v="월"/>
    <x v="11"/>
    <s v="카페24"/>
    <s v="유즈 이그나이트 솔리드퍼퓸 001제품선택=이그나이트 솔리드퍼퓸 - 30ml"/>
    <n v="1"/>
    <x v="0"/>
    <s v="이그나이트"/>
    <n v="201210"/>
    <m/>
    <n v="38000"/>
    <n v="35777"/>
    <n v="2888"/>
    <n v="34545.45454545454"/>
    <s v="카페24고체향수유즈 이그나이트 솔리드퍼퓸 001제품선택=이그나이트 솔리드퍼퓸 - 30ml201210"/>
  </r>
  <r>
    <x v="211"/>
    <s v="월"/>
    <x v="11"/>
    <s v="카페24"/>
    <s v="유즈 이그나이트 솔리드퍼퓸 001제품선택=이그나이트 2개 세트"/>
    <n v="1"/>
    <x v="0"/>
    <s v="이그나이트 2set"/>
    <n v="201210"/>
    <m/>
    <n v="58800"/>
    <n v="55360.2"/>
    <n v="5776"/>
    <n v="53454.54545454545"/>
    <s v="카페24고체향수유즈 이그나이트 솔리드퍼퓸 001제품선택=이그나이트 2개 세트201210"/>
  </r>
  <r>
    <x v="211"/>
    <s v="월"/>
    <x v="11"/>
    <s v="카페24"/>
    <s v="유즈 이그나이트 솔리드퍼퓸 001쇼핑백=선물용 쇼핑백"/>
    <n v="1"/>
    <x v="2"/>
    <s v="쇼핑백"/>
    <n v="201210"/>
    <m/>
    <n v="2000"/>
    <n v="1883"/>
    <n v="1210"/>
    <n v="1818.181818181818"/>
    <s v="카페24쇼핑백유즈 이그나이트 솔리드퍼퓸 001쇼핑백=선물용 쇼핑백201210"/>
  </r>
  <r>
    <x v="212"/>
    <s v="화"/>
    <x v="11"/>
    <s v="카페24"/>
    <s v="솔리드퍼퓸 스테이포에버 002 30ml"/>
    <n v="1"/>
    <x v="0"/>
    <s v="스테이포에버"/>
    <n v="201210"/>
    <m/>
    <n v="38000"/>
    <n v="35777"/>
    <n v="2783"/>
    <n v="34545.45454545454"/>
    <s v="카페24고체향수솔리드퍼퓸 스테이포에버 002 30ml201210"/>
  </r>
  <r>
    <x v="212"/>
    <s v="화"/>
    <x v="11"/>
    <s v="카페24"/>
    <s v="스테이포에버 솔리드퍼퓸 002 (10차 재입고 완료제품선택=스테이포에버 1개"/>
    <n v="1"/>
    <x v="0"/>
    <s v="스테이포에버"/>
    <n v="201210"/>
    <m/>
    <n v="38000"/>
    <n v="35777"/>
    <n v="2783"/>
    <n v="34545.45454545454"/>
    <s v="카페24고체향수스테이포에버 솔리드퍼퓸 002 (10차 재입고 완료제품선택=스테이포에버 1개201210"/>
  </r>
  <r>
    <x v="212"/>
    <s v="화"/>
    <x v="11"/>
    <s v="카페24"/>
    <s v="스테이포에버 솔리드퍼퓸 002 (10차 재입고 완료제품선택=커플추천"/>
    <n v="1"/>
    <x v="0"/>
    <s v="이그나이트 + 스테이포에버"/>
    <n v="201210"/>
    <m/>
    <n v="69000"/>
    <n v="64963.5"/>
    <n v="5671"/>
    <n v="62727.27272727272"/>
    <s v="카페24고체향수스테이포에버 솔리드퍼퓸 002 (10차 재입고 완료제품선택=커플추천201210"/>
  </r>
  <r>
    <x v="212"/>
    <s v="화"/>
    <x v="11"/>
    <s v="카페24"/>
    <s v="유즈 솔리드퍼퓸 - 30ml (10차 재입고 완료향=스테이포에버 002 SOLID PERFUME, 세트 선택=1개"/>
    <n v="2"/>
    <x v="0"/>
    <s v="스테이포에버"/>
    <n v="201210"/>
    <m/>
    <n v="76000"/>
    <n v="71554"/>
    <n v="5566"/>
    <n v="69090.90909090909"/>
    <s v="카페24고체향수유즈 솔리드퍼퓸 - 30ml (10차 재입고 완료향=스테이포에버 002 SOLID PERFUME, 세트 선택=1개201210"/>
  </r>
  <r>
    <x v="212"/>
    <s v="화"/>
    <x v="11"/>
    <s v="카페24"/>
    <s v="유즈 솔리드퍼퓸 - 30ml (10차 재입고 완료향=스테이포에버 002 SOLID PERFUME, 세트 선택=best"/>
    <n v="1"/>
    <x v="0"/>
    <s v="스테이포에버 2set"/>
    <n v="201210"/>
    <m/>
    <n v="58800"/>
    <n v="55360.2"/>
    <n v="5566"/>
    <n v="53454.54545454545"/>
    <s v="카페24고체향수유즈 솔리드퍼퓸 - 30ml (10차 재입고 완료향=스테이포에버 002 SOLID PERFUME, 세트 선택=best201210"/>
  </r>
  <r>
    <x v="212"/>
    <s v="화"/>
    <x v="11"/>
    <s v="카페24"/>
    <s v="유즈 솔리드퍼퓸 - 30ml (10차 재입고 완료향=커플세트"/>
    <n v="4"/>
    <x v="0"/>
    <s v="이그나이트 + 스테이포에버"/>
    <n v="201210"/>
    <m/>
    <n v="276000"/>
    <n v="259854"/>
    <n v="22684"/>
    <n v="250909.0909090909"/>
    <s v="카페24고체향수유즈 솔리드퍼퓸 - 30ml (10차 재입고 완료향=커플세트201210"/>
  </r>
  <r>
    <x v="212"/>
    <s v="화"/>
    <x v="11"/>
    <s v="카페24"/>
    <s v="유즈 솔리드퍼퓸 - 30ml (10차 재입고 완료향=커플세트"/>
    <n v="1"/>
    <x v="0"/>
    <s v="이그나이트 + 스테이포에버"/>
    <n v="201210"/>
    <m/>
    <n v="69000"/>
    <n v="64963.5"/>
    <n v="5671"/>
    <n v="62727.27272727272"/>
    <s v="카페24고체향수유즈 솔리드퍼퓸 - 30ml (10차 재입고 완료향=커플세트201210"/>
  </r>
  <r>
    <x v="212"/>
    <s v="화"/>
    <x v="11"/>
    <s v="카페24"/>
    <s v="유즈 솔리드퍼퓸 - 30ml (10차 재입고 완료 )향=스테이포에버 002 SOLID PERFUME, 세트 선택=1개"/>
    <n v="9"/>
    <x v="0"/>
    <s v="스테이포에버"/>
    <n v="201210"/>
    <m/>
    <n v="342000"/>
    <n v="321993"/>
    <n v="25047"/>
    <n v="310909.0909090909"/>
    <s v="카페24고체향수유즈 솔리드퍼퓸 - 30ml (10차 재입고 완료 )향=스테이포에버 002 SOLID PERFUME, 세트 선택=1개201210"/>
  </r>
  <r>
    <x v="212"/>
    <s v="화"/>
    <x v="11"/>
    <s v="카페24"/>
    <s v="유즈 솔리드퍼퓸 - 30ml (10차 재입고 완료 )향=스테이포에버 002 SOLID PERFUME, 세트 선택=best 2개 (28% 할인)"/>
    <n v="3"/>
    <x v="0"/>
    <s v="스테이포에버 2set"/>
    <n v="201210"/>
    <m/>
    <n v="176400"/>
    <n v="166080.6"/>
    <n v="16698"/>
    <n v="160363.6363636364"/>
    <s v="카페24고체향수유즈 솔리드퍼퓸 - 30ml (10차 재입고 완료 )향=스테이포에버 002 SOLID PERFUME, 세트 선택=best 2개 (28% 할인)201210"/>
  </r>
  <r>
    <x v="212"/>
    <s v="화"/>
    <x v="11"/>
    <s v="카페24"/>
    <s v="유즈 솔리드퍼퓸 - 30ml (10차 재입고 완료 )향=커플세트(이그나이트 + 스테이포에버), 세트 선택=1 SET"/>
    <n v="4"/>
    <x v="0"/>
    <s v="이그나이트 + 스테이포에버"/>
    <n v="201210"/>
    <m/>
    <n v="276000"/>
    <n v="259854"/>
    <n v="22684"/>
    <n v="250909.0909090909"/>
    <s v="카페24고체향수유즈 솔리드퍼퓸 - 30ml (10차 재입고 완료 )향=커플세트(이그나이트 + 스테이포에버), 세트 선택=1 SET201210"/>
  </r>
  <r>
    <x v="212"/>
    <s v="화"/>
    <x v="11"/>
    <s v="카페24"/>
    <s v="유즈 솔리드퍼퓸 - 30ml (10차 재입고 완료 )향=커플세트(이그나이트 + 스테이포에버), 세트 선택=2 SET (42% 할인)"/>
    <n v="1"/>
    <x v="0"/>
    <s v="이그나이트 + 스테이포에버"/>
    <n v="201210"/>
    <m/>
    <n v="0"/>
    <n v="0"/>
    <n v="5671"/>
    <n v="0"/>
    <s v="카페24고체향수유즈 솔리드퍼퓸 - 30ml (10차 재입고 완료 )향=커플세트(이그나이트 + 스테이포에버), 세트 선택=2 SET (42% 할인)201210"/>
  </r>
  <r>
    <x v="212"/>
    <s v="화"/>
    <x v="11"/>
    <s v="카페24"/>
    <s v="유즈 스테이포에버 솔리드퍼퓸 002 (10차 재입고 완료제품선택=스테이포에버 1개"/>
    <n v="68"/>
    <x v="0"/>
    <s v="스테이포에버"/>
    <n v="201210"/>
    <m/>
    <n v="2584000"/>
    <n v="2432836"/>
    <n v="189244"/>
    <n v="2349090.909090909"/>
    <s v="카페24고체향수유즈 스테이포에버 솔리드퍼퓸 002 (10차 재입고 완료제품선택=스테이포에버 1개201210"/>
  </r>
  <r>
    <x v="212"/>
    <s v="화"/>
    <x v="11"/>
    <s v="카페24"/>
    <s v="유즈 스테이포에버 솔리드퍼퓸 002 (10차 재입고 완료제품선택=best"/>
    <n v="26"/>
    <x v="0"/>
    <s v="스테이포에버 2set"/>
    <n v="201210"/>
    <m/>
    <n v="1528800"/>
    <n v="1439365.2"/>
    <n v="144716"/>
    <n v="1389818.181818182"/>
    <s v="카페24고체향수유즈 스테이포에버 솔리드퍼퓸 002 (10차 재입고 완료제품선택=best201210"/>
  </r>
  <r>
    <x v="212"/>
    <s v="화"/>
    <x v="11"/>
    <s v="카페24"/>
    <s v="유즈 스테이포에버 솔리드퍼퓸 002 (10차 재입고 완료제품선택=커플추천"/>
    <n v="11"/>
    <x v="0"/>
    <s v="이그나이트 + 스테이포에버"/>
    <n v="201210"/>
    <m/>
    <n v="759000"/>
    <n v="714598.5"/>
    <n v="62381"/>
    <n v="690000"/>
    <s v="카페24고체향수유즈 스테이포에버 솔리드퍼퓸 002 (10차 재입고 완료제품선택=커플추천201210"/>
  </r>
  <r>
    <x v="212"/>
    <s v="화"/>
    <x v="11"/>
    <s v="카페24"/>
    <s v="유즈 스테이포에버 솔리드퍼퓸 002 (10차 재입고 완료)제품선택=스테이포에버 1개"/>
    <n v="103"/>
    <x v="0"/>
    <s v="스테이포에버"/>
    <n v="201210"/>
    <m/>
    <n v="3914000"/>
    <n v="3685031"/>
    <n v="286649"/>
    <n v="3558181.818181818"/>
    <s v="카페24고체향수유즈 스테이포에버 솔리드퍼퓸 002 (10차 재입고 완료)제품선택=스테이포에버 1개201210"/>
  </r>
  <r>
    <x v="212"/>
    <s v="화"/>
    <x v="11"/>
    <s v="카페24"/>
    <s v="유즈 스테이포에버 솔리드퍼퓸 002 (10차 재입고 완료)제품선택=best스테이포에버 2개[28% 할인]"/>
    <n v="38"/>
    <x v="0"/>
    <s v="스테이포에버 2set"/>
    <n v="201210"/>
    <m/>
    <n v="2234400"/>
    <n v="2103687.6"/>
    <n v="211508"/>
    <n v="2031272.727272727"/>
    <s v="카페24고체향수유즈 스테이포에버 솔리드퍼퓸 002 (10차 재입고 완료)제품선택=best스테이포에버 2개[28% 할인]201210"/>
  </r>
  <r>
    <x v="212"/>
    <s v="화"/>
    <x v="11"/>
    <s v="카페24"/>
    <s v="유즈 스테이포에버 솔리드퍼퓸 002 (10차 재입고 완료)제품선택=커플추천스테이포에버 + 이그나이트 세트"/>
    <n v="5"/>
    <x v="0"/>
    <s v="이그나이트 + 스테이포에버"/>
    <n v="201210"/>
    <m/>
    <n v="0"/>
    <n v="0"/>
    <n v="28355"/>
    <n v="0"/>
    <s v="카페24고체향수유즈 스테이포에버 솔리드퍼퓸 002 (10차 재입고 완료)제품선택=커플추천스테이포에버 + 이그나이트 세트201210"/>
  </r>
  <r>
    <x v="212"/>
    <s v="화"/>
    <x v="11"/>
    <s v="카페24"/>
    <s v="유즈 스테이포에버 솔리드퍼퓸 002 (10차 재입고 완료)쇼핑백=선물용 쇼핑백"/>
    <n v="6"/>
    <x v="0"/>
    <s v="쇼핑백"/>
    <n v="201210"/>
    <m/>
    <n v="12000"/>
    <n v="11298"/>
    <n v="7260"/>
    <n v="10909.09090909091"/>
    <s v="카페24고체향수유즈 스테이포에버 솔리드퍼퓸 002 (10차 재입고 완료)쇼핑백=선물용 쇼핑백201210"/>
  </r>
  <r>
    <x v="212"/>
    <s v="화"/>
    <x v="11"/>
    <s v="카페24"/>
    <s v="유즈 이그나이트 솔리드퍼퓸 001제품선택=이그나이트 솔리드퍼퓸 - 30ml"/>
    <n v="4"/>
    <x v="0"/>
    <s v="이그나이트"/>
    <n v="201210"/>
    <m/>
    <n v="152000"/>
    <n v="143108"/>
    <n v="11552"/>
    <n v="138181.8181818182"/>
    <s v="카페24고체향수유즈 이그나이트 솔리드퍼퓸 001제품선택=이그나이트 솔리드퍼퓸 - 30ml201210"/>
  </r>
  <r>
    <x v="212"/>
    <s v="화"/>
    <x v="11"/>
    <s v="카페24"/>
    <s v="유즈 이그나이트 솔리드퍼퓸 001쇼핑백=선물용 쇼핑백"/>
    <n v="1"/>
    <x v="2"/>
    <s v="쇼핑백"/>
    <n v="201210"/>
    <m/>
    <n v="2000"/>
    <n v="1883"/>
    <n v="1210"/>
    <n v="1818.181818181818"/>
    <s v="카페24쇼핑백유즈 이그나이트 솔리드퍼퓸 001쇼핑백=선물용 쇼핑백201210"/>
  </r>
  <r>
    <x v="213"/>
    <s v="수"/>
    <x v="11"/>
    <s v="카페24"/>
    <s v="스테이포에버 솔리드퍼퓸 002 (10차 재입고 완료제품선택=best"/>
    <n v="1"/>
    <x v="0"/>
    <s v="스테이포에버 2set"/>
    <n v="201210"/>
    <m/>
    <n v="58800"/>
    <n v="55360.2"/>
    <n v="5566"/>
    <n v="53454.54545454545"/>
    <s v="카페24고체향수스테이포에버 솔리드퍼퓸 002 (10차 재입고 완료제품선택=best201210"/>
  </r>
  <r>
    <x v="213"/>
    <s v="수"/>
    <x v="11"/>
    <s v="카페24"/>
    <s v="유즈 솔리드퍼퓸 - 30ml (10차 재입고 완료향=스테이포에버 002 SOLID PERFUME, 세트 선택=1개"/>
    <n v="5"/>
    <x v="0"/>
    <s v="스테이포에버"/>
    <n v="201210"/>
    <m/>
    <n v="190000"/>
    <n v="178885"/>
    <n v="13915"/>
    <n v="172727.2727272727"/>
    <s v="카페24고체향수유즈 솔리드퍼퓸 - 30ml (10차 재입고 완료향=스테이포에버 002 SOLID PERFUME, 세트 선택=1개201210"/>
  </r>
  <r>
    <x v="213"/>
    <s v="수"/>
    <x v="11"/>
    <s v="카페24"/>
    <s v="유즈 솔리드퍼퓸 - 30ml (10차 재입고 완료향=스테이포에버 002 SOLID PERFUME, 세트 선택=best"/>
    <n v="1"/>
    <x v="0"/>
    <s v="스테이포에버 2set"/>
    <n v="201210"/>
    <m/>
    <n v="58800"/>
    <n v="55360.2"/>
    <n v="5566"/>
    <n v="53454.54545454545"/>
    <s v="카페24고체향수유즈 솔리드퍼퓸 - 30ml (10차 재입고 완료향=스테이포에버 002 SOLID PERFUME, 세트 선택=best201210"/>
  </r>
  <r>
    <x v="213"/>
    <s v="수"/>
    <x v="11"/>
    <s v="카페24"/>
    <s v="유즈 솔리드퍼퓸 - 30ml (10차 재입고 완료향=커플세트"/>
    <n v="6"/>
    <x v="0"/>
    <s v="이그나이트 + 스테이포에버"/>
    <n v="201210"/>
    <m/>
    <n v="414000"/>
    <n v="389781"/>
    <n v="34026"/>
    <n v="376363.6363636364"/>
    <s v="카페24고체향수유즈 솔리드퍼퓸 - 30ml (10차 재입고 완료향=커플세트201210"/>
  </r>
  <r>
    <x v="213"/>
    <s v="수"/>
    <x v="11"/>
    <s v="카페24"/>
    <s v="유즈 솔리드퍼퓸 - 30ml (10차 재입고 완료향=커플세트"/>
    <n v="1"/>
    <x v="0"/>
    <s v="이그나이트 + 스테이포에버"/>
    <n v="201210"/>
    <m/>
    <n v="69000"/>
    <n v="64963.5"/>
    <n v="5671"/>
    <n v="62727.27272727272"/>
    <s v="카페24고체향수유즈 솔리드퍼퓸 - 30ml (10차 재입고 완료향=커플세트201210"/>
  </r>
  <r>
    <x v="213"/>
    <s v="수"/>
    <x v="11"/>
    <s v="카페24"/>
    <s v="유즈 솔리드퍼퓸 - 30ml (10차 재입고 완료 )향=스테이포에버 002 SOLID PERFUME, 세트 선택=1개"/>
    <n v="8"/>
    <x v="0"/>
    <s v="스테이포에버"/>
    <n v="201210"/>
    <m/>
    <n v="304000"/>
    <n v="286216"/>
    <n v="22264"/>
    <n v="276363.6363636364"/>
    <s v="카페24고체향수유즈 솔리드퍼퓸 - 30ml (10차 재입고 완료 )향=스테이포에버 002 SOLID PERFUME, 세트 선택=1개201210"/>
  </r>
  <r>
    <x v="213"/>
    <s v="수"/>
    <x v="11"/>
    <s v="카페24"/>
    <s v="유즈 솔리드퍼퓸 - 30ml (10차 재입고 완료 )향=스테이포에버 002 SOLID PERFUME, 세트 선택=best 2개 (28% 할인)"/>
    <n v="8"/>
    <x v="0"/>
    <s v="스테이포에버 2set"/>
    <n v="201210"/>
    <m/>
    <n v="470400"/>
    <n v="442881.6"/>
    <n v="44528"/>
    <n v="427636.3636363636"/>
    <s v="카페24고체향수유즈 솔리드퍼퓸 - 30ml (10차 재입고 완료 )향=스테이포에버 002 SOLID PERFUME, 세트 선택=best 2개 (28% 할인)201210"/>
  </r>
  <r>
    <x v="213"/>
    <s v="수"/>
    <x v="11"/>
    <s v="카페24"/>
    <s v="유즈 솔리드퍼퓸 - 30ml (10차 재입고 완료 )향=커플세트(이그나이트 + 스테이포에버), 세트 선택=1 SET"/>
    <n v="1"/>
    <x v="0"/>
    <s v="이그나이트 + 스테이포에버"/>
    <n v="201210"/>
    <m/>
    <n v="69000"/>
    <n v="64963.5"/>
    <n v="5671"/>
    <n v="62727.27272727272"/>
    <s v="카페24고체향수유즈 솔리드퍼퓸 - 30ml (10차 재입고 완료 )향=커플세트(이그나이트 + 스테이포에버), 세트 선택=1 SET201210"/>
  </r>
  <r>
    <x v="213"/>
    <s v="수"/>
    <x v="11"/>
    <s v="카페24"/>
    <s v="유즈 스테이포에버 솔리드퍼퓸 002 (10차 재입고 완료제품선택=스테이포에버 1개"/>
    <n v="85"/>
    <x v="0"/>
    <s v="스테이포에버"/>
    <n v="201210"/>
    <m/>
    <n v="3230000"/>
    <n v="3041045"/>
    <n v="236555"/>
    <n v="2936363.636363636"/>
    <s v="카페24고체향수유즈 스테이포에버 솔리드퍼퓸 002 (10차 재입고 완료제품선택=스테이포에버 1개201210"/>
  </r>
  <r>
    <x v="213"/>
    <s v="수"/>
    <x v="11"/>
    <s v="카페24"/>
    <s v="유즈 스테이포에버 솔리드퍼퓸 002 (10차 재입고 완료제품선택=best"/>
    <n v="45"/>
    <x v="0"/>
    <s v="스테이포에버 2set"/>
    <n v="201210"/>
    <m/>
    <n v="2646000"/>
    <n v="2491209"/>
    <n v="250470"/>
    <n v="2405454.545454545"/>
    <s v="카페24고체향수유즈 스테이포에버 솔리드퍼퓸 002 (10차 재입고 완료제품선택=best201210"/>
  </r>
  <r>
    <x v="213"/>
    <s v="수"/>
    <x v="11"/>
    <s v="카페24"/>
    <s v="유즈 스테이포에버 솔리드퍼퓸 002 (10차 재입고 완료제품선택=커플추천"/>
    <n v="8"/>
    <x v="0"/>
    <s v="이그나이트 + 스테이포에버"/>
    <n v="201210"/>
    <m/>
    <n v="552000"/>
    <n v="519708"/>
    <n v="45368"/>
    <n v="501818.1818181818"/>
    <s v="카페24고체향수유즈 스테이포에버 솔리드퍼퓸 002 (10차 재입고 완료제품선택=커플추천201210"/>
  </r>
  <r>
    <x v="213"/>
    <s v="수"/>
    <x v="11"/>
    <s v="카페24"/>
    <s v="유즈 스테이포에버 솔리드퍼퓸 002 (10차 재입고 완료쇼핑백=선물용 쇼핑백"/>
    <n v="3"/>
    <x v="0"/>
    <s v="쇼핑백"/>
    <n v="201210"/>
    <m/>
    <n v="6000"/>
    <n v="5649"/>
    <n v="3630"/>
    <n v="5454.545454545454"/>
    <s v="카페24고체향수유즈 스테이포에버 솔리드퍼퓸 002 (10차 재입고 완료쇼핑백=선물용 쇼핑백201210"/>
  </r>
  <r>
    <x v="213"/>
    <s v="수"/>
    <x v="11"/>
    <s v="카페24"/>
    <s v="유즈 스테이포에버 솔리드퍼퓸 002 (10차 재입고 완료)제품선택=스테이포에버 1개"/>
    <n v="157"/>
    <x v="0"/>
    <s v="스테이포에버"/>
    <n v="201210"/>
    <m/>
    <n v="5966000"/>
    <n v="5616989"/>
    <n v="436931"/>
    <n v="5423636.363636363"/>
    <s v="카페24고체향수유즈 스테이포에버 솔리드퍼퓸 002 (10차 재입고 완료)제품선택=스테이포에버 1개201210"/>
  </r>
  <r>
    <x v="213"/>
    <s v="수"/>
    <x v="11"/>
    <s v="카페24"/>
    <s v="유즈 스테이포에버 솔리드퍼퓸 002 (10차 재입고 완료)제품선택=best스테이포에버 2개[28% 할인]"/>
    <n v="72"/>
    <x v="0"/>
    <s v="스테이포에버 2set"/>
    <n v="201210"/>
    <m/>
    <n v="4233600"/>
    <n v="3985934.4"/>
    <n v="400752"/>
    <n v="3848727.272727272"/>
    <s v="카페24고체향수유즈 스테이포에버 솔리드퍼퓸 002 (10차 재입고 완료)제품선택=best스테이포에버 2개[28% 할인]201210"/>
  </r>
  <r>
    <x v="213"/>
    <s v="수"/>
    <x v="11"/>
    <s v="카페24"/>
    <s v="유즈 스테이포에버 솔리드퍼퓸 002 (10차 재입고 완료)제품선택=커플추천스테이포에버 + 이그나이트 세트"/>
    <n v="7"/>
    <x v="0"/>
    <s v="이그나이트 + 스테이포에버"/>
    <n v="201210"/>
    <m/>
    <n v="0"/>
    <n v="0"/>
    <n v="39697"/>
    <n v="0"/>
    <s v="카페24고체향수유즈 스테이포에버 솔리드퍼퓸 002 (10차 재입고 완료)제품선택=커플추천스테이포에버 + 이그나이트 세트201210"/>
  </r>
  <r>
    <x v="213"/>
    <s v="수"/>
    <x v="11"/>
    <s v="카페24"/>
    <s v="유즈 스테이포에버 솔리드퍼퓸 002 (10차 재입고 완료)쇼핑백=선물용 쇼핑백"/>
    <n v="9"/>
    <x v="0"/>
    <s v="쇼핑백"/>
    <n v="201210"/>
    <m/>
    <n v="18000"/>
    <n v="16947"/>
    <n v="10890"/>
    <n v="16363.63636363636"/>
    <s v="카페24고체향수유즈 스테이포에버 솔리드퍼퓸 002 (10차 재입고 완료)쇼핑백=선물용 쇼핑백201210"/>
  </r>
  <r>
    <x v="213"/>
    <s v="수"/>
    <x v="11"/>
    <s v="카페24"/>
    <s v="유즈 이그나이트 솔리드퍼퓸 001제품선택=이그나이트 솔리드퍼퓸 - 30ml"/>
    <n v="4"/>
    <x v="0"/>
    <s v="이그나이트"/>
    <n v="201210"/>
    <m/>
    <n v="152000"/>
    <n v="143108"/>
    <n v="11552"/>
    <n v="138181.8181818182"/>
    <s v="카페24고체향수유즈 이그나이트 솔리드퍼퓸 001제품선택=이그나이트 솔리드퍼퓸 - 30ml201210"/>
  </r>
  <r>
    <x v="213"/>
    <s v="수"/>
    <x v="11"/>
    <s v="카페24"/>
    <s v="유즈 이그나이트 솔리드퍼퓸 001제품선택=이그나이트 2개 세트"/>
    <n v="4"/>
    <x v="0"/>
    <s v="이그나이트 2set"/>
    <n v="201210"/>
    <m/>
    <n v="235200"/>
    <n v="221440.8"/>
    <n v="23104"/>
    <n v="213818.1818181818"/>
    <s v="카페24고체향수유즈 이그나이트 솔리드퍼퓸 001제품선택=이그나이트 2개 세트201210"/>
  </r>
  <r>
    <x v="214"/>
    <s v="목"/>
    <x v="11"/>
    <s v="유즈 CS"/>
    <s v="유즈 스테이포에버 솔리드퍼퓸 002 (10차 재입고 완료)제품선택=커플추천스테이포에버 + 이그나이트 세트"/>
    <n v="1"/>
    <x v="0"/>
    <s v="이그나이트 + 스테이포에버"/>
    <n v="201210"/>
    <m/>
    <n v="0"/>
    <n v="0"/>
    <n v="5671"/>
    <n v="0"/>
    <s v="유즈 CS고체향수유즈 스테이포에버 솔리드퍼퓸 002 (10차 재입고 완료)제품선택=커플추천스테이포에버 + 이그나이트 세트201210"/>
  </r>
  <r>
    <x v="214"/>
    <s v="목"/>
    <x v="11"/>
    <s v="카페24"/>
    <s v="유즈 솔리드퍼퓸 - 30ml (10차 재입고 완료향=이그나이트 001 SOLID PERFUME, 세트 선택=1개"/>
    <n v="1"/>
    <x v="0"/>
    <s v="이그나이트"/>
    <n v="201210"/>
    <m/>
    <n v="38000"/>
    <n v="35777"/>
    <n v="2888"/>
    <n v="34545.45454545454"/>
    <s v="카페24고체향수유즈 솔리드퍼퓸 - 30ml (10차 재입고 완료향=이그나이트 001 SOLID PERFUME, 세트 선택=1개201210"/>
  </r>
  <r>
    <x v="214"/>
    <s v="목"/>
    <x v="11"/>
    <s v="카페24"/>
    <s v="유즈 솔리드퍼퓸 - 30ml (10차 재입고 완료향=스테이포에버 002 SOLID PERFUME, 세트 선택=1개"/>
    <n v="8"/>
    <x v="0"/>
    <s v="스테이포에버"/>
    <n v="201210"/>
    <m/>
    <n v="304000"/>
    <n v="286216"/>
    <n v="22264"/>
    <n v="276363.6363636364"/>
    <s v="카페24고체향수유즈 솔리드퍼퓸 - 30ml (10차 재입고 완료향=스테이포에버 002 SOLID PERFUME, 세트 선택=1개201210"/>
  </r>
  <r>
    <x v="214"/>
    <s v="목"/>
    <x v="11"/>
    <s v="카페24"/>
    <s v="유즈 솔리드퍼퓸 - 30ml (10차 재입고 완료향=스테이포에버 002 SOLID PERFUME, 세트 선택=best"/>
    <n v="3"/>
    <x v="0"/>
    <s v="스테이포에버 2set"/>
    <n v="201210"/>
    <m/>
    <n v="176400"/>
    <n v="166080.6"/>
    <n v="16698"/>
    <n v="160363.6363636364"/>
    <s v="카페24고체향수유즈 솔리드퍼퓸 - 30ml (10차 재입고 완료향=스테이포에버 002 SOLID PERFUME, 세트 선택=best201210"/>
  </r>
  <r>
    <x v="214"/>
    <s v="목"/>
    <x v="11"/>
    <s v="카페24"/>
    <s v="유즈 솔리드퍼퓸 - 30ml (10차 재입고 완료향=커플세트"/>
    <n v="7"/>
    <x v="0"/>
    <s v="이그나이트 + 스테이포에버"/>
    <n v="201210"/>
    <m/>
    <n v="483000"/>
    <n v="454744.5"/>
    <n v="39697"/>
    <n v="439090.9090909091"/>
    <s v="카페24고체향수유즈 솔리드퍼퓸 - 30ml (10차 재입고 완료향=커플세트201210"/>
  </r>
  <r>
    <x v="214"/>
    <s v="목"/>
    <x v="11"/>
    <s v="카페24"/>
    <s v="유즈 솔리드퍼퓸 - 30ml (10차 재입고 완료 )향=이그나이트 001 SOLID PERFUME, 세트 선택=1개"/>
    <n v="1"/>
    <x v="0"/>
    <s v="이그나이트"/>
    <n v="201210"/>
    <m/>
    <n v="38000"/>
    <n v="35777"/>
    <n v="2888"/>
    <n v="34545.45454545454"/>
    <s v="카페24고체향수유즈 솔리드퍼퓸 - 30ml (10차 재입고 완료 )향=이그나이트 001 SOLID PERFUME, 세트 선택=1개201210"/>
  </r>
  <r>
    <x v="214"/>
    <s v="목"/>
    <x v="11"/>
    <s v="카페24"/>
    <s v="유즈 솔리드퍼퓸 - 30ml (10차 재입고 완료 )향=스테이포에버 002 SOLID PERFUME, 세트 선택=1개"/>
    <n v="4"/>
    <x v="0"/>
    <s v="스테이포에버"/>
    <n v="201210"/>
    <m/>
    <n v="152000"/>
    <n v="143108"/>
    <n v="11132"/>
    <n v="138181.8181818182"/>
    <s v="카페24고체향수유즈 솔리드퍼퓸 - 30ml (10차 재입고 완료 )향=스테이포에버 002 SOLID PERFUME, 세트 선택=1개201210"/>
  </r>
  <r>
    <x v="214"/>
    <s v="목"/>
    <x v="11"/>
    <s v="카페24"/>
    <s v="유즈 솔리드퍼퓸 - 30ml (10차 재입고 완료 )향=스테이포에버 002 SOLID PERFUME, 세트 선택=best 2개 (28% 할인)"/>
    <n v="1"/>
    <x v="0"/>
    <s v="스테이포에버 2set"/>
    <n v="201210"/>
    <m/>
    <n v="58800"/>
    <n v="55360.2"/>
    <n v="5566"/>
    <n v="53454.54545454545"/>
    <s v="카페24고체향수유즈 솔리드퍼퓸 - 30ml (10차 재입고 완료 )향=스테이포에버 002 SOLID PERFUME, 세트 선택=best 2개 (28% 할인)201210"/>
  </r>
  <r>
    <x v="214"/>
    <s v="목"/>
    <x v="11"/>
    <s v="카페24"/>
    <s v="유즈 스테이포에버 솔리드퍼퓸 002 (10차 재입고 완료제품선택=스테이포에버 1개"/>
    <n v="95"/>
    <x v="0"/>
    <s v="스테이포에버"/>
    <n v="201210"/>
    <m/>
    <n v="3610000"/>
    <n v="3398815"/>
    <n v="264385"/>
    <n v="3281818.181818182"/>
    <s v="카페24고체향수유즈 스테이포에버 솔리드퍼퓸 002 (10차 재입고 완료제품선택=스테이포에버 1개201210"/>
  </r>
  <r>
    <x v="214"/>
    <s v="목"/>
    <x v="11"/>
    <s v="카페24"/>
    <s v="유즈 스테이포에버 솔리드퍼퓸 002 (10차 재입고 완료제품선택=best"/>
    <n v="50"/>
    <x v="0"/>
    <s v="스테이포에버 2set"/>
    <n v="201210"/>
    <m/>
    <n v="2940000"/>
    <n v="2768010"/>
    <n v="278300"/>
    <n v="2672727.272727272"/>
    <s v="카페24고체향수유즈 스테이포에버 솔리드퍼퓸 002 (10차 재입고 완료제품선택=best201210"/>
  </r>
  <r>
    <x v="214"/>
    <s v="목"/>
    <x v="11"/>
    <s v="카페24"/>
    <s v="유즈 스테이포에버 솔리드퍼퓸 002 (10차 재입고 완료제품선택=커플추천"/>
    <n v="7"/>
    <x v="0"/>
    <s v="이그나이트 + 스테이포에버"/>
    <n v="201210"/>
    <m/>
    <n v="483000"/>
    <n v="454744.5"/>
    <n v="39697"/>
    <n v="439090.9090909091"/>
    <s v="카페24고체향수유즈 스테이포에버 솔리드퍼퓸 002 (10차 재입고 완료제품선택=커플추천201210"/>
  </r>
  <r>
    <x v="214"/>
    <s v="목"/>
    <x v="11"/>
    <s v="카페24"/>
    <s v="유즈 스테이포에버 솔리드퍼퓸 002 (10차 재입고 완료쇼핑백=선물용 쇼핑백"/>
    <n v="4"/>
    <x v="0"/>
    <s v="쇼핑백"/>
    <n v="201210"/>
    <m/>
    <n v="8000"/>
    <n v="7532"/>
    <n v="4840"/>
    <n v="7272.727272727272"/>
    <s v="카페24고체향수유즈 스테이포에버 솔리드퍼퓸 002 (10차 재입고 완료쇼핑백=선물용 쇼핑백201210"/>
  </r>
  <r>
    <x v="214"/>
    <s v="목"/>
    <x v="11"/>
    <s v="카페24"/>
    <s v="유즈 스테이포에버 솔리드퍼퓸 002 (10차 재입고 완료)제품선택=스테이포에버 1개"/>
    <n v="168"/>
    <x v="0"/>
    <s v="스테이포에버"/>
    <n v="201210"/>
    <m/>
    <n v="6384000"/>
    <n v="6010536"/>
    <n v="467544"/>
    <n v="5803636.363636363"/>
    <s v="카페24고체향수유즈 스테이포에버 솔리드퍼퓸 002 (10차 재입고 완료)제품선택=스테이포에버 1개201210"/>
  </r>
  <r>
    <x v="214"/>
    <s v="목"/>
    <x v="11"/>
    <s v="카페24"/>
    <s v="유즈 스테이포에버 솔리드퍼퓸 002 (10차 재입고 완료)제품선택=best스테이포에버 2개[28% 할인]"/>
    <n v="69"/>
    <x v="0"/>
    <s v="스테이포에버 2set"/>
    <n v="201210"/>
    <m/>
    <n v="4057200"/>
    <n v="3819853.8"/>
    <n v="384054"/>
    <n v="3688363.636363636"/>
    <s v="카페24고체향수유즈 스테이포에버 솔리드퍼퓸 002 (10차 재입고 완료)제품선택=best스테이포에버 2개[28% 할인]201210"/>
  </r>
  <r>
    <x v="214"/>
    <s v="목"/>
    <x v="11"/>
    <s v="카페24"/>
    <s v="유즈 스테이포에버 솔리드퍼퓸 002 (10차 재입고 완료)제품선택=커플추천스테이포에버 + 이그나이트 세트"/>
    <n v="10"/>
    <x v="0"/>
    <s v="이그나이트 + 스테이포에버"/>
    <n v="201210"/>
    <m/>
    <n v="0"/>
    <n v="0"/>
    <n v="56710"/>
    <n v="0"/>
    <s v="카페24고체향수유즈 스테이포에버 솔리드퍼퓸 002 (10차 재입고 완료)제품선택=커플추천스테이포에버 + 이그나이트 세트201210"/>
  </r>
  <r>
    <x v="214"/>
    <s v="목"/>
    <x v="11"/>
    <s v="카페24"/>
    <s v="유즈 스테이포에버 솔리드퍼퓸 002 (10차 재입고 완료)쇼핑백=선물용 쇼핑백"/>
    <n v="6"/>
    <x v="0"/>
    <s v="쇼핑백"/>
    <n v="201210"/>
    <m/>
    <n v="12000"/>
    <n v="11298"/>
    <n v="7260"/>
    <n v="10909.09090909091"/>
    <s v="카페24고체향수유즈 스테이포에버 솔리드퍼퓸 002 (10차 재입고 완료)쇼핑백=선물용 쇼핑백201210"/>
  </r>
  <r>
    <x v="214"/>
    <s v="목"/>
    <x v="11"/>
    <s v="카페24"/>
    <s v="유즈 이그나이트 솔리드퍼퓸 001제품선택=이그나이트 솔리드퍼퓸 - 30ml"/>
    <n v="2"/>
    <x v="0"/>
    <s v="이그나이트"/>
    <n v="201210"/>
    <m/>
    <n v="76000"/>
    <n v="71554"/>
    <n v="5776"/>
    <n v="69090.90909090909"/>
    <s v="카페24고체향수유즈 이그나이트 솔리드퍼퓸 001제품선택=이그나이트 솔리드퍼퓸 - 30ml201210"/>
  </r>
  <r>
    <x v="215"/>
    <s v="금"/>
    <x v="11"/>
    <s v="카페24"/>
    <s v="유즈 솔리드퍼퓸 - 30ml (10차 재입고 완료향=이그나이트 001 SOLID PERFUME, 세트 선택=1개"/>
    <n v="1"/>
    <x v="0"/>
    <s v="이그나이트"/>
    <n v="201210"/>
    <m/>
    <n v="38000"/>
    <n v="35777"/>
    <n v="2888"/>
    <n v="34545.45454545454"/>
    <s v="카페24고체향수유즈 솔리드퍼퓸 - 30ml (10차 재입고 완료향=이그나이트 001 SOLID PERFUME, 세트 선택=1개201210"/>
  </r>
  <r>
    <x v="215"/>
    <s v="금"/>
    <x v="11"/>
    <s v="카페24"/>
    <s v="유즈 솔리드퍼퓸 - 30ml (10차 재입고 완료향=이그나이트 001 SOLID PERFUME, 세트 선택=best"/>
    <n v="1"/>
    <x v="0"/>
    <s v="이그나이트 2set"/>
    <n v="201210"/>
    <m/>
    <n v="58800"/>
    <n v="55360.2"/>
    <n v="5776"/>
    <n v="53454.54545454545"/>
    <s v="카페24고체향수유즈 솔리드퍼퓸 - 30ml (10차 재입고 완료향=이그나이트 001 SOLID PERFUME, 세트 선택=best201210"/>
  </r>
  <r>
    <x v="215"/>
    <s v="금"/>
    <x v="11"/>
    <s v="카페24"/>
    <s v="유즈 솔리드퍼퓸 - 30ml (10차 재입고 완료향=스테이포에버 002 SOLID PERFUME, 세트 선택=1개"/>
    <n v="9"/>
    <x v="0"/>
    <s v="스테이포에버"/>
    <n v="201210"/>
    <m/>
    <n v="342000"/>
    <n v="321993"/>
    <n v="25047"/>
    <n v="310909.0909090909"/>
    <s v="카페24고체향수유즈 솔리드퍼퓸 - 30ml (10차 재입고 완료향=스테이포에버 002 SOLID PERFUME, 세트 선택=1개201210"/>
  </r>
  <r>
    <x v="215"/>
    <s v="금"/>
    <x v="11"/>
    <s v="카페24"/>
    <s v="유즈 솔리드퍼퓸 - 30ml (10차 재입고 완료향=스테이포에버 002 SOLID PERFUME, 세트 선택=best"/>
    <n v="4"/>
    <x v="0"/>
    <s v="스테이포에버 2set"/>
    <n v="201210"/>
    <m/>
    <n v="235200"/>
    <n v="221440.8"/>
    <n v="22264"/>
    <n v="213818.1818181818"/>
    <s v="카페24고체향수유즈 솔리드퍼퓸 - 30ml (10차 재입고 완료향=스테이포에버 002 SOLID PERFUME, 세트 선택=best201210"/>
  </r>
  <r>
    <x v="215"/>
    <s v="금"/>
    <x v="11"/>
    <s v="카페24"/>
    <s v="유즈 솔리드퍼퓸 - 30ml (10차 재입고 완료향=커플세트"/>
    <n v="4"/>
    <x v="0"/>
    <s v="이그나이트 + 스테이포에버"/>
    <n v="201210"/>
    <m/>
    <n v="276000"/>
    <n v="259854"/>
    <n v="22684"/>
    <n v="250909.0909090909"/>
    <s v="카페24고체향수유즈 솔리드퍼퓸 - 30ml (10차 재입고 완료향=커플세트201210"/>
  </r>
  <r>
    <x v="215"/>
    <s v="금"/>
    <x v="11"/>
    <s v="카페24"/>
    <s v="유즈 솔리드퍼퓸 - 30ml (10차 재입고 완료향=커플세트"/>
    <n v="2"/>
    <x v="0"/>
    <s v="이그나이트 + 스테이포에버"/>
    <n v="201210"/>
    <m/>
    <n v="138000"/>
    <n v="129927"/>
    <n v="11342"/>
    <n v="125454.5454545454"/>
    <s v="카페24고체향수유즈 솔리드퍼퓸 - 30ml (10차 재입고 완료향=커플세트201210"/>
  </r>
  <r>
    <x v="215"/>
    <s v="금"/>
    <x v="11"/>
    <s v="카페24"/>
    <s v="유즈 솔리드퍼퓸 - 30ml (10차 재입고 완료 )향=스테이포에버 002 SOLID PERFUME, 세트 선택=1개"/>
    <n v="4"/>
    <x v="0"/>
    <s v="스테이포에버"/>
    <n v="201210"/>
    <m/>
    <n v="152000"/>
    <n v="143108"/>
    <n v="11132"/>
    <n v="138181.8181818182"/>
    <s v="카페24고체향수유즈 솔리드퍼퓸 - 30ml (10차 재입고 완료 )향=스테이포에버 002 SOLID PERFUME, 세트 선택=1개201210"/>
  </r>
  <r>
    <x v="215"/>
    <s v="금"/>
    <x v="11"/>
    <s v="카페24"/>
    <s v="유즈 솔리드퍼퓸 - 30ml (10차 재입고 완료 )향=스테이포에버 002 SOLID PERFUME, 세트 선택=best 2개 (28% 할인)"/>
    <n v="2"/>
    <x v="0"/>
    <s v="스테이포에버 2set"/>
    <n v="201210"/>
    <m/>
    <n v="117600"/>
    <n v="110720.4"/>
    <n v="11132"/>
    <n v="106909.0909090909"/>
    <s v="카페24고체향수유즈 솔리드퍼퓸 - 30ml (10차 재입고 완료 )향=스테이포에버 002 SOLID PERFUME, 세트 선택=best 2개 (28% 할인)201210"/>
  </r>
  <r>
    <x v="215"/>
    <s v="금"/>
    <x v="11"/>
    <s v="카페24"/>
    <s v="유즈 솔리드퍼퓸 - 30ml (10차 재입고 완료 )향=커플세트(이그나이트 + 스테이포에버), 세트 선택=1 SET"/>
    <n v="5"/>
    <x v="0"/>
    <s v="이그나이트 + 스테이포에버"/>
    <n v="201210"/>
    <m/>
    <n v="345000"/>
    <n v="324817.5"/>
    <n v="28355"/>
    <n v="313636.3636363636"/>
    <s v="카페24고체향수유즈 솔리드퍼퓸 - 30ml (10차 재입고 완료 )향=커플세트(이그나이트 + 스테이포에버), 세트 선택=1 SET201210"/>
  </r>
  <r>
    <x v="215"/>
    <s v="금"/>
    <x v="11"/>
    <s v="카페24"/>
    <s v="유즈 솔리드퍼퓸 - 30ml (10차 재입고 완료)향=커플세트"/>
    <n v="1"/>
    <x v="0"/>
    <s v="이그나이트 + 스테이포에버"/>
    <n v="201210"/>
    <m/>
    <n v="69000"/>
    <n v="64963.5"/>
    <n v="5671"/>
    <n v="62727.27272727272"/>
    <s v="카페24고체향수유즈 솔리드퍼퓸 - 30ml (10차 재입고 완료)향=커플세트201210"/>
  </r>
  <r>
    <x v="215"/>
    <s v="금"/>
    <x v="11"/>
    <s v="카페24"/>
    <s v="유즈 스테이포에버 솔리드퍼퓸 002 (10차 재입고 완료제품선택=스테이포에버 1개"/>
    <n v="141"/>
    <x v="0"/>
    <s v="스테이포에버"/>
    <n v="201210"/>
    <m/>
    <n v="5358000"/>
    <n v="5044557"/>
    <n v="392403"/>
    <n v="4870909.090909091"/>
    <s v="카페24고체향수유즈 스테이포에버 솔리드퍼퓸 002 (10차 재입고 완료제품선택=스테이포에버 1개201210"/>
  </r>
  <r>
    <x v="215"/>
    <s v="금"/>
    <x v="11"/>
    <s v="카페24"/>
    <s v="유즈 스테이포에버 솔리드퍼퓸 002 (10차 재입고 완료제품선택=best"/>
    <n v="76"/>
    <x v="0"/>
    <s v="스테이포에버 2set"/>
    <n v="201210"/>
    <m/>
    <n v="4468800"/>
    <n v="4207375.2"/>
    <n v="423016"/>
    <n v="4062545.454545454"/>
    <s v="카페24고체향수유즈 스테이포에버 솔리드퍼퓸 002 (10차 재입고 완료제품선택=best201210"/>
  </r>
  <r>
    <x v="215"/>
    <s v="금"/>
    <x v="11"/>
    <s v="카페24"/>
    <s v="유즈 스테이포에버 솔리드퍼퓸 002 (10차 재입고 완료제품선택=커플추천"/>
    <n v="11"/>
    <x v="0"/>
    <s v="이그나이트 + 스테이포에버"/>
    <n v="201210"/>
    <m/>
    <n v="759000"/>
    <n v="714598.5"/>
    <n v="62381"/>
    <n v="690000"/>
    <s v="카페24고체향수유즈 스테이포에버 솔리드퍼퓸 002 (10차 재입고 완료제품선택=커플추천201210"/>
  </r>
  <r>
    <x v="215"/>
    <s v="금"/>
    <x v="11"/>
    <s v="카페24"/>
    <s v="유즈 스테이포에버 솔리드퍼퓸 002 (10차 재입고 완료쇼핑백=선물용 쇼핑백"/>
    <n v="4"/>
    <x v="0"/>
    <s v="쇼핑백"/>
    <n v="201210"/>
    <m/>
    <n v="8000"/>
    <n v="7532"/>
    <n v="4840"/>
    <n v="7272.727272727272"/>
    <s v="카페24고체향수유즈 스테이포에버 솔리드퍼퓸 002 (10차 재입고 완료쇼핑백=선물용 쇼핑백201210"/>
  </r>
  <r>
    <x v="215"/>
    <s v="금"/>
    <x v="11"/>
    <s v="카페24"/>
    <s v="유즈 스테이포에버 솔리드퍼퓸 002 (10차 재입고 완료)제품선택=스테이포에버 1개"/>
    <n v="264"/>
    <x v="0"/>
    <s v="스테이포에버"/>
    <n v="201210"/>
    <m/>
    <n v="10032000"/>
    <n v="9445128"/>
    <n v="734712"/>
    <n v="9120000"/>
    <s v="카페24고체향수유즈 스테이포에버 솔리드퍼퓸 002 (10차 재입고 완료)제품선택=스테이포에버 1개201210"/>
  </r>
  <r>
    <x v="215"/>
    <s v="금"/>
    <x v="11"/>
    <s v="카페24"/>
    <s v="유즈 스테이포에버 솔리드퍼퓸 002 (10차 재입고 완료)제품선택=best스테이포에버 2개[28% 할인]"/>
    <n v="115"/>
    <x v="0"/>
    <s v="스테이포에버 2set"/>
    <n v="201210"/>
    <m/>
    <n v="6762000"/>
    <n v="6366423"/>
    <n v="640090"/>
    <n v="6147272.727272727"/>
    <s v="카페24고체향수유즈 스테이포에버 솔리드퍼퓸 002 (10차 재입고 완료)제품선택=best스테이포에버 2개[28% 할인]201210"/>
  </r>
  <r>
    <x v="215"/>
    <s v="금"/>
    <x v="11"/>
    <s v="카페24"/>
    <s v="유즈 스테이포에버 솔리드퍼퓸 002 (10차 재입고 완료)제품선택=커플추천스테이포에버 + 이그나이트 세트"/>
    <n v="21"/>
    <x v="0"/>
    <s v="이그나이트 + 스테이포에버"/>
    <n v="201210"/>
    <m/>
    <n v="0"/>
    <n v="0"/>
    <n v="119091"/>
    <n v="0"/>
    <s v="카페24고체향수유즈 스테이포에버 솔리드퍼퓸 002 (10차 재입고 완료)제품선택=커플추천스테이포에버 + 이그나이트 세트201210"/>
  </r>
  <r>
    <x v="215"/>
    <s v="금"/>
    <x v="11"/>
    <s v="카페24"/>
    <s v="유즈 스테이포에버 솔리드퍼퓸 002 (10차 재입고 완료)쇼핑백=선물용 쇼핑백"/>
    <n v="13"/>
    <x v="0"/>
    <s v="쇼핑백"/>
    <n v="201210"/>
    <m/>
    <n v="26000"/>
    <n v="24479"/>
    <n v="15730"/>
    <n v="23636.36363636364"/>
    <s v="카페24고체향수유즈 스테이포에버 솔리드퍼퓸 002 (10차 재입고 완료)쇼핑백=선물용 쇼핑백201210"/>
  </r>
  <r>
    <x v="215"/>
    <s v="금"/>
    <x v="11"/>
    <s v="카페24"/>
    <s v="유즈 이그나이트 솔리드퍼퓸 001제품선택=이그나이트 솔리드퍼퓸 - 30ml"/>
    <n v="6"/>
    <x v="0"/>
    <s v="이그나이트"/>
    <n v="201210"/>
    <m/>
    <n v="228000"/>
    <n v="214662"/>
    <n v="17328"/>
    <n v="207272.7272727273"/>
    <s v="카페24고체향수유즈 이그나이트 솔리드퍼퓸 001제품선택=이그나이트 솔리드퍼퓸 - 30ml201210"/>
  </r>
  <r>
    <x v="215"/>
    <s v="금"/>
    <x v="11"/>
    <s v="카페24"/>
    <s v="유즈 이그나이트 솔리드퍼퓸 001제품선택=이그나이트 2개 세트"/>
    <n v="2"/>
    <x v="0"/>
    <s v="이그나이트 2set"/>
    <n v="201210"/>
    <m/>
    <n v="117600"/>
    <n v="110720.4"/>
    <n v="11552"/>
    <n v="106909.0909090909"/>
    <s v="카페24고체향수유즈 이그나이트 솔리드퍼퓸 001제품선택=이그나이트 2개 세트201210"/>
  </r>
  <r>
    <x v="216"/>
    <s v="토"/>
    <x v="11"/>
    <s v="카페24"/>
    <s v="유즈 솔리드퍼퓸 - 30ml (10차 재입고 완료향=스테이포에버 002 SOLID PERFUME, 세트 선택=1개"/>
    <n v="7"/>
    <x v="0"/>
    <s v="스테이포에버"/>
    <n v="201210"/>
    <m/>
    <n v="266000"/>
    <n v="250439"/>
    <n v="19481"/>
    <n v="241818.1818181818"/>
    <s v="카페24고체향수유즈 솔리드퍼퓸 - 30ml (10차 재입고 완료향=스테이포에버 002 SOLID PERFUME, 세트 선택=1개201210"/>
  </r>
  <r>
    <x v="216"/>
    <s v="토"/>
    <x v="11"/>
    <s v="카페24"/>
    <s v="유즈 솔리드퍼퓸 - 30ml (10차 재입고 완료향=스테이포에버 002 SOLID PERFUME, 세트 선택=best"/>
    <n v="5"/>
    <x v="0"/>
    <s v="스테이포에버 2set"/>
    <n v="201210"/>
    <m/>
    <n v="294000"/>
    <n v="276801"/>
    <n v="27830"/>
    <n v="267272.7272727272"/>
    <s v="카페24고체향수유즈 솔리드퍼퓸 - 30ml (10차 재입고 완료향=스테이포에버 002 SOLID PERFUME, 세트 선택=best201210"/>
  </r>
  <r>
    <x v="216"/>
    <s v="토"/>
    <x v="11"/>
    <s v="카페24"/>
    <s v="유즈 솔리드퍼퓸 - 30ml (10차 재입고 완료향=커플세트"/>
    <n v="7"/>
    <x v="0"/>
    <s v="이그나이트 + 스테이포에버"/>
    <n v="201210"/>
    <m/>
    <n v="483000"/>
    <n v="454744.5"/>
    <n v="39697"/>
    <n v="439090.9090909091"/>
    <s v="카페24고체향수유즈 솔리드퍼퓸 - 30ml (10차 재입고 완료향=커플세트201210"/>
  </r>
  <r>
    <x v="216"/>
    <s v="토"/>
    <x v="11"/>
    <s v="카페24"/>
    <s v="유즈 솔리드퍼퓸 - 30ml (10차 재입고 완료 )향=스테이포에버 002 SOLID PERFUME, 세트 선택=1개"/>
    <n v="11"/>
    <x v="0"/>
    <s v="스테이포에버"/>
    <n v="201210"/>
    <m/>
    <n v="418000"/>
    <n v="393547"/>
    <n v="30613"/>
    <n v="379999.9999999999"/>
    <s v="카페24고체향수유즈 솔리드퍼퓸 - 30ml (10차 재입고 완료 )향=스테이포에버 002 SOLID PERFUME, 세트 선택=1개201210"/>
  </r>
  <r>
    <x v="216"/>
    <s v="토"/>
    <x v="11"/>
    <s v="카페24"/>
    <s v="유즈 솔리드퍼퓸 - 30ml (10차 재입고 완료 )향=스테이포에버 002 SOLID PERFUME, 세트 선택=best 2개 (28% 할인)"/>
    <n v="2"/>
    <x v="0"/>
    <s v="스테이포에버 2set"/>
    <n v="201210"/>
    <m/>
    <n v="117600"/>
    <n v="110720.4"/>
    <n v="11132"/>
    <n v="106909.0909090909"/>
    <s v="카페24고체향수유즈 솔리드퍼퓸 - 30ml (10차 재입고 완료 )향=스테이포에버 002 SOLID PERFUME, 세트 선택=best 2개 (28% 할인)201210"/>
  </r>
  <r>
    <x v="216"/>
    <s v="토"/>
    <x v="11"/>
    <s v="카페24"/>
    <s v="유즈 솔리드퍼퓸 - 30ml (10차 재입고 완료 )향=커플세트(이그나이트 + 스테이포에버), 세트 선택=1 SET"/>
    <n v="4"/>
    <x v="0"/>
    <s v="이그나이트 + 스테이포에버"/>
    <n v="201210"/>
    <m/>
    <n v="276000"/>
    <n v="259854"/>
    <n v="22684"/>
    <n v="250909.0909090909"/>
    <s v="카페24고체향수유즈 솔리드퍼퓸 - 30ml (10차 재입고 완료 )향=커플세트(이그나이트 + 스테이포에버), 세트 선택=1 SET201210"/>
  </r>
  <r>
    <x v="216"/>
    <s v="토"/>
    <x v="11"/>
    <s v="카페24"/>
    <s v="유즈 스테이포에버 솔리드퍼퓸 002 (10차 재입고 완료제품선택=스테이포에버 1개"/>
    <n v="179"/>
    <x v="0"/>
    <s v="스테이포에버"/>
    <n v="201210"/>
    <m/>
    <n v="6802000"/>
    <n v="6404083"/>
    <n v="498157"/>
    <n v="6183636.363636363"/>
    <s v="카페24고체향수유즈 스테이포에버 솔리드퍼퓸 002 (10차 재입고 완료제품선택=스테이포에버 1개201210"/>
  </r>
  <r>
    <x v="216"/>
    <s v="토"/>
    <x v="11"/>
    <s v="카페24"/>
    <s v="유즈 스테이포에버 솔리드퍼퓸 002 (10차 재입고 완료제품선택=best"/>
    <n v="93"/>
    <x v="0"/>
    <s v="스테이포에버 2set"/>
    <n v="201210"/>
    <m/>
    <n v="5468400"/>
    <n v="5148498.6"/>
    <n v="517638"/>
    <n v="4971272.727272727"/>
    <s v="카페24고체향수유즈 스테이포에버 솔리드퍼퓸 002 (10차 재입고 완료제품선택=best201210"/>
  </r>
  <r>
    <x v="216"/>
    <s v="토"/>
    <x v="11"/>
    <s v="카페24"/>
    <s v="유즈 스테이포에버 솔리드퍼퓸 002 (10차 재입고 완료제품선택=커플추천"/>
    <n v="7"/>
    <x v="0"/>
    <s v="이그나이트 + 스테이포에버"/>
    <n v="201210"/>
    <m/>
    <n v="483000"/>
    <n v="454744.5"/>
    <n v="39697"/>
    <n v="439090.9090909091"/>
    <s v="카페24고체향수유즈 스테이포에버 솔리드퍼퓸 002 (10차 재입고 완료제품선택=커플추천201210"/>
  </r>
  <r>
    <x v="216"/>
    <s v="토"/>
    <x v="11"/>
    <s v="카페24"/>
    <s v="유즈 스테이포에버 솔리드퍼퓸 002 (10차 재입고 완료쇼핑백=선물용 쇼핑백"/>
    <n v="4"/>
    <x v="0"/>
    <s v="쇼핑백"/>
    <n v="201210"/>
    <m/>
    <n v="8000"/>
    <n v="7532"/>
    <n v="4840"/>
    <n v="7272.727272727272"/>
    <s v="카페24고체향수유즈 스테이포에버 솔리드퍼퓸 002 (10차 재입고 완료쇼핑백=선물용 쇼핑백201210"/>
  </r>
  <r>
    <x v="216"/>
    <s v="토"/>
    <x v="11"/>
    <s v="카페24"/>
    <s v="유즈 스테이포에버 솔리드퍼퓸 002 (10차 재입고 완료)제품선택=스테이포에버 1개"/>
    <n v="317"/>
    <x v="0"/>
    <s v="스테이포에버"/>
    <n v="201210"/>
    <m/>
    <n v="12046000"/>
    <n v="11341309"/>
    <n v="882211"/>
    <n v="10950909.09090909"/>
    <s v="카페24고체향수유즈 스테이포에버 솔리드퍼퓸 002 (10차 재입고 완료)제품선택=스테이포에버 1개201210"/>
  </r>
  <r>
    <x v="216"/>
    <s v="토"/>
    <x v="11"/>
    <s v="카페24"/>
    <s v="유즈 스테이포에버 솔리드퍼퓸 002 (10차 재입고 완료)제품선택=best스테이포에버 2개[28% 할인]"/>
    <n v="112"/>
    <x v="0"/>
    <s v="스테이포에버 2set"/>
    <n v="201210"/>
    <m/>
    <n v="6585600"/>
    <n v="6200342.4"/>
    <n v="623392"/>
    <n v="5986909.090909091"/>
    <s v="카페24고체향수유즈 스테이포에버 솔리드퍼퓸 002 (10차 재입고 완료)제품선택=best스테이포에버 2개[28% 할인]201210"/>
  </r>
  <r>
    <x v="216"/>
    <s v="토"/>
    <x v="11"/>
    <s v="카페24"/>
    <s v="유즈 스테이포에버 솔리드퍼퓸 002 (10차 재입고 완료)제품선택=커플추천스테이포에버 + 이그나이트 세트"/>
    <n v="19"/>
    <x v="0"/>
    <s v="이그나이트 + 스테이포에버"/>
    <n v="201210"/>
    <m/>
    <n v="0"/>
    <n v="0"/>
    <n v="107749"/>
    <n v="0"/>
    <s v="카페24고체향수유즈 스테이포에버 솔리드퍼퓸 002 (10차 재입고 완료)제품선택=커플추천스테이포에버 + 이그나이트 세트201210"/>
  </r>
  <r>
    <x v="216"/>
    <s v="토"/>
    <x v="11"/>
    <s v="카페24"/>
    <s v="유즈 스테이포에버 솔리드퍼퓸 002 (10차 재입고 완료)쇼핑백=선물용 쇼핑백"/>
    <n v="9"/>
    <x v="0"/>
    <s v="쇼핑백"/>
    <n v="201210"/>
    <m/>
    <n v="18000"/>
    <n v="16947"/>
    <n v="10890"/>
    <n v="16363.63636363636"/>
    <s v="카페24고체향수유즈 스테이포에버 솔리드퍼퓸 002 (10차 재입고 완료)쇼핑백=선물용 쇼핑백201210"/>
  </r>
  <r>
    <x v="216"/>
    <s v="토"/>
    <x v="11"/>
    <s v="카페24"/>
    <s v="유즈 이그나이트 솔리드퍼퓸 001제품선택=이그나이트 솔리드퍼퓸 - 30ml"/>
    <n v="6"/>
    <x v="0"/>
    <s v="이그나이트"/>
    <n v="201210"/>
    <m/>
    <n v="228000"/>
    <n v="214662"/>
    <n v="17328"/>
    <n v="207272.7272727273"/>
    <s v="카페24고체향수유즈 이그나이트 솔리드퍼퓸 001제품선택=이그나이트 솔리드퍼퓸 - 30ml201210"/>
  </r>
  <r>
    <x v="217"/>
    <s v="일"/>
    <x v="11"/>
    <s v="카페24"/>
    <s v="SHOPPING BAG"/>
    <n v="3"/>
    <x v="2"/>
    <s v="쇼핑백"/>
    <n v="201210"/>
    <m/>
    <n v="6000"/>
    <n v="5649"/>
    <n v="3630"/>
    <n v="5454.545454545454"/>
    <s v="카페24쇼핑백SHOPPING BAG201210"/>
  </r>
  <r>
    <x v="217"/>
    <s v="일"/>
    <x v="11"/>
    <s v="카페24"/>
    <s v="유즈 솔리드퍼퓸 - 30ml (10차 재입고 완료향=이그나이트 001 SOLID PERFUME, 세트 선택=1개"/>
    <n v="1"/>
    <x v="0"/>
    <s v="이그나이트"/>
    <n v="201210"/>
    <m/>
    <n v="38000"/>
    <n v="35777"/>
    <n v="2888"/>
    <n v="34545.45454545454"/>
    <s v="카페24고체향수유즈 솔리드퍼퓸 - 30ml (10차 재입고 완료향=이그나이트 001 SOLID PERFUME, 세트 선택=1개201210"/>
  </r>
  <r>
    <x v="217"/>
    <s v="일"/>
    <x v="11"/>
    <s v="카페24"/>
    <s v="유즈 솔리드퍼퓸 - 30ml (10차 재입고 완료향=이그나이트 001 SOLID PERFUME, 세트 선택=best"/>
    <n v="1"/>
    <x v="0"/>
    <s v="이그나이트 2set"/>
    <n v="201210"/>
    <m/>
    <n v="58800"/>
    <n v="55360.2"/>
    <n v="5776"/>
    <n v="53454.54545454545"/>
    <s v="카페24고체향수유즈 솔리드퍼퓸 - 30ml (10차 재입고 완료향=이그나이트 001 SOLID PERFUME, 세트 선택=best201210"/>
  </r>
  <r>
    <x v="217"/>
    <s v="일"/>
    <x v="11"/>
    <s v="카페24"/>
    <s v="유즈 솔리드퍼퓸 - 30ml (10차 재입고 완료향=스테이포에버 002 SOLID PERFUME, 세트 선택=1개"/>
    <n v="6"/>
    <x v="0"/>
    <s v="스테이포에버"/>
    <n v="201210"/>
    <m/>
    <n v="228000"/>
    <n v="214662"/>
    <n v="16698"/>
    <n v="207272.7272727273"/>
    <s v="카페24고체향수유즈 솔리드퍼퓸 - 30ml (10차 재입고 완료향=스테이포에버 002 SOLID PERFUME, 세트 선택=1개201210"/>
  </r>
  <r>
    <x v="217"/>
    <s v="일"/>
    <x v="11"/>
    <s v="카페24"/>
    <s v="유즈 솔리드퍼퓸 - 30ml (10차 재입고 완료향=스테이포에버 002 SOLID PERFUME, 세트 선택=best"/>
    <n v="2"/>
    <x v="0"/>
    <s v="스테이포에버 2set"/>
    <n v="201210"/>
    <m/>
    <n v="117600"/>
    <n v="110720.4"/>
    <n v="11132"/>
    <n v="106909.0909090909"/>
    <s v="카페24고체향수유즈 솔리드퍼퓸 - 30ml (10차 재입고 완료향=스테이포에버 002 SOLID PERFUME, 세트 선택=best201210"/>
  </r>
  <r>
    <x v="217"/>
    <s v="일"/>
    <x v="11"/>
    <s v="카페24"/>
    <s v="유즈 솔리드퍼퓸 - 30ml (10차 재입고 완료향=커플세트"/>
    <n v="3"/>
    <x v="0"/>
    <s v="이그나이트 + 스테이포에버"/>
    <n v="201210"/>
    <m/>
    <n v="207000"/>
    <n v="194890.5"/>
    <n v="17013"/>
    <n v="188181.8181818182"/>
    <s v="카페24고체향수유즈 솔리드퍼퓸 - 30ml (10차 재입고 완료향=커플세트201210"/>
  </r>
  <r>
    <x v="217"/>
    <s v="일"/>
    <x v="11"/>
    <s v="카페24"/>
    <s v="유즈 솔리드퍼퓸 - 30ml (10차 재입고 완료향=커플세트"/>
    <n v="2"/>
    <x v="0"/>
    <s v="이그나이트 + 스테이포에버"/>
    <n v="201210"/>
    <m/>
    <n v="138000"/>
    <n v="129927"/>
    <n v="11342"/>
    <n v="125454.5454545454"/>
    <s v="카페24고체향수유즈 솔리드퍼퓸 - 30ml (10차 재입고 완료향=커플세트201210"/>
  </r>
  <r>
    <x v="217"/>
    <s v="일"/>
    <x v="11"/>
    <s v="카페24"/>
    <s v="유즈 솔리드퍼퓸 - 30ml (10차 재입고 완료 )향=이그나이트 001 SOLID PERFUME, 세트 선택=1개"/>
    <n v="1"/>
    <x v="0"/>
    <s v="이그나이트"/>
    <n v="201210"/>
    <m/>
    <n v="38000"/>
    <n v="35777"/>
    <n v="2888"/>
    <n v="34545.45454545454"/>
    <s v="카페24고체향수유즈 솔리드퍼퓸 - 30ml (10차 재입고 완료 )향=이그나이트 001 SOLID PERFUME, 세트 선택=1개201210"/>
  </r>
  <r>
    <x v="217"/>
    <s v="일"/>
    <x v="11"/>
    <s v="카페24"/>
    <s v="유즈 솔리드퍼퓸 - 30ml (10차 재입고 완료 )향=스테이포에버 002 SOLID PERFUME, 세트 선택=1개"/>
    <n v="8"/>
    <x v="0"/>
    <s v="스테이포에버"/>
    <n v="201210"/>
    <m/>
    <n v="304000"/>
    <n v="286216"/>
    <n v="22264"/>
    <n v="276363.6363636364"/>
    <s v="카페24고체향수유즈 솔리드퍼퓸 - 30ml (10차 재입고 완료 )향=스테이포에버 002 SOLID PERFUME, 세트 선택=1개201210"/>
  </r>
  <r>
    <x v="217"/>
    <s v="일"/>
    <x v="11"/>
    <s v="카페24"/>
    <s v="유즈 솔리드퍼퓸 - 30ml (10차 재입고 완료 )향=스테이포에버 002 SOLID PERFUME, 세트 선택=best 2개 (28% 할인)"/>
    <n v="1"/>
    <x v="0"/>
    <s v="스테이포에버 2set"/>
    <n v="201210"/>
    <m/>
    <n v="58800"/>
    <n v="55360.2"/>
    <n v="5566"/>
    <n v="53454.54545454545"/>
    <s v="카페24고체향수유즈 솔리드퍼퓸 - 30ml (10차 재입고 완료 )향=스테이포에버 002 SOLID PERFUME, 세트 선택=best 2개 (28% 할인)201210"/>
  </r>
  <r>
    <x v="217"/>
    <s v="일"/>
    <x v="11"/>
    <s v="카페24"/>
    <s v="유즈 솔리드퍼퓸 - 30ml (10차 재입고 완료 )향=커플세트(이그나이트 + 스테이포에버), 세트 선택=1 SET"/>
    <n v="7"/>
    <x v="0"/>
    <s v="이그나이트 + 스테이포에버"/>
    <n v="201210"/>
    <m/>
    <n v="483000"/>
    <n v="454744.5"/>
    <n v="39697"/>
    <n v="439090.9090909091"/>
    <s v="카페24고체향수유즈 솔리드퍼퓸 - 30ml (10차 재입고 완료 )향=커플세트(이그나이트 + 스테이포에버), 세트 선택=1 SET201210"/>
  </r>
  <r>
    <x v="217"/>
    <s v="일"/>
    <x v="11"/>
    <s v="카페24"/>
    <s v="유즈 스테이포에버 솔리드퍼퓸 002 (10차 재입고 완료제품선택=스테이포에버 1개"/>
    <n v="143"/>
    <x v="0"/>
    <s v="스테이포에버"/>
    <n v="201210"/>
    <m/>
    <n v="5434000"/>
    <n v="5116111"/>
    <n v="397969"/>
    <n v="4940000"/>
    <s v="카페24고체향수유즈 스테이포에버 솔리드퍼퓸 002 (10차 재입고 완료제품선택=스테이포에버 1개201210"/>
  </r>
  <r>
    <x v="217"/>
    <s v="일"/>
    <x v="11"/>
    <s v="카페24"/>
    <s v="유즈 스테이포에버 솔리드퍼퓸 002 (10차 재입고 완료제품선택=best"/>
    <n v="114"/>
    <x v="0"/>
    <s v="스테이포에버 2set"/>
    <n v="201210"/>
    <m/>
    <n v="6703200"/>
    <n v="6311062.8"/>
    <n v="634524"/>
    <n v="6093818.181818182"/>
    <s v="카페24고체향수유즈 스테이포에버 솔리드퍼퓸 002 (10차 재입고 완료제품선택=best201210"/>
  </r>
  <r>
    <x v="217"/>
    <s v="일"/>
    <x v="11"/>
    <s v="카페24"/>
    <s v="유즈 스테이포에버 솔리드퍼퓸 002 (10차 재입고 완료제품선택=커플추천"/>
    <n v="10"/>
    <x v="0"/>
    <s v="이그나이트 + 스테이포에버"/>
    <n v="201210"/>
    <m/>
    <n v="690000"/>
    <n v="649635"/>
    <n v="56710"/>
    <n v="627272.7272727272"/>
    <s v="카페24고체향수유즈 스테이포에버 솔리드퍼퓸 002 (10차 재입고 완료제품선택=커플추천201210"/>
  </r>
  <r>
    <x v="217"/>
    <s v="일"/>
    <x v="11"/>
    <s v="카페24"/>
    <s v="유즈 스테이포에버 솔리드퍼퓸 002 (10차 재입고 완료쇼핑백=선물용 쇼핑백"/>
    <n v="3"/>
    <x v="0"/>
    <s v="쇼핑백"/>
    <n v="201210"/>
    <m/>
    <n v="6000"/>
    <n v="5649"/>
    <n v="3630"/>
    <n v="5454.545454545454"/>
    <s v="카페24고체향수유즈 스테이포에버 솔리드퍼퓸 002 (10차 재입고 완료쇼핑백=선물용 쇼핑백201210"/>
  </r>
  <r>
    <x v="217"/>
    <s v="일"/>
    <x v="11"/>
    <s v="카페24"/>
    <s v="유즈 스테이포에버 솔리드퍼퓸 002 (10차 재입고 완료)제품선택=스테이포에버 1개"/>
    <n v="226"/>
    <x v="0"/>
    <s v="스테이포에버"/>
    <n v="201210"/>
    <m/>
    <n v="8588000"/>
    <n v="8085602"/>
    <n v="628958"/>
    <n v="7807272.727272727"/>
    <s v="카페24고체향수유즈 스테이포에버 솔리드퍼퓸 002 (10차 재입고 완료)제품선택=스테이포에버 1개201210"/>
  </r>
  <r>
    <x v="217"/>
    <s v="일"/>
    <x v="11"/>
    <s v="카페24"/>
    <s v="유즈 스테이포에버 솔리드퍼퓸 002 (10차 재입고 완료)제품선택=best스테이포에버 2개[28% 할인]"/>
    <n v="117"/>
    <x v="0"/>
    <s v="스테이포에버 2set"/>
    <n v="201210"/>
    <m/>
    <n v="6879600"/>
    <n v="6477143.4"/>
    <n v="651222"/>
    <n v="6254181.818181817"/>
    <s v="카페24고체향수유즈 스테이포에버 솔리드퍼퓸 002 (10차 재입고 완료)제품선택=best스테이포에버 2개[28% 할인]201210"/>
  </r>
  <r>
    <x v="217"/>
    <s v="일"/>
    <x v="11"/>
    <s v="카페24"/>
    <s v="유즈 스테이포에버 솔리드퍼퓸 002 (10차 재입고 완료)제품선택=커플추천스테이포에버 + 이그나이트 세트"/>
    <n v="21"/>
    <x v="0"/>
    <s v="이그나이트 + 스테이포에버"/>
    <n v="201210"/>
    <m/>
    <n v="0"/>
    <n v="0"/>
    <n v="119091"/>
    <n v="0"/>
    <s v="카페24고체향수유즈 스테이포에버 솔리드퍼퓸 002 (10차 재입고 완료)제품선택=커플추천스테이포에버 + 이그나이트 세트201210"/>
  </r>
  <r>
    <x v="217"/>
    <s v="일"/>
    <x v="11"/>
    <s v="카페24"/>
    <s v="유즈 스테이포에버 솔리드퍼퓸 002 (10차 재입고 완료)쇼핑백=선물용 쇼핑백"/>
    <n v="15"/>
    <x v="0"/>
    <s v="쇼핑백"/>
    <n v="201210"/>
    <m/>
    <n v="30000"/>
    <n v="28245"/>
    <n v="18150"/>
    <n v="27272.72727272727"/>
    <s v="카페24고체향수유즈 스테이포에버 솔리드퍼퓸 002 (10차 재입고 완료)쇼핑백=선물용 쇼핑백201210"/>
  </r>
  <r>
    <x v="217"/>
    <s v="일"/>
    <x v="11"/>
    <s v="카페24"/>
    <s v="유즈 이그나이트 솔리드퍼퓸 001제품선택=이그나이트 솔리드퍼퓸 - 30ml"/>
    <n v="3"/>
    <x v="0"/>
    <s v="이그나이트"/>
    <n v="201210"/>
    <m/>
    <n v="114000"/>
    <n v="107331"/>
    <n v="8664"/>
    <n v="103636.3636363636"/>
    <s v="카페24고체향수유즈 이그나이트 솔리드퍼퓸 001제품선택=이그나이트 솔리드퍼퓸 - 30ml201210"/>
  </r>
  <r>
    <x v="217"/>
    <s v="일"/>
    <x v="11"/>
    <s v="카페24"/>
    <s v="유즈 이그나이트 솔리드퍼퓸 001제품선택=이그나이트 2개 세트"/>
    <n v="1"/>
    <x v="0"/>
    <s v="이그나이트 2set"/>
    <n v="201210"/>
    <m/>
    <n v="58800"/>
    <n v="55360.2"/>
    <n v="5776"/>
    <n v="53454.54545454545"/>
    <s v="카페24고체향수유즈 이그나이트 솔리드퍼퓸 001제품선택=이그나이트 2개 세트201210"/>
  </r>
  <r>
    <x v="218"/>
    <s v="월"/>
    <x v="11"/>
    <s v="카페24"/>
    <s v="유즈 솔리드퍼퓸 - 30ml (10차 재입고 완료향=스테이포에버 002 SOLID PERFUME, 세트 선택=1개"/>
    <n v="2"/>
    <x v="0"/>
    <s v="스테이포에버"/>
    <n v="201210"/>
    <m/>
    <n v="76000"/>
    <n v="71554"/>
    <n v="5566"/>
    <n v="69090.90909090909"/>
    <s v="카페24고체향수유즈 솔리드퍼퓸 - 30ml (10차 재입고 완료향=스테이포에버 002 SOLID PERFUME, 세트 선택=1개201210"/>
  </r>
  <r>
    <x v="218"/>
    <s v="월"/>
    <x v="11"/>
    <s v="카페24"/>
    <s v="유즈 솔리드퍼퓸 - 30ml (10차 재입고 완료 )향=스테이포에버 002 SOLID PERFUME, 세트 선택=1개"/>
    <n v="1"/>
    <x v="0"/>
    <s v="스테이포에버"/>
    <n v="201210"/>
    <m/>
    <n v="38000"/>
    <n v="35777"/>
    <n v="2783"/>
    <n v="34545.45454545454"/>
    <s v="카페24고체향수유즈 솔리드퍼퓸 - 30ml (10차 재입고 완료 )향=스테이포에버 002 SOLID PERFUME, 세트 선택=1개201210"/>
  </r>
  <r>
    <x v="218"/>
    <s v="월"/>
    <x v="11"/>
    <s v="카페24"/>
    <s v="유즈 솔리드퍼퓸 - 30ml (10차 재입고 완료 )향=스테이포에버 002 SOLID PERFUME, 세트 선택=best 2개 (28% 할인)"/>
    <n v="1"/>
    <x v="0"/>
    <s v="스테이포에버 2set"/>
    <n v="201210"/>
    <m/>
    <n v="58800"/>
    <n v="55360.2"/>
    <n v="5566"/>
    <n v="53454.54545454545"/>
    <s v="카페24고체향수유즈 솔리드퍼퓸 - 30ml (10차 재입고 완료 )향=스테이포에버 002 SOLID PERFUME, 세트 선택=best 2개 (28% 할인)201210"/>
  </r>
  <r>
    <x v="218"/>
    <s v="월"/>
    <x v="11"/>
    <s v="카페24"/>
    <s v="유즈 솔리드퍼퓸 - 30ml (10차 재입고 완료)향=이그나이트 001 SOLID PERFUME, 세트 선택=1개"/>
    <n v="1"/>
    <x v="0"/>
    <s v="이그나이트"/>
    <n v="201210"/>
    <m/>
    <n v="38000"/>
    <n v="35777"/>
    <n v="2888"/>
    <n v="34545.45454545454"/>
    <s v="카페24고체향수유즈 솔리드퍼퓸 - 30ml (10차 재입고 완료)향=이그나이트 001 SOLID PERFUME, 세트 선택=1개201210"/>
  </r>
  <r>
    <x v="218"/>
    <s v="월"/>
    <x v="11"/>
    <s v="카페24"/>
    <s v="유즈 솔리드퍼퓸 - 30ml (10차 재입고 완료)향=이그나이트 001 SOLID PERFUME, 세트 선택=best"/>
    <n v="1"/>
    <x v="0"/>
    <s v="이그나이트 2set"/>
    <n v="201210"/>
    <m/>
    <n v="58800"/>
    <n v="55360.2"/>
    <n v="5776"/>
    <n v="53454.54545454545"/>
    <s v="카페24고체향수유즈 솔리드퍼퓸 - 30ml (10차 재입고 완료)향=이그나이트 001 SOLID PERFUME, 세트 선택=best201210"/>
  </r>
  <r>
    <x v="218"/>
    <s v="월"/>
    <x v="11"/>
    <s v="카페24"/>
    <s v="유즈 솔리드퍼퓸 - 30ml (10차 재입고 완료)향=스테이포에버 002 SOLID PERFUME, 세트 선택=1개"/>
    <n v="8"/>
    <x v="0"/>
    <s v="스테이포에버"/>
    <n v="201210"/>
    <m/>
    <n v="304000"/>
    <n v="286216"/>
    <n v="22264"/>
    <n v="276363.6363636364"/>
    <s v="카페24고체향수유즈 솔리드퍼퓸 - 30ml (10차 재입고 완료)향=스테이포에버 002 SOLID PERFUME, 세트 선택=1개201210"/>
  </r>
  <r>
    <x v="218"/>
    <s v="월"/>
    <x v="11"/>
    <s v="카페24"/>
    <s v="유즈 솔리드퍼퓸 - 30ml (10차 재입고 완료)향=스테이포에버 002 SOLID PERFUME, 세트 선택=best 2개 (28% 할인)"/>
    <n v="2"/>
    <x v="0"/>
    <s v="스테이포에버 2set"/>
    <n v="201210"/>
    <m/>
    <n v="117600"/>
    <n v="110720.4"/>
    <n v="11132"/>
    <n v="106909.0909090909"/>
    <s v="카페24고체향수유즈 솔리드퍼퓸 - 30ml (10차 재입고 완료)향=스테이포에버 002 SOLID PERFUME, 세트 선택=best 2개 (28% 할인)201210"/>
  </r>
  <r>
    <x v="218"/>
    <s v="월"/>
    <x v="11"/>
    <s v="카페24"/>
    <s v="유즈 솔리드퍼퓸 - 30ml (10차 재입고 완료)향=커플세트"/>
    <n v="6"/>
    <x v="0"/>
    <s v="이그나이트 + 스테이포에버"/>
    <n v="201210"/>
    <m/>
    <n v="414000"/>
    <n v="389781"/>
    <n v="34026"/>
    <n v="376363.6363636364"/>
    <s v="카페24고체향수유즈 솔리드퍼퓸 - 30ml (10차 재입고 완료)향=커플세트201210"/>
  </r>
  <r>
    <x v="218"/>
    <s v="월"/>
    <x v="11"/>
    <s v="카페24"/>
    <s v="유즈 솔리드퍼퓸 - 30ml (10차 재입고 완료)향=커플세트(이그나이트 + 스테이포에버), 세트 선택=1 SET"/>
    <n v="2"/>
    <x v="0"/>
    <s v="이그나이트 + 스테이포에버"/>
    <n v="201210"/>
    <m/>
    <n v="138000"/>
    <n v="129927"/>
    <n v="11342"/>
    <n v="125454.5454545454"/>
    <s v="카페24고체향수유즈 솔리드퍼퓸 - 30ml (10차 재입고 완료)향=커플세트(이그나이트 + 스테이포에버), 세트 선택=1 SET201210"/>
  </r>
  <r>
    <x v="218"/>
    <s v="월"/>
    <x v="11"/>
    <s v="카페24"/>
    <s v="유즈 스테이포에버 솔리드퍼퓸 002 (10차 재입고 완료제품선택=스테이포에버 1개"/>
    <n v="32"/>
    <x v="0"/>
    <s v="스테이포에버"/>
    <n v="201210"/>
    <m/>
    <n v="1216000"/>
    <n v="1144864"/>
    <n v="89056"/>
    <n v="1105454.545454545"/>
    <s v="카페24고체향수유즈 스테이포에버 솔리드퍼퓸 002 (10차 재입고 완료제품선택=스테이포에버 1개201210"/>
  </r>
  <r>
    <x v="218"/>
    <s v="월"/>
    <x v="11"/>
    <s v="카페24"/>
    <s v="유즈 스테이포에버 솔리드퍼퓸 002 (10차 재입고 완료제품선택=best"/>
    <n v="14"/>
    <x v="0"/>
    <s v="스테이포에버 2set"/>
    <n v="201210"/>
    <m/>
    <n v="823200"/>
    <n v="775042.8"/>
    <n v="77924"/>
    <n v="748363.6363636364"/>
    <s v="카페24고체향수유즈 스테이포에버 솔리드퍼퓸 002 (10차 재입고 완료제품선택=best201210"/>
  </r>
  <r>
    <x v="218"/>
    <s v="월"/>
    <x v="11"/>
    <s v="카페24"/>
    <s v="유즈 스테이포에버 솔리드퍼퓸 002 (10차 재입고 완료제품선택=커플추천"/>
    <n v="4"/>
    <x v="0"/>
    <s v="이그나이트 + 스테이포에버"/>
    <n v="201210"/>
    <m/>
    <n v="276000"/>
    <n v="259854"/>
    <n v="22684"/>
    <n v="250909.0909090909"/>
    <s v="카페24고체향수유즈 스테이포에버 솔리드퍼퓸 002 (10차 재입고 완료제품선택=커플추천201210"/>
  </r>
  <r>
    <x v="218"/>
    <s v="월"/>
    <x v="11"/>
    <s v="카페24"/>
    <s v="유즈 스테이포에버 솔리드퍼퓸 002 (10차 재입고 완료)제품선택=스테이포에버 1개"/>
    <n v="251"/>
    <x v="0"/>
    <s v="스테이포에버"/>
    <n v="201210"/>
    <m/>
    <n v="9538000"/>
    <n v="8980027"/>
    <n v="698533"/>
    <n v="8670909.09090909"/>
    <s v="카페24고체향수유즈 스테이포에버 솔리드퍼퓸 002 (10차 재입고 완료)제품선택=스테이포에버 1개201210"/>
  </r>
  <r>
    <x v="218"/>
    <s v="월"/>
    <x v="11"/>
    <s v="카페24"/>
    <s v="유즈 스테이포에버 솔리드퍼퓸 002 (10차 재입고 완료)제품선택=best"/>
    <n v="29"/>
    <x v="0"/>
    <s v="스테이포에버 2set"/>
    <n v="201210"/>
    <m/>
    <n v="1705200"/>
    <n v="1605445.8"/>
    <n v="161414"/>
    <n v="1550181.818181818"/>
    <s v="카페24고체향수유즈 스테이포에버 솔리드퍼퓸 002 (10차 재입고 완료)제품선택=best201210"/>
  </r>
  <r>
    <x v="218"/>
    <s v="월"/>
    <x v="11"/>
    <s v="카페24"/>
    <s v="유즈 스테이포에버 솔리드퍼퓸 002 (10차 재입고 완료)제품선택=best스테이포에버 2개[28% 할인]"/>
    <n v="63"/>
    <x v="0"/>
    <s v="스테이포에버 2set"/>
    <n v="201210"/>
    <m/>
    <n v="3704400"/>
    <n v="3487692.6"/>
    <n v="350658"/>
    <n v="3367636.363636363"/>
    <s v="카페24고체향수유즈 스테이포에버 솔리드퍼퓸 002 (10차 재입고 완료)제품선택=best스테이포에버 2개[28% 할인]201210"/>
  </r>
  <r>
    <x v="218"/>
    <s v="월"/>
    <x v="11"/>
    <s v="카페24"/>
    <s v="유즈 스테이포에버 솔리드퍼퓸 002 (10차 재입고 완료)제품선택=커플추천"/>
    <n v="6"/>
    <x v="0"/>
    <s v="이그나이트 + 스테이포에버"/>
    <n v="201210"/>
    <m/>
    <n v="352800"/>
    <n v="332161.2"/>
    <n v="34656"/>
    <n v="320727.2727272727"/>
    <s v="카페24고체향수유즈 스테이포에버 솔리드퍼퓸 002 (10차 재입고 완료)제품선택=커플추천201210"/>
  </r>
  <r>
    <x v="218"/>
    <s v="월"/>
    <x v="11"/>
    <s v="카페24"/>
    <s v="유즈 스테이포에버 솔리드퍼퓸 002 (10차 재입고 완료)제품선택=커플추천스테이포에버 + 이그나이트 세트"/>
    <n v="9"/>
    <x v="0"/>
    <s v="이그나이트 + 스테이포에버"/>
    <n v="201210"/>
    <m/>
    <n v="0"/>
    <n v="0"/>
    <n v="51039"/>
    <n v="0"/>
    <s v="카페24고체향수유즈 스테이포에버 솔리드퍼퓸 002 (10차 재입고 완료)제품선택=커플추천스테이포에버 + 이그나이트 세트201210"/>
  </r>
  <r>
    <x v="218"/>
    <s v="월"/>
    <x v="11"/>
    <s v="카페24"/>
    <s v="유즈 스테이포에버 솔리드퍼퓸 002 (10차 재입고 완료)쇼핑백=선물용 쇼핑백"/>
    <n v="14"/>
    <x v="0"/>
    <s v="쇼핑백"/>
    <n v="201210"/>
    <m/>
    <n v="28000"/>
    <n v="26362"/>
    <n v="16940"/>
    <n v="25454.54545454545"/>
    <s v="카페24고체향수유즈 스테이포에버 솔리드퍼퓸 002 (10차 재입고 완료)쇼핑백=선물용 쇼핑백201210"/>
  </r>
  <r>
    <x v="218"/>
    <s v="월"/>
    <x v="11"/>
    <s v="카페24"/>
    <s v="유즈 이그나이트 솔리드퍼퓸 001제품선택=이그나이트 솔리드퍼퓸 - 30ml"/>
    <n v="3"/>
    <x v="0"/>
    <s v="이그나이트"/>
    <n v="201210"/>
    <m/>
    <n v="114000"/>
    <n v="107331"/>
    <n v="8664"/>
    <n v="103636.3636363636"/>
    <s v="카페24고체향수유즈 이그나이트 솔리드퍼퓸 001제품선택=이그나이트 솔리드퍼퓸 - 30ml201210"/>
  </r>
  <r>
    <x v="218"/>
    <s v="월"/>
    <x v="11"/>
    <s v="카페24"/>
    <s v="유즈 이그나이트 솔리드퍼퓸 001제품선택=이그나이트 2개 세트"/>
    <n v="1"/>
    <x v="0"/>
    <s v="이그나이트 2set"/>
    <n v="201210"/>
    <m/>
    <n v="58800"/>
    <n v="55360.2"/>
    <n v="5776"/>
    <n v="53454.54545454545"/>
    <s v="카페24고체향수유즈 이그나이트 솔리드퍼퓸 001제품선택=이그나이트 2개 세트201210"/>
  </r>
  <r>
    <x v="219"/>
    <s v="화"/>
    <x v="11"/>
    <s v="카페24"/>
    <s v="유즈 솔리드퍼퓸 - 30ml (10차 재입고 완료)향=이그나이트 001 SOLID PERFUME, 세트 선택=1개"/>
    <n v="3"/>
    <x v="0"/>
    <s v="이그나이트"/>
    <n v="201210"/>
    <m/>
    <n v="114000"/>
    <n v="107331"/>
    <n v="8664"/>
    <n v="103636.3636363636"/>
    <s v="카페24고체향수유즈 솔리드퍼퓸 - 30ml (10차 재입고 완료)향=이그나이트 001 SOLID PERFUME, 세트 선택=1개201210"/>
  </r>
  <r>
    <x v="219"/>
    <s v="화"/>
    <x v="11"/>
    <s v="카페24"/>
    <s v="유즈 솔리드퍼퓸 - 30ml (10차 재입고 완료)향=이그나이트 001 SOLID PERFUME, 세트 선택=best"/>
    <n v="1"/>
    <x v="0"/>
    <s v="이그나이트 2set"/>
    <n v="201210"/>
    <m/>
    <n v="58800"/>
    <n v="55360.2"/>
    <n v="5776"/>
    <n v="53454.54545454545"/>
    <s v="카페24고체향수유즈 솔리드퍼퓸 - 30ml (10차 재입고 완료)향=이그나이트 001 SOLID PERFUME, 세트 선택=best201210"/>
  </r>
  <r>
    <x v="219"/>
    <s v="화"/>
    <x v="11"/>
    <s v="카페24"/>
    <s v="유즈 솔리드퍼퓸 - 30ml (10차 재입고 완료)향=스테이포에버 002 SOLID PERFUME, 세트 선택=1개"/>
    <n v="9"/>
    <x v="0"/>
    <s v="스테이포에버"/>
    <n v="201210"/>
    <m/>
    <n v="342000"/>
    <n v="321993"/>
    <n v="25047"/>
    <n v="310909.0909090909"/>
    <s v="카페24고체향수유즈 솔리드퍼퓸 - 30ml (10차 재입고 완료)향=스테이포에버 002 SOLID PERFUME, 세트 선택=1개201210"/>
  </r>
  <r>
    <x v="219"/>
    <s v="화"/>
    <x v="11"/>
    <s v="카페24"/>
    <s v="유즈 솔리드퍼퓸 - 30ml (10차 재입고 완료)향=스테이포에버 002 SOLID PERFUME, 세트 선택=best"/>
    <n v="5"/>
    <x v="0"/>
    <s v="스테이포에버 2set"/>
    <n v="201210"/>
    <m/>
    <n v="294000"/>
    <n v="276801"/>
    <n v="27830"/>
    <n v="267272.7272727272"/>
    <s v="카페24고체향수유즈 솔리드퍼퓸 - 30ml (10차 재입고 완료)향=스테이포에버 002 SOLID PERFUME, 세트 선택=best201210"/>
  </r>
  <r>
    <x v="219"/>
    <s v="화"/>
    <x v="11"/>
    <s v="카페24"/>
    <s v="유즈 솔리드퍼퓸 - 30ml (10차 재입고 완료)향=스테이포에버 002 SOLID PERFUME, 세트 선택=best 2개 (28% 할인)"/>
    <n v="2"/>
    <x v="0"/>
    <s v="스테이포에버 2set"/>
    <n v="201210"/>
    <m/>
    <n v="117600"/>
    <n v="110720.4"/>
    <n v="11132"/>
    <n v="106909.0909090909"/>
    <s v="카페24고체향수유즈 솔리드퍼퓸 - 30ml (10차 재입고 완료)향=스테이포에버 002 SOLID PERFUME, 세트 선택=best 2개 (28% 할인)201210"/>
  </r>
  <r>
    <x v="219"/>
    <s v="화"/>
    <x v="11"/>
    <s v="카페24"/>
    <s v="유즈 솔리드퍼퓸 - 30ml (10차 재입고 완료)향=커플세트"/>
    <n v="1"/>
    <x v="0"/>
    <s v="이그나이트 + 스테이포에버"/>
    <n v="201210"/>
    <m/>
    <n v="69000"/>
    <n v="64963.5"/>
    <n v="5671"/>
    <n v="62727.27272727272"/>
    <s v="카페24고체향수유즈 솔리드퍼퓸 - 30ml (10차 재입고 완료)향=커플세트201210"/>
  </r>
  <r>
    <x v="219"/>
    <s v="화"/>
    <x v="11"/>
    <s v="카페24"/>
    <s v="유즈 솔리드퍼퓸 - 30ml (10차 재입고 완료)향=커플세트(이그나이트 + 스테이포에버), 세트 선택=1 SET"/>
    <n v="3"/>
    <x v="0"/>
    <s v="이그나이트 + 스테이포에버"/>
    <n v="201210"/>
    <m/>
    <n v="207000"/>
    <n v="194890.5"/>
    <n v="17013"/>
    <n v="188181.8181818182"/>
    <s v="카페24고체향수유즈 솔리드퍼퓸 - 30ml (10차 재입고 완료)향=커플세트(이그나이트 + 스테이포에버), 세트 선택=1 SET201210"/>
  </r>
  <r>
    <x v="219"/>
    <s v="화"/>
    <x v="11"/>
    <s v="카페24"/>
    <s v="유즈 솔리드퍼퓸 - 30ml (10차 재입고 완료)향=커플세트"/>
    <n v="1"/>
    <x v="0"/>
    <s v="이그나이트 + 스테이포에버"/>
    <n v="201210"/>
    <m/>
    <n v="69000"/>
    <n v="64963.5"/>
    <n v="5671"/>
    <n v="62727.27272727272"/>
    <s v="카페24고체향수유즈 솔리드퍼퓸 - 30ml (10차 재입고 완료)향=커플세트201210"/>
  </r>
  <r>
    <x v="219"/>
    <s v="화"/>
    <x v="11"/>
    <s v="카페24"/>
    <s v="유즈 솔리드퍼퓸 - 30ml (10차 재입고 완료)향=커플세트(이그나이트 + 스테이포에버), 세트 선택=2 SET (42% 할인)"/>
    <n v="1"/>
    <x v="0"/>
    <s v="이그나이트 + 스테이포에버"/>
    <n v="201210"/>
    <m/>
    <n v="58800"/>
    <n v="55360.2"/>
    <n v="5776"/>
    <n v="53454.54545454545"/>
    <s v="카페24고체향수유즈 솔리드퍼퓸 - 30ml (10차 재입고 완료)향=커플세트(이그나이트 + 스테이포에버), 세트 선택=2 SET (42% 할인)201210"/>
  </r>
  <r>
    <x v="219"/>
    <s v="화"/>
    <x v="11"/>
    <s v="카페24"/>
    <s v="유즈 스테이포에버 솔리드퍼퓸 002 (10차 재입고 완료제품선택=스테이포에버 1개"/>
    <n v="1"/>
    <x v="0"/>
    <s v="스테이포에버"/>
    <n v="201210"/>
    <m/>
    <n v="38000"/>
    <n v="35777"/>
    <n v="2783"/>
    <n v="34545.45454545454"/>
    <s v="카페24고체향수유즈 스테이포에버 솔리드퍼퓸 002 (10차 재입고 완료제품선택=스테이포에버 1개201210"/>
  </r>
  <r>
    <x v="219"/>
    <s v="화"/>
    <x v="11"/>
    <s v="카페24"/>
    <s v="유즈 스테이포에버 솔리드퍼퓸 002 (10차 재입고 완료제품선택=best"/>
    <n v="1"/>
    <x v="0"/>
    <s v="스테이포에버 2set"/>
    <n v="201210"/>
    <m/>
    <n v="58800"/>
    <n v="55360.2"/>
    <n v="5566"/>
    <n v="53454.54545454545"/>
    <s v="카페24고체향수유즈 스테이포에버 솔리드퍼퓸 002 (10차 재입고 완료제품선택=best201210"/>
  </r>
  <r>
    <x v="219"/>
    <s v="화"/>
    <x v="11"/>
    <s v="카페24"/>
    <s v="유즈 스테이포에버 솔리드퍼퓸 002 (10차 재입고 완료제품선택=커플추천"/>
    <n v="1"/>
    <x v="0"/>
    <s v="이그나이트 + 스테이포에버"/>
    <n v="201210"/>
    <m/>
    <n v="69000"/>
    <n v="64963.5"/>
    <n v="5671"/>
    <n v="62727.27272727272"/>
    <s v="카페24고체향수유즈 스테이포에버 솔리드퍼퓸 002 (10차 재입고 완료제품선택=커플추천201210"/>
  </r>
  <r>
    <x v="219"/>
    <s v="화"/>
    <x v="11"/>
    <s v="카페24"/>
    <s v="유즈 스테이포에버 솔리드퍼퓸 002 (10차 재입고 완료)제품선택=스테이포에버 1개"/>
    <n v="281"/>
    <x v="0"/>
    <s v="스테이포에버"/>
    <n v="201210"/>
    <m/>
    <n v="10678000"/>
    <n v="10053337"/>
    <n v="782023"/>
    <n v="9707272.727272727"/>
    <s v="카페24고체향수유즈 스테이포에버 솔리드퍼퓸 002 (10차 재입고 완료)제품선택=스테이포에버 1개201210"/>
  </r>
  <r>
    <x v="219"/>
    <s v="화"/>
    <x v="11"/>
    <s v="카페24"/>
    <s v="유즈 스테이포에버 솔리드퍼퓸 002 (10차 재입고 완료)제품선택=best"/>
    <n v="46"/>
    <x v="0"/>
    <s v="스테이포에버 2set"/>
    <n v="201210"/>
    <m/>
    <n v="2704800"/>
    <n v="2546569.2"/>
    <n v="256036"/>
    <n v="2458909.090909091"/>
    <s v="카페24고체향수유즈 스테이포에버 솔리드퍼퓸 002 (10차 재입고 완료)제품선택=best201210"/>
  </r>
  <r>
    <x v="219"/>
    <s v="화"/>
    <x v="11"/>
    <s v="카페24"/>
    <s v="유즈 스테이포에버 솔리드퍼퓸 002 (10차 재입고 완료)제품선택=best스테이포에버 2개[28% 할인]"/>
    <n v="58"/>
    <x v="0"/>
    <s v="스테이포에버 2set"/>
    <n v="201210"/>
    <m/>
    <n v="3410400"/>
    <n v="3210891.6"/>
    <n v="322828"/>
    <n v="3100363.636363636"/>
    <s v="카페24고체향수유즈 스테이포에버 솔리드퍼퓸 002 (10차 재입고 완료)제품선택=best스테이포에버 2개[28% 할인]201210"/>
  </r>
  <r>
    <x v="219"/>
    <s v="화"/>
    <x v="11"/>
    <s v="카페24"/>
    <s v="유즈 스테이포에버 솔리드퍼퓸 002 (10차 재입고 완료)제품선택=커플추천"/>
    <n v="9"/>
    <x v="0"/>
    <s v="이그나이트 + 스테이포에버"/>
    <n v="201210"/>
    <m/>
    <n v="529200"/>
    <n v="498241.8"/>
    <n v="51984"/>
    <n v="481090.9090909091"/>
    <s v="카페24고체향수유즈 스테이포에버 솔리드퍼퓸 002 (10차 재입고 완료)제품선택=커플추천201210"/>
  </r>
  <r>
    <x v="219"/>
    <s v="화"/>
    <x v="11"/>
    <s v="카페24"/>
    <s v="유즈 스테이포에버 솔리드퍼퓸 002 (10차 재입고 완료)제품선택=커플추천스테이포에버 + 이그나이트 세트"/>
    <n v="9"/>
    <x v="0"/>
    <s v="이그나이트 + 스테이포에버"/>
    <n v="201210"/>
    <m/>
    <n v="0"/>
    <n v="0"/>
    <n v="51039"/>
    <n v="0"/>
    <s v="카페24고체향수유즈 스테이포에버 솔리드퍼퓸 002 (10차 재입고 완료)제품선택=커플추천스테이포에버 + 이그나이트 세트201210"/>
  </r>
  <r>
    <x v="219"/>
    <s v="화"/>
    <x v="11"/>
    <s v="카페24"/>
    <s v="유즈 스테이포에버 솔리드퍼퓸 002 (10차 재입고 완료)쇼핑백=선물용 쇼핑백"/>
    <n v="13"/>
    <x v="0"/>
    <s v="쇼핑백"/>
    <n v="201210"/>
    <m/>
    <n v="26000"/>
    <n v="24479"/>
    <n v="15730"/>
    <n v="23636.36363636364"/>
    <s v="카페24고체향수유즈 스테이포에버 솔리드퍼퓸 002 (10차 재입고 완료)쇼핑백=선물용 쇼핑백201210"/>
  </r>
  <r>
    <x v="219"/>
    <s v="화"/>
    <x v="11"/>
    <s v="카페24"/>
    <s v="유즈 이그나이트 솔리드퍼퓸 001제품선택=이그나이트 솔리드퍼퓸 - 30ml"/>
    <n v="4"/>
    <x v="0"/>
    <s v="이그나이트"/>
    <n v="201210"/>
    <m/>
    <n v="152000"/>
    <n v="143108"/>
    <n v="11552"/>
    <n v="138181.8181818182"/>
    <s v="카페24고체향수유즈 이그나이트 솔리드퍼퓸 001제품선택=이그나이트 솔리드퍼퓸 - 30ml201210"/>
  </r>
  <r>
    <x v="219"/>
    <s v="화"/>
    <x v="11"/>
    <s v="카페24"/>
    <s v="유즈 이그나이트 솔리드퍼퓸 001제품선택=이그나이트 2개 세트"/>
    <n v="4"/>
    <x v="0"/>
    <s v="이그나이트 2set"/>
    <n v="201210"/>
    <m/>
    <n v="235200"/>
    <n v="221440.8"/>
    <n v="23104"/>
    <n v="213818.1818181818"/>
    <s v="카페24고체향수유즈 이그나이트 솔리드퍼퓸 001제품선택=이그나이트 2개 세트201210"/>
  </r>
  <r>
    <x v="220"/>
    <s v="수"/>
    <x v="11"/>
    <s v="카페24"/>
    <s v="SHOPPING BAG"/>
    <n v="1"/>
    <x v="2"/>
    <s v="쇼핑백"/>
    <n v="201210"/>
    <m/>
    <n v="2000"/>
    <n v="1883"/>
    <n v="1210"/>
    <n v="1818.181818181818"/>
    <s v="카페24쇼핑백SHOPPING BAG201210"/>
  </r>
  <r>
    <x v="220"/>
    <s v="수"/>
    <x v="11"/>
    <s v="카페24"/>
    <s v="솔리드퍼퓸 스테이포에버 002 30ml"/>
    <n v="1"/>
    <x v="0"/>
    <s v="스테이포에버"/>
    <n v="201210"/>
    <m/>
    <n v="38000"/>
    <n v="35777"/>
    <n v="2783"/>
    <n v="34545.45454545454"/>
    <s v="카페24고체향수솔리드퍼퓸 스테이포에버 002 30ml201210"/>
  </r>
  <r>
    <x v="220"/>
    <s v="수"/>
    <x v="11"/>
    <s v="카페24"/>
    <s v="유즈 솔리드퍼퓸 - 30ml (10차 재입고 완료)향=이그나이트 001 SOLID PERFUME, 세트 선택=1개"/>
    <n v="1"/>
    <x v="0"/>
    <s v="이그나이트"/>
    <n v="201210"/>
    <m/>
    <n v="38000"/>
    <n v="35777"/>
    <n v="2888"/>
    <n v="34545.45454545454"/>
    <s v="카페24고체향수유즈 솔리드퍼퓸 - 30ml (10차 재입고 완료)향=이그나이트 001 SOLID PERFUME, 세트 선택=1개201210"/>
  </r>
  <r>
    <x v="220"/>
    <s v="수"/>
    <x v="11"/>
    <s v="카페24"/>
    <s v="유즈 솔리드퍼퓸 - 30ml (10차 재입고 완료)향=스테이포에버 002 SOLID PERFUME, 세트 선택=1개"/>
    <n v="11"/>
    <x v="0"/>
    <s v="스테이포에버"/>
    <n v="201210"/>
    <m/>
    <n v="418000"/>
    <n v="393547"/>
    <n v="30613"/>
    <n v="379999.9999999999"/>
    <s v="카페24고체향수유즈 솔리드퍼퓸 - 30ml (10차 재입고 완료)향=스테이포에버 002 SOLID PERFUME, 세트 선택=1개201210"/>
  </r>
  <r>
    <x v="220"/>
    <s v="수"/>
    <x v="11"/>
    <s v="카페24"/>
    <s v="유즈 솔리드퍼퓸 - 30ml (10차 재입고 완료)향=스테이포에버 002 SOLID PERFUME, 세트 선택=best"/>
    <n v="1"/>
    <x v="0"/>
    <s v="스테이포에버 2set"/>
    <n v="201210"/>
    <m/>
    <n v="58800"/>
    <n v="55360.2"/>
    <n v="5566"/>
    <n v="53454.54545454545"/>
    <s v="카페24고체향수유즈 솔리드퍼퓸 - 30ml (10차 재입고 완료)향=스테이포에버 002 SOLID PERFUME, 세트 선택=best201210"/>
  </r>
  <r>
    <x v="220"/>
    <s v="수"/>
    <x v="11"/>
    <s v="카페24"/>
    <s v="유즈 솔리드퍼퓸 - 30ml (10차 재입고 완료)향=스테이포에버 002 SOLID PERFUME, 세트 선택=best 2개 (28% 할인)"/>
    <n v="2"/>
    <x v="0"/>
    <s v="스테이포에버 2set"/>
    <n v="201210"/>
    <m/>
    <n v="117600"/>
    <n v="110720.4"/>
    <n v="11132"/>
    <n v="106909.0909090909"/>
    <s v="카페24고체향수유즈 솔리드퍼퓸 - 30ml (10차 재입고 완료)향=스테이포에버 002 SOLID PERFUME, 세트 선택=best 2개 (28% 할인)201210"/>
  </r>
  <r>
    <x v="220"/>
    <s v="수"/>
    <x v="11"/>
    <s v="카페24"/>
    <s v="유즈 솔리드퍼퓸 - 30ml (10차 재입고 완료)향=커플세트"/>
    <n v="4"/>
    <x v="0"/>
    <s v="이그나이트 + 스테이포에버"/>
    <n v="201210"/>
    <m/>
    <n v="276000"/>
    <n v="259854"/>
    <n v="22684"/>
    <n v="250909.0909090909"/>
    <s v="카페24고체향수유즈 솔리드퍼퓸 - 30ml (10차 재입고 완료)향=커플세트201210"/>
  </r>
  <r>
    <x v="220"/>
    <s v="수"/>
    <x v="11"/>
    <s v="카페24"/>
    <s v="유즈 솔리드퍼퓸 - 30ml (10차 재입고 완료)향=커플세트(이그나이트 + 스테이포에버), 세트 선택=1 SET"/>
    <n v="3"/>
    <x v="0"/>
    <s v="이그나이트 + 스테이포에버"/>
    <n v="201210"/>
    <m/>
    <n v="207000"/>
    <n v="194890.5"/>
    <n v="17013"/>
    <n v="188181.8181818182"/>
    <s v="카페24고체향수유즈 솔리드퍼퓸 - 30ml (10차 재입고 완료)향=커플세트(이그나이트 + 스테이포에버), 세트 선택=1 SET201210"/>
  </r>
  <r>
    <x v="220"/>
    <s v="수"/>
    <x v="11"/>
    <s v="카페24"/>
    <s v="유즈 솔리드퍼퓸 - 30ml (10차 재입고 완료)향=커플세트"/>
    <n v="1"/>
    <x v="0"/>
    <s v="이그나이트 + 스테이포에버"/>
    <n v="201210"/>
    <m/>
    <n v="69000"/>
    <n v="64963.5"/>
    <n v="5671"/>
    <n v="62727.27272727272"/>
    <s v="카페24고체향수유즈 솔리드퍼퓸 - 30ml (10차 재입고 완료)향=커플세트201210"/>
  </r>
  <r>
    <x v="220"/>
    <s v="수"/>
    <x v="11"/>
    <s v="카페24"/>
    <s v="유즈 솔리드퍼퓸 - 30ml (10차 재입고 완료)향=커플세트(이그나이트 + 스테이포에버), 세트 선택=2 SET (42% 할인)"/>
    <n v="1"/>
    <x v="0"/>
    <s v="이그나이트 + 스테이포에버"/>
    <n v="201210"/>
    <m/>
    <n v="58800"/>
    <n v="55360.2"/>
    <n v="5776"/>
    <n v="53454.54545454545"/>
    <s v="카페24고체향수유즈 솔리드퍼퓸 - 30ml (10차 재입고 완료)향=커플세트(이그나이트 + 스테이포에버), 세트 선택=2 SET (42% 할인)201210"/>
  </r>
  <r>
    <x v="220"/>
    <s v="수"/>
    <x v="11"/>
    <s v="카페24"/>
    <s v="유즈 스테이포에버 솔리드퍼퓸 002 (10차 재입고 완료)제품선택=스테이포에버 1개"/>
    <n v="305"/>
    <x v="0"/>
    <s v="스테이포에버"/>
    <n v="201210"/>
    <m/>
    <n v="11590000"/>
    <n v="10911985"/>
    <n v="848815"/>
    <n v="10536363.63636363"/>
    <s v="카페24고체향수유즈 스테이포에버 솔리드퍼퓸 002 (10차 재입고 완료)제품선택=스테이포에버 1개201210"/>
  </r>
  <r>
    <x v="220"/>
    <s v="수"/>
    <x v="11"/>
    <s v="카페24"/>
    <s v="유즈 스테이포에버 솔리드퍼퓸 002 (10차 재입고 완료)제품선택=best"/>
    <n v="42"/>
    <x v="0"/>
    <s v="스테이포에버 2set"/>
    <n v="201210"/>
    <m/>
    <n v="2469600"/>
    <n v="2325128.4"/>
    <n v="233772"/>
    <n v="2245090.909090909"/>
    <s v="카페24고체향수유즈 스테이포에버 솔리드퍼퓸 002 (10차 재입고 완료)제품선택=best201210"/>
  </r>
  <r>
    <x v="220"/>
    <s v="수"/>
    <x v="11"/>
    <s v="카페24"/>
    <s v="유즈 스테이포에버 솔리드퍼퓸 002 (10차 재입고 완료)제품선택=best스테이포에버 2개[28% 할인]"/>
    <n v="64"/>
    <x v="0"/>
    <s v="스테이포에버 2set"/>
    <n v="201210"/>
    <m/>
    <n v="3763200"/>
    <n v="3543052.8"/>
    <n v="356224"/>
    <n v="3421090.909090909"/>
    <s v="카페24고체향수유즈 스테이포에버 솔리드퍼퓸 002 (10차 재입고 완료)제품선택=best스테이포에버 2개[28% 할인]201210"/>
  </r>
  <r>
    <x v="220"/>
    <s v="수"/>
    <x v="11"/>
    <s v="카페24"/>
    <s v="유즈 스테이포에버 솔리드퍼퓸 002 (10차 재입고 완료)제품선택=커플추천"/>
    <n v="10"/>
    <x v="0"/>
    <s v="이그나이트 + 스테이포에버"/>
    <n v="201210"/>
    <m/>
    <n v="588000"/>
    <n v="553602"/>
    <n v="57760"/>
    <n v="534545.4545454545"/>
    <s v="카페24고체향수유즈 스테이포에버 솔리드퍼퓸 002 (10차 재입고 완료)제품선택=커플추천201210"/>
  </r>
  <r>
    <x v="220"/>
    <s v="수"/>
    <x v="11"/>
    <s v="카페24"/>
    <s v="유즈 스테이포에버 솔리드퍼퓸 002 (10차 재입고 완료)제품선택=커플추천스테이포에버 + 이그나이트 세트"/>
    <n v="13"/>
    <x v="0"/>
    <s v="이그나이트 + 스테이포에버"/>
    <n v="201210"/>
    <m/>
    <n v="0"/>
    <n v="0"/>
    <n v="73723"/>
    <n v="0"/>
    <s v="카페24고체향수유즈 스테이포에버 솔리드퍼퓸 002 (10차 재입고 완료)제품선택=커플추천스테이포에버 + 이그나이트 세트201210"/>
  </r>
  <r>
    <x v="220"/>
    <s v="수"/>
    <x v="11"/>
    <s v="카페24"/>
    <s v="유즈 스테이포에버 솔리드퍼퓸 002 (10차 재입고 완료)쇼핑백=선물용 쇼핑백"/>
    <n v="10"/>
    <x v="0"/>
    <s v="쇼핑백"/>
    <n v="201210"/>
    <m/>
    <n v="20000"/>
    <n v="18830"/>
    <n v="12100"/>
    <n v="18181.81818181818"/>
    <s v="카페24고체향수유즈 스테이포에버 솔리드퍼퓸 002 (10차 재입고 완료)쇼핑백=선물용 쇼핑백201210"/>
  </r>
  <r>
    <x v="220"/>
    <s v="수"/>
    <x v="11"/>
    <s v="카페24"/>
    <s v="유즈 이그나이트 솔리드퍼퓸 001제품선택=이그나이트 솔리드퍼퓸 - 30ml"/>
    <n v="3"/>
    <x v="0"/>
    <s v="이그나이트"/>
    <n v="201210"/>
    <m/>
    <n v="114000"/>
    <n v="107331"/>
    <n v="8664"/>
    <n v="103636.3636363636"/>
    <s v="카페24고체향수유즈 이그나이트 솔리드퍼퓸 001제품선택=이그나이트 솔리드퍼퓸 - 30ml201210"/>
  </r>
  <r>
    <x v="220"/>
    <s v="수"/>
    <x v="11"/>
    <s v="카페24"/>
    <s v="유즈 이그나이트 솔리드퍼퓸 001제품선택=이그나이트 2개 세트"/>
    <n v="1"/>
    <x v="0"/>
    <s v="이그나이트 2set"/>
    <n v="201210"/>
    <m/>
    <n v="58800"/>
    <n v="55360.2"/>
    <n v="5776"/>
    <n v="53454.54545454545"/>
    <s v="카페24고체향수유즈 이그나이트 솔리드퍼퓸 001제품선택=이그나이트 2개 세트201210"/>
  </r>
  <r>
    <x v="221"/>
    <s v="목"/>
    <x v="11"/>
    <s v="카페24"/>
    <s v="솔리드퍼퓸 스테이포에버 002 30ml"/>
    <n v="2"/>
    <x v="0"/>
    <s v="스테이포에버"/>
    <n v="201210"/>
    <m/>
    <n v="76000"/>
    <n v="71554"/>
    <n v="5566"/>
    <n v="69090.90909090909"/>
    <s v="카페24고체향수솔리드퍼퓸 스테이포에버 002 30ml201210"/>
  </r>
  <r>
    <x v="221"/>
    <s v="목"/>
    <x v="11"/>
    <s v="카페24"/>
    <s v="유즈 솔리드퍼퓸 - 30ml (10차 재입고 완료)향=스테이포에버 002 SOLID PERFUME, 세트 선택=1개"/>
    <n v="3"/>
    <x v="0"/>
    <s v="스테이포에버"/>
    <n v="201210"/>
    <m/>
    <n v="114000"/>
    <n v="107331"/>
    <n v="8349"/>
    <n v="103636.3636363636"/>
    <s v="카페24고체향수유즈 솔리드퍼퓸 - 30ml (10차 재입고 완료)향=스테이포에버 002 SOLID PERFUME, 세트 선택=1개201210"/>
  </r>
  <r>
    <x v="221"/>
    <s v="목"/>
    <x v="11"/>
    <s v="카페24"/>
    <s v="유즈 솔리드퍼퓸 - 30ml (10차 재입고 완료)향=스테이포에버 002 SOLID PERFUME, 세트 선택=best"/>
    <n v="1"/>
    <x v="0"/>
    <s v="스테이포에버 2set"/>
    <n v="201210"/>
    <m/>
    <n v="58800"/>
    <n v="55360.2"/>
    <n v="5566"/>
    <n v="53454.54545454545"/>
    <s v="카페24고체향수유즈 솔리드퍼퓸 - 30ml (10차 재입고 완료)향=스테이포에버 002 SOLID PERFUME, 세트 선택=best201210"/>
  </r>
  <r>
    <x v="221"/>
    <s v="목"/>
    <x v="11"/>
    <s v="카페24"/>
    <s v="유즈 솔리드퍼퓸 - 30ml (10차 재입고 완료)향=스테이포에버 002 SOLID PERFUME, 세트 선택=best 2개 (28% 할인)"/>
    <n v="1"/>
    <x v="0"/>
    <s v="스테이포에버 2set"/>
    <n v="201210"/>
    <m/>
    <n v="58800"/>
    <n v="55360.2"/>
    <n v="5566"/>
    <n v="53454.54545454545"/>
    <s v="카페24고체향수유즈 솔리드퍼퓸 - 30ml (10차 재입고 완료)향=스테이포에버 002 SOLID PERFUME, 세트 선택=best 2개 (28% 할인)201210"/>
  </r>
  <r>
    <x v="221"/>
    <s v="목"/>
    <x v="11"/>
    <s v="카페24"/>
    <s v="유즈 솔리드퍼퓸 - 30ml (10차 재입고 완료)향=커플세트(이그나이트 + 스테이포에버), 세트 선택=1 SET"/>
    <n v="5"/>
    <x v="0"/>
    <s v="이그나이트 + 스테이포에버"/>
    <n v="201210"/>
    <m/>
    <n v="345000"/>
    <n v="324817.5"/>
    <n v="28355"/>
    <n v="313636.3636363636"/>
    <s v="카페24고체향수유즈 솔리드퍼퓸 - 30ml (10차 재입고 완료)향=커플세트(이그나이트 + 스테이포에버), 세트 선택=1 SET201210"/>
  </r>
  <r>
    <x v="221"/>
    <s v="목"/>
    <x v="11"/>
    <s v="카페24"/>
    <s v="유즈 솔리드퍼퓸 - 30ml (10차 재입고 완료)향=커플세트"/>
    <n v="1"/>
    <x v="0"/>
    <s v="이그나이트 + 스테이포에버"/>
    <n v="201210"/>
    <m/>
    <n v="69000"/>
    <n v="64963.5"/>
    <n v="5671"/>
    <n v="62727.27272727272"/>
    <s v="카페24고체향수유즈 솔리드퍼퓸 - 30ml (10차 재입고 완료)향=커플세트201210"/>
  </r>
  <r>
    <x v="221"/>
    <s v="목"/>
    <x v="11"/>
    <s v="카페24"/>
    <s v="유즈 솔리드퍼퓸 - 30ml (11차 예약구매 진행중)향=스테이포에버 002 SOLID PERFUME, 세트 선택=1개"/>
    <n v="2"/>
    <x v="0"/>
    <s v="스테이포에버"/>
    <n v="201210"/>
    <m/>
    <n v="68000"/>
    <n v="64022"/>
    <n v="5566"/>
    <n v="61818.18181818182"/>
    <s v="카페24고체향수유즈 솔리드퍼퓸 - 30ml (11차 예약구매 진행중)향=스테이포에버 002 SOLID PERFUME, 세트 선택=1개201210"/>
  </r>
  <r>
    <x v="221"/>
    <s v="목"/>
    <x v="11"/>
    <s v="카페24"/>
    <s v="유즈 솔리드퍼퓸 - 30ml (11차 예약구매 진행중)향=스테이포에버 002 SOLID PERFUME, 세트 선택=best 2개 (28% 할인)"/>
    <n v="1"/>
    <x v="0"/>
    <s v="스테이포에버 2set"/>
    <n v="201210"/>
    <m/>
    <n v="58800"/>
    <n v="55360.2"/>
    <n v="5566"/>
    <n v="53454.54545454545"/>
    <s v="카페24고체향수유즈 솔리드퍼퓸 - 30ml (11차 예약구매 진행중)향=스테이포에버 002 SOLID PERFUME, 세트 선택=best 2개 (28% 할인)201210"/>
  </r>
  <r>
    <x v="221"/>
    <s v="목"/>
    <x v="11"/>
    <s v="카페24"/>
    <s v="유즈 스테이포에버 솔리드퍼퓸 002 (10차 재입고 완료제품선택=스테이포에버 1개"/>
    <n v="2"/>
    <x v="0"/>
    <s v="스테이포에버"/>
    <n v="201210"/>
    <m/>
    <n v="76000"/>
    <n v="71554"/>
    <n v="5566"/>
    <n v="69090.90909090909"/>
    <s v="카페24고체향수유즈 스테이포에버 솔리드퍼퓸 002 (10차 재입고 완료제품선택=스테이포에버 1개201210"/>
  </r>
  <r>
    <x v="221"/>
    <s v="목"/>
    <x v="11"/>
    <s v="카페24"/>
    <s v="유즈 스테이포에버 솔리드퍼퓸 002 (10차 재입고 완료쇼핑백=선물용 쇼핑백"/>
    <n v="1"/>
    <x v="0"/>
    <s v="쇼핑백"/>
    <n v="201210"/>
    <m/>
    <n v="2000"/>
    <n v="1883"/>
    <n v="1210"/>
    <n v="1818.181818181818"/>
    <s v="카페24고체향수유즈 스테이포에버 솔리드퍼퓸 002 (10차 재입고 완료쇼핑백=선물용 쇼핑백201210"/>
  </r>
  <r>
    <x v="221"/>
    <s v="목"/>
    <x v="11"/>
    <s v="카페24"/>
    <s v="유즈 스테이포에버 솔리드퍼퓸 002 (10차 재입고 완료)제품선택=스테이포에버 1개"/>
    <n v="198"/>
    <x v="0"/>
    <s v="스테이포에버"/>
    <n v="201210"/>
    <m/>
    <n v="7524000"/>
    <n v="7083846"/>
    <n v="551034"/>
    <n v="6839999.999999999"/>
    <s v="카페24고체향수유즈 스테이포에버 솔리드퍼퓸 002 (10차 재입고 완료)제품선택=스테이포에버 1개201210"/>
  </r>
  <r>
    <x v="221"/>
    <s v="목"/>
    <x v="11"/>
    <s v="카페24"/>
    <s v="유즈 스테이포에버 솔리드퍼퓸 002 (10차 재입고 완료)제품선택=best"/>
    <n v="36"/>
    <x v="0"/>
    <s v="스테이포에버 2set"/>
    <n v="201210"/>
    <m/>
    <n v="2116800"/>
    <n v="1992967.2"/>
    <n v="200376"/>
    <n v="1924363.636363636"/>
    <s v="카페24고체향수유즈 스테이포에버 솔리드퍼퓸 002 (10차 재입고 완료)제품선택=best201210"/>
  </r>
  <r>
    <x v="221"/>
    <s v="목"/>
    <x v="11"/>
    <s v="카페24"/>
    <s v="유즈 스테이포에버 솔리드퍼퓸 002 (10차 재입고 완료)제품선택=best스테이포에버 2개[28% 할인]"/>
    <n v="45"/>
    <x v="0"/>
    <s v="스테이포에버 2set"/>
    <n v="201210"/>
    <m/>
    <n v="2646000"/>
    <n v="2491209"/>
    <n v="250470"/>
    <n v="2405454.545454545"/>
    <s v="카페24고체향수유즈 스테이포에버 솔리드퍼퓸 002 (10차 재입고 완료)제품선택=best스테이포에버 2개[28% 할인]201210"/>
  </r>
  <r>
    <x v="221"/>
    <s v="목"/>
    <x v="11"/>
    <s v="카페24"/>
    <s v="유즈 스테이포에버 솔리드퍼퓸 002 (10차 재입고 완료)제품선택=커플추천"/>
    <n v="6"/>
    <x v="0"/>
    <s v="이그나이트 + 스테이포에버"/>
    <n v="201210"/>
    <m/>
    <n v="352800"/>
    <n v="332161.2"/>
    <n v="34656"/>
    <n v="320727.2727272727"/>
    <s v="카페24고체향수유즈 스테이포에버 솔리드퍼퓸 002 (10차 재입고 완료)제품선택=커플추천201210"/>
  </r>
  <r>
    <x v="221"/>
    <s v="목"/>
    <x v="11"/>
    <s v="카페24"/>
    <s v="유즈 스테이포에버 솔리드퍼퓸 002 (10차 재입고 완료)제품선택=커플추천스테이포에버 + 이그나이트 세트"/>
    <n v="13"/>
    <x v="0"/>
    <s v="이그나이트 + 스테이포에버"/>
    <n v="201210"/>
    <m/>
    <n v="0"/>
    <n v="0"/>
    <n v="73723"/>
    <n v="0"/>
    <s v="카페24고체향수유즈 스테이포에버 솔리드퍼퓸 002 (10차 재입고 완료)제품선택=커플추천스테이포에버 + 이그나이트 세트201210"/>
  </r>
  <r>
    <x v="221"/>
    <s v="목"/>
    <x v="11"/>
    <s v="카페24"/>
    <s v="유즈 스테이포에버 솔리드퍼퓸 002 (10차 재입고 완료)쇼핑백=선물용 쇼핑백"/>
    <n v="7"/>
    <x v="0"/>
    <s v="쇼핑백"/>
    <n v="201210"/>
    <m/>
    <n v="14000"/>
    <n v="13181"/>
    <n v="8470"/>
    <n v="12727.27272727273"/>
    <s v="카페24고체향수유즈 스테이포에버 솔리드퍼퓸 002 (10차 재입고 완료)쇼핑백=선물용 쇼핑백201210"/>
  </r>
  <r>
    <x v="221"/>
    <s v="목"/>
    <x v="11"/>
    <s v="카페24"/>
    <s v="유즈 스테이포에버 솔리드퍼퓸 002 (11차 예약구매 진행중)제품선택=스테이포에버 1개"/>
    <n v="70"/>
    <x v="0"/>
    <s v="스테이포에버"/>
    <n v="201210"/>
    <m/>
    <n v="2380000"/>
    <n v="2240770"/>
    <n v="194810"/>
    <n v="2163636.363636363"/>
    <s v="카페24고체향수유즈 스테이포에버 솔리드퍼퓸 002 (11차 예약구매 진행중)제품선택=스테이포에버 1개201210"/>
  </r>
  <r>
    <x v="221"/>
    <s v="목"/>
    <x v="11"/>
    <s v="카페24"/>
    <s v="유즈 스테이포에버 솔리드퍼퓸 002 (11차 예약구매 진행중)제품선택=best"/>
    <n v="21"/>
    <x v="0"/>
    <s v="스테이포에버"/>
    <n v="201210"/>
    <m/>
    <n v="714000"/>
    <n v="672231"/>
    <n v="58443"/>
    <n v="649090.9090909091"/>
    <s v="카페24고체향수유즈 스테이포에버 솔리드퍼퓸 002 (11차 예약구매 진행중)제품선택=best201210"/>
  </r>
  <r>
    <x v="221"/>
    <s v="목"/>
    <x v="11"/>
    <s v="카페24"/>
    <s v="유즈 스테이포에버 솔리드퍼퓸 002 (11차 예약구매 진행중)제품선택=best스테이포에버 2개[28% 할인]"/>
    <n v="24"/>
    <x v="0"/>
    <s v="스테이포에버 2set"/>
    <n v="201210"/>
    <m/>
    <n v="1411200"/>
    <n v="1328644.8"/>
    <n v="133584"/>
    <n v="1282909.090909091"/>
    <s v="카페24고체향수유즈 스테이포에버 솔리드퍼퓸 002 (11차 예약구매 진행중)제품선택=best스테이포에버 2개[28% 할인]201210"/>
  </r>
  <r>
    <x v="221"/>
    <s v="목"/>
    <x v="11"/>
    <s v="카페24"/>
    <s v="유즈 스테이포에버 솔리드퍼퓸 002 (11차 예약구매 진행중)제품선택=커플추천"/>
    <n v="1"/>
    <x v="0"/>
    <s v="스테이포에버"/>
    <n v="201210"/>
    <m/>
    <n v="34000"/>
    <n v="32011"/>
    <n v="2783"/>
    <n v="30909.09090909091"/>
    <s v="카페24고체향수유즈 스테이포에버 솔리드퍼퓸 002 (11차 예약구매 진행중)제품선택=커플추천201210"/>
  </r>
  <r>
    <x v="221"/>
    <s v="목"/>
    <x v="11"/>
    <s v="카페24"/>
    <s v="유즈 스테이포에버 솔리드퍼퓸 002 (11차 예약구매 진행중)제품선택=커플추천스테이포에버 + 이그나이트 세트"/>
    <n v="1"/>
    <x v="0"/>
    <s v="이그나이트 + 스테이포에버"/>
    <n v="201210"/>
    <m/>
    <n v="58800"/>
    <n v="55360.2"/>
    <n v="5776"/>
    <n v="53454.54545454545"/>
    <s v="카페24고체향수유즈 스테이포에버 솔리드퍼퓸 002 (11차 예약구매 진행중)제품선택=커플추천스테이포에버 + 이그나이트 세트201210"/>
  </r>
  <r>
    <x v="221"/>
    <s v="목"/>
    <x v="11"/>
    <s v="카페24"/>
    <s v="유즈 스테이포에버 솔리드퍼퓸 002 (11차 예약구매 진행중)쇼핑백=선물용 쇼핑백"/>
    <n v="4"/>
    <x v="0"/>
    <s v="쇼핑백"/>
    <n v="201210"/>
    <m/>
    <n v="8000"/>
    <n v="7532"/>
    <n v="4840"/>
    <n v="7272.727272727272"/>
    <s v="카페24고체향수유즈 스테이포에버 솔리드퍼퓸 002 (11차 예약구매 진행중)쇼핑백=선물용 쇼핑백201210"/>
  </r>
  <r>
    <x v="221"/>
    <s v="목"/>
    <x v="11"/>
    <s v="카페24"/>
    <s v="유즈 이그나이트 솔리드퍼퓸 001제품선택=이그나이트 솔리드퍼퓸 - 30ml"/>
    <n v="5"/>
    <x v="0"/>
    <s v="이그나이트"/>
    <n v="201210"/>
    <m/>
    <n v="190000"/>
    <n v="178885"/>
    <n v="14440"/>
    <n v="172727.2727272727"/>
    <s v="카페24고체향수유즈 이그나이트 솔리드퍼퓸 001제품선택=이그나이트 솔리드퍼퓸 - 30ml201210"/>
  </r>
  <r>
    <x v="221"/>
    <s v="목"/>
    <x v="11"/>
    <s v="카페24"/>
    <s v="유즈 이그나이트 솔리드퍼퓸 001제품선택=이그나이트 2개 세트"/>
    <n v="1"/>
    <x v="0"/>
    <s v="이그나이트 2set"/>
    <n v="201210"/>
    <m/>
    <n v="58800"/>
    <n v="55360.2"/>
    <n v="5776"/>
    <n v="53454.54545454545"/>
    <s v="카페24고체향수유즈 이그나이트 솔리드퍼퓸 001제품선택=이그나이트 2개 세트201210"/>
  </r>
  <r>
    <x v="221"/>
    <s v="목"/>
    <x v="11"/>
    <s v="카페24"/>
    <s v="유즈 이그나이트 솔리드퍼퓸 001쇼핑백=선물용 쇼핑백"/>
    <n v="1"/>
    <x v="2"/>
    <s v="쇼핑백"/>
    <n v="201210"/>
    <m/>
    <n v="2000"/>
    <n v="1883"/>
    <n v="1210"/>
    <n v="1818.181818181818"/>
    <s v="카페24쇼핑백유즈 이그나이트 솔리드퍼퓸 001쇼핑백=선물용 쇼핑백201210"/>
  </r>
  <r>
    <x v="222"/>
    <s v="금"/>
    <x v="11"/>
    <s v="카페24"/>
    <s v="SHOPPING BAG"/>
    <n v="1"/>
    <x v="2"/>
    <s v="쇼핑백"/>
    <n v="210101"/>
    <m/>
    <n v="2000"/>
    <n v="1883"/>
    <n v="830"/>
    <n v="1818.181818181818"/>
    <s v="카페24쇼핑백SHOPPING BAG210101"/>
  </r>
  <r>
    <x v="222"/>
    <s v="금"/>
    <x v="11"/>
    <s v="카페24"/>
    <s v="유즈 솔리드퍼퓸 - 30ml (11차 예약구매 진행중)향=이그나이트 001 SOLID PERFUME, 세트 선택=1개"/>
    <n v="2"/>
    <x v="0"/>
    <s v="이그나이트"/>
    <n v="210101"/>
    <m/>
    <n v="68000"/>
    <n v="64022"/>
    <n v="5506"/>
    <n v="61818.18181818182"/>
    <s v="카페24고체향수유즈 솔리드퍼퓸 - 30ml (11차 예약구매 진행중)향=이그나이트 001 SOLID PERFUME, 세트 선택=1개210101"/>
  </r>
  <r>
    <x v="222"/>
    <s v="금"/>
    <x v="11"/>
    <s v="카페24"/>
    <s v="유즈 솔리드퍼퓸 - 30ml (11차 예약구매 진행중)향=스테이포에버 002 SOLID PERFUME, 세트 선택=1개"/>
    <n v="24"/>
    <x v="0"/>
    <s v="스테이포에버"/>
    <n v="210101"/>
    <m/>
    <n v="816000"/>
    <n v="768264"/>
    <n v="62208"/>
    <n v="741818.1818181818"/>
    <s v="카페24고체향수유즈 솔리드퍼퓸 - 30ml (11차 예약구매 진행중)향=스테이포에버 002 SOLID PERFUME, 세트 선택=1개210101"/>
  </r>
  <r>
    <x v="222"/>
    <s v="금"/>
    <x v="11"/>
    <s v="카페24"/>
    <s v="유즈 솔리드퍼퓸 - 30ml (11차 예약구매 진행중)향=스테이포에버 002 SOLID PERFUME, 세트 선택=best"/>
    <n v="3"/>
    <x v="0"/>
    <s v="스테이포에버"/>
    <n v="210101"/>
    <m/>
    <n v="102000"/>
    <n v="96033"/>
    <n v="7776"/>
    <n v="92727.27272727272"/>
    <s v="카페24고체향수유즈 솔리드퍼퓸 - 30ml (11차 예약구매 진행중)향=스테이포에버 002 SOLID PERFUME, 세트 선택=best210101"/>
  </r>
  <r>
    <x v="222"/>
    <s v="금"/>
    <x v="11"/>
    <s v="카페24"/>
    <s v="유즈 솔리드퍼퓸 - 30ml (11차 예약구매 진행중)향=스테이포에버 002 SOLID PERFUME, 세트 선택=best 2개 (28% 할인)"/>
    <n v="2"/>
    <x v="0"/>
    <s v="스테이포에버 2set"/>
    <n v="210101"/>
    <m/>
    <n v="117600"/>
    <n v="110720.4"/>
    <n v="10368"/>
    <n v="106909.0909090909"/>
    <s v="카페24고체향수유즈 솔리드퍼퓸 - 30ml (11차 예약구매 진행중)향=스테이포에버 002 SOLID PERFUME, 세트 선택=best 2개 (28% 할인)210101"/>
  </r>
  <r>
    <x v="222"/>
    <s v="금"/>
    <x v="11"/>
    <s v="카페24"/>
    <s v="유즈 솔리드퍼퓸 - 30ml (11차 예약구매 진행중)향=커플세트"/>
    <n v="6"/>
    <x v="0"/>
    <s v="이그나이트 + 스테이포에버"/>
    <n v="210101"/>
    <m/>
    <n v="352800"/>
    <n v="332161.2"/>
    <n v="32070"/>
    <n v="320727.2727272727"/>
    <s v="카페24고체향수유즈 솔리드퍼퓸 - 30ml (11차 예약구매 진행중)향=커플세트210101"/>
  </r>
  <r>
    <x v="222"/>
    <s v="금"/>
    <x v="11"/>
    <s v="카페24"/>
    <s v="유즈 솔리드퍼퓸 - 30ml (11차 예약구매 진행중)향=커플세트(이그나이트 + 스테이포에버), 세트 선택=1 SET"/>
    <n v="7"/>
    <x v="0"/>
    <s v="이그나이트 + 스테이포에버"/>
    <n v="210101"/>
    <m/>
    <n v="411600"/>
    <n v="387521.4"/>
    <n v="37415"/>
    <n v="374181.8181818182"/>
    <s v="카페24고체향수유즈 솔리드퍼퓸 - 30ml (11차 예약구매 진행중)향=커플세트(이그나이트 + 스테이포에버), 세트 선택=1 SET210101"/>
  </r>
  <r>
    <x v="222"/>
    <s v="금"/>
    <x v="11"/>
    <s v="카페24"/>
    <s v="유즈 스테이포에버 솔리드퍼퓸 002 (10차 재입고 완료)제품선택=스테이포에버 1개"/>
    <n v="2"/>
    <x v="0"/>
    <s v="스테이포에버"/>
    <n v="210101"/>
    <m/>
    <n v="76000"/>
    <n v="71554"/>
    <n v="5184"/>
    <n v="69090.90909090909"/>
    <s v="카페24고체향수유즈 스테이포에버 솔리드퍼퓸 002 (10차 재입고 완료)제품선택=스테이포에버 1개210101"/>
  </r>
  <r>
    <x v="222"/>
    <s v="금"/>
    <x v="11"/>
    <s v="카페24"/>
    <s v="유즈 스테이포에버 솔리드퍼퓸 002 (11차 예약구매 진행중)제품선택=스테이포에버 1개"/>
    <n v="512"/>
    <x v="0"/>
    <s v="스테이포에버"/>
    <n v="210101"/>
    <m/>
    <n v="17408000"/>
    <n v="16389632"/>
    <n v="1327104"/>
    <n v="15825454.54545454"/>
    <s v="카페24고체향수유즈 스테이포에버 솔리드퍼퓸 002 (11차 예약구매 진행중)제품선택=스테이포에버 1개210101"/>
  </r>
  <r>
    <x v="222"/>
    <s v="금"/>
    <x v="11"/>
    <s v="카페24"/>
    <s v="유즈 스테이포에버 솔리드퍼퓸 002 (11차 예약구매 진행중)제품선택=best"/>
    <n v="105"/>
    <x v="0"/>
    <s v="스테이포에버"/>
    <n v="210101"/>
    <m/>
    <n v="3570000"/>
    <n v="3361155"/>
    <n v="272160"/>
    <n v="3245454.545454545"/>
    <s v="카페24고체향수유즈 스테이포에버 솔리드퍼퓸 002 (11차 예약구매 진행중)제품선택=best210101"/>
  </r>
  <r>
    <x v="222"/>
    <s v="금"/>
    <x v="11"/>
    <s v="카페24"/>
    <s v="유즈 스테이포에버 솔리드퍼퓸 002 (11차 예약구매 진행중)제품선택=best스테이포에버 2개[28% 할인]"/>
    <n v="152"/>
    <x v="0"/>
    <s v="스테이포에버 2set"/>
    <n v="210101"/>
    <m/>
    <n v="8937600"/>
    <n v="8414750.4"/>
    <n v="787968"/>
    <n v="8125090.909090908"/>
    <s v="카페24고체향수유즈 스테이포에버 솔리드퍼퓸 002 (11차 예약구매 진행중)제품선택=best스테이포에버 2개[28% 할인]210101"/>
  </r>
  <r>
    <x v="222"/>
    <s v="금"/>
    <x v="11"/>
    <s v="카페24"/>
    <s v="유즈 스테이포에버 솔리드퍼퓸 002 (11차 예약구매 진행중)제품선택=커플추천"/>
    <n v="16"/>
    <x v="0"/>
    <s v="스테이포에버"/>
    <n v="210101"/>
    <m/>
    <n v="544000"/>
    <n v="512176"/>
    <n v="41472"/>
    <n v="494545.4545454545"/>
    <s v="카페24고체향수유즈 스테이포에버 솔리드퍼퓸 002 (11차 예약구매 진행중)제품선택=커플추천210101"/>
  </r>
  <r>
    <x v="222"/>
    <s v="금"/>
    <x v="11"/>
    <s v="카페24"/>
    <s v="유즈 스테이포에버 솔리드퍼퓸 002 (11차 예약구매 진행중)제품선택=커플추천스테이포에버 + 이그나이트 세트"/>
    <n v="15"/>
    <x v="0"/>
    <s v="이그나이트 + 스테이포에버"/>
    <n v="210101"/>
    <m/>
    <n v="882000"/>
    <n v="830403"/>
    <n v="80175"/>
    <n v="801818.1818181818"/>
    <s v="카페24고체향수유즈 스테이포에버 솔리드퍼퓸 002 (11차 예약구매 진행중)제품선택=커플추천스테이포에버 + 이그나이트 세트210101"/>
  </r>
  <r>
    <x v="222"/>
    <s v="금"/>
    <x v="11"/>
    <s v="카페24"/>
    <s v="유즈 스테이포에버 솔리드퍼퓸 002 (11차 예약구매 진행중)쇼핑백=선물용 쇼핑백"/>
    <n v="17"/>
    <x v="0"/>
    <s v="쇼핑백"/>
    <n v="210101"/>
    <m/>
    <n v="34000"/>
    <n v="32011"/>
    <n v="14110"/>
    <n v="30909.09090909091"/>
    <s v="카페24고체향수유즈 스테이포에버 솔리드퍼퓸 002 (11차 예약구매 진행중)쇼핑백=선물용 쇼핑백210101"/>
  </r>
  <r>
    <x v="222"/>
    <s v="금"/>
    <x v="11"/>
    <s v="카페24"/>
    <s v="유즈 이그나이트 솔리드퍼퓸 001제품선택=이그나이트 솔리드퍼퓸 - 30ml"/>
    <n v="6"/>
    <x v="0"/>
    <s v="이그나이트"/>
    <n v="210101"/>
    <m/>
    <n v="228000"/>
    <n v="214662"/>
    <n v="16518"/>
    <n v="207272.7272727273"/>
    <s v="카페24고체향수유즈 이그나이트 솔리드퍼퓸 001제품선택=이그나이트 솔리드퍼퓸 - 30ml210101"/>
  </r>
  <r>
    <x v="222"/>
    <s v="금"/>
    <x v="11"/>
    <s v="카페24"/>
    <s v="유즈 이그나이트 솔리드퍼퓸 001제품선택=이그나이트 2개 세트"/>
    <n v="5"/>
    <x v="0"/>
    <s v="이그나이트 2set"/>
    <n v="210101"/>
    <m/>
    <n v="294000"/>
    <n v="276801"/>
    <n v="27530"/>
    <n v="267272.7272727272"/>
    <s v="카페24고체향수유즈 이그나이트 솔리드퍼퓸 001제품선택=이그나이트 2개 세트210101"/>
  </r>
  <r>
    <x v="223"/>
    <s v="토"/>
    <x v="11"/>
    <s v="카페24"/>
    <s v="유즈 솔리드퍼퓸 - 30ml (11차 예약구매 진행중)향=이그나이트 001 SOLID PERFUME, 세트 선택=1개"/>
    <n v="2"/>
    <x v="0"/>
    <s v="이그나이트"/>
    <n v="210101"/>
    <m/>
    <n v="68000"/>
    <n v="64022"/>
    <n v="5506"/>
    <n v="61818.18181818182"/>
    <s v="카페24고체향수유즈 솔리드퍼퓸 - 30ml (11차 예약구매 진행중)향=이그나이트 001 SOLID PERFUME, 세트 선택=1개210101"/>
  </r>
  <r>
    <x v="223"/>
    <s v="토"/>
    <x v="11"/>
    <s v="카페24"/>
    <s v="유즈 솔리드퍼퓸 - 30ml (11차 예약구매 진행중)향=스테이포에버 002 SOLID PERFUME, 세트 선택=1개"/>
    <n v="18"/>
    <x v="0"/>
    <s v="스테이포에버"/>
    <n v="210101"/>
    <m/>
    <n v="612000"/>
    <n v="576198"/>
    <n v="46656"/>
    <n v="556363.6363636364"/>
    <s v="카페24고체향수유즈 솔리드퍼퓸 - 30ml (11차 예약구매 진행중)향=스테이포에버 002 SOLID PERFUME, 세트 선택=1개210101"/>
  </r>
  <r>
    <x v="223"/>
    <s v="토"/>
    <x v="11"/>
    <s v="카페24"/>
    <s v="유즈 솔리드퍼퓸 - 30ml (11차 예약구매 진행중)향=스테이포에버 002 SOLID PERFUME, 세트 선택=best"/>
    <n v="2"/>
    <x v="0"/>
    <s v="스테이포에버"/>
    <n v="210101"/>
    <m/>
    <n v="68000"/>
    <n v="64022"/>
    <n v="5184"/>
    <n v="61818.18181818182"/>
    <s v="카페24고체향수유즈 솔리드퍼퓸 - 30ml (11차 예약구매 진행중)향=스테이포에버 002 SOLID PERFUME, 세트 선택=best210101"/>
  </r>
  <r>
    <x v="223"/>
    <s v="토"/>
    <x v="11"/>
    <s v="카페24"/>
    <s v="유즈 솔리드퍼퓸 - 30ml (11차 예약구매 진행중)향=스테이포에버 002 SOLID PERFUME, 세트 선택=best 2개 (28% 할인)"/>
    <n v="4"/>
    <x v="0"/>
    <s v="스테이포에버 2set"/>
    <n v="210101"/>
    <m/>
    <n v="235200"/>
    <n v="221440.8"/>
    <n v="20736"/>
    <n v="213818.1818181818"/>
    <s v="카페24고체향수유즈 솔리드퍼퓸 - 30ml (11차 예약구매 진행중)향=스테이포에버 002 SOLID PERFUME, 세트 선택=best 2개 (28% 할인)210101"/>
  </r>
  <r>
    <x v="223"/>
    <s v="토"/>
    <x v="11"/>
    <s v="카페24"/>
    <s v="유즈 솔리드퍼퓸 - 30ml (11차 예약구매 진행중)향=커플세트"/>
    <n v="5"/>
    <x v="0"/>
    <s v="이그나이트 + 스테이포에버"/>
    <n v="210101"/>
    <m/>
    <n v="294000"/>
    <n v="276801"/>
    <n v="26725"/>
    <n v="267272.7272727272"/>
    <s v="카페24고체향수유즈 솔리드퍼퓸 - 30ml (11차 예약구매 진행중)향=커플세트210101"/>
  </r>
  <r>
    <x v="223"/>
    <s v="토"/>
    <x v="11"/>
    <s v="카페24"/>
    <s v="유즈 솔리드퍼퓸 - 30ml (11차 예약구매 진행중)향=커플세트(이그나이트 + 스테이포에버), 세트 선택=1 SET"/>
    <n v="7"/>
    <x v="0"/>
    <s v="이그나이트 + 스테이포에버"/>
    <n v="210101"/>
    <m/>
    <n v="411600"/>
    <n v="387521.4"/>
    <n v="37415"/>
    <n v="374181.8181818182"/>
    <s v="카페24고체향수유즈 솔리드퍼퓸 - 30ml (11차 예약구매 진행중)향=커플세트(이그나이트 + 스테이포에버), 세트 선택=1 SET210101"/>
  </r>
  <r>
    <x v="223"/>
    <s v="토"/>
    <x v="11"/>
    <s v="카페24"/>
    <s v="유즈 솔리드퍼퓸 - 30ml (11차 예약구매 진행중)향=커플세트"/>
    <n v="2"/>
    <x v="0"/>
    <s v="이그나이트 + 스테이포에버"/>
    <n v="210101"/>
    <m/>
    <n v="117600"/>
    <n v="110720.4"/>
    <n v="10690"/>
    <n v="106909.0909090909"/>
    <s v="카페24고체향수유즈 솔리드퍼퓸 - 30ml (11차 예약구매 진행중)향=커플세트210101"/>
  </r>
  <r>
    <x v="223"/>
    <s v="토"/>
    <x v="11"/>
    <s v="카페24"/>
    <s v="유즈 솔리드퍼퓸 - 30ml (11차 예약구매 진행중)향=커플세트(이그나이트 + 스테이포에버), 세트 선택=2 SET (42% 할인)"/>
    <n v="1"/>
    <x v="0"/>
    <s v="이그나이트 + 스테이포에버"/>
    <n v="210101"/>
    <m/>
    <n v="58800"/>
    <n v="55360.2"/>
    <n v="5345"/>
    <n v="53454.54545454545"/>
    <s v="카페24고체향수유즈 솔리드퍼퓸 - 30ml (11차 예약구매 진행중)향=커플세트(이그나이트 + 스테이포에버), 세트 선택=2 SET (42% 할인)210101"/>
  </r>
  <r>
    <x v="223"/>
    <s v="토"/>
    <x v="11"/>
    <s v="카페24"/>
    <s v="유즈 스테이포에버 솔리드퍼퓸 002 (10차 재입고 완료)제품선택=best"/>
    <n v="1"/>
    <x v="0"/>
    <s v="스테이포에버 2set"/>
    <n v="210101"/>
    <m/>
    <n v="58800"/>
    <n v="55360.2"/>
    <n v="5184"/>
    <n v="53454.54545454545"/>
    <s v="카페24고체향수유즈 스테이포에버 솔리드퍼퓸 002 (10차 재입고 완료)제품선택=best210101"/>
  </r>
  <r>
    <x v="223"/>
    <s v="토"/>
    <x v="11"/>
    <s v="카페24"/>
    <s v="유즈 스테이포에버 솔리드퍼퓸 002 (11차 예약구매 진행중)제품선택=스테이포에버 1개"/>
    <n v="426"/>
    <x v="0"/>
    <s v="스테이포에버"/>
    <n v="210101"/>
    <m/>
    <n v="14484000"/>
    <n v="13636686"/>
    <n v="1104192"/>
    <n v="13167272.72727273"/>
    <s v="카페24고체향수유즈 스테이포에버 솔리드퍼퓸 002 (11차 예약구매 진행중)제품선택=스테이포에버 1개210101"/>
  </r>
  <r>
    <x v="223"/>
    <s v="토"/>
    <x v="11"/>
    <s v="카페24"/>
    <s v="유즈 스테이포에버 솔리드퍼퓸 002 (11차 예약구매 진행중)제품선택=best"/>
    <n v="78"/>
    <x v="0"/>
    <s v="스테이포에버"/>
    <n v="210101"/>
    <m/>
    <n v="2652000"/>
    <n v="2496858"/>
    <n v="202176"/>
    <n v="2410909.090909091"/>
    <s v="카페24고체향수유즈 스테이포에버 솔리드퍼퓸 002 (11차 예약구매 진행중)제품선택=best210101"/>
  </r>
  <r>
    <x v="223"/>
    <s v="토"/>
    <x v="11"/>
    <s v="카페24"/>
    <s v="유즈 스테이포에버 솔리드퍼퓸 002 (11차 예약구매 진행중)제품선택=best스테이포에버 2개[28% 할인]"/>
    <n v="137"/>
    <x v="0"/>
    <s v="스테이포에버 2set"/>
    <n v="210101"/>
    <m/>
    <n v="8055600"/>
    <n v="7584347.4"/>
    <n v="710208"/>
    <n v="7323272.727272727"/>
    <s v="카페24고체향수유즈 스테이포에버 솔리드퍼퓸 002 (11차 예약구매 진행중)제품선택=best스테이포에버 2개[28% 할인]210101"/>
  </r>
  <r>
    <x v="223"/>
    <s v="토"/>
    <x v="11"/>
    <s v="카페24"/>
    <s v="유즈 스테이포에버 솔리드퍼퓸 002 (11차 예약구매 진행중)제품선택=커플추천"/>
    <n v="11"/>
    <x v="0"/>
    <s v="스테이포에버"/>
    <n v="210101"/>
    <m/>
    <n v="374000"/>
    <n v="352121"/>
    <n v="28512"/>
    <n v="340000"/>
    <s v="카페24고체향수유즈 스테이포에버 솔리드퍼퓸 002 (11차 예약구매 진행중)제품선택=커플추천210101"/>
  </r>
  <r>
    <x v="223"/>
    <s v="토"/>
    <x v="11"/>
    <s v="카페24"/>
    <s v="유즈 스테이포에버 솔리드퍼퓸 002 (11차 예약구매 진행중)제품선택=커플추천스테이포에버 + 이그나이트 세트"/>
    <n v="19"/>
    <x v="0"/>
    <s v="이그나이트 + 스테이포에버"/>
    <n v="210101"/>
    <m/>
    <n v="1117200"/>
    <n v="1051843.8"/>
    <n v="101555"/>
    <n v="1015636.363636364"/>
    <s v="카페24고체향수유즈 스테이포에버 솔리드퍼퓸 002 (11차 예약구매 진행중)제품선택=커플추천스테이포에버 + 이그나이트 세트210101"/>
  </r>
  <r>
    <x v="223"/>
    <s v="토"/>
    <x v="11"/>
    <s v="카페24"/>
    <s v="유즈 스테이포에버 솔리드퍼퓸 002 (11차 예약구매 진행중)쇼핑백=선물용 쇼핑백"/>
    <n v="17"/>
    <x v="0"/>
    <s v="쇼핑백"/>
    <n v="210101"/>
    <m/>
    <n v="34000"/>
    <n v="32011"/>
    <n v="14110"/>
    <n v="30909.09090909091"/>
    <s v="카페24고체향수유즈 스테이포에버 솔리드퍼퓸 002 (11차 예약구매 진행중)쇼핑백=선물용 쇼핑백210101"/>
  </r>
  <r>
    <x v="223"/>
    <s v="토"/>
    <x v="11"/>
    <s v="카페24"/>
    <s v="유즈 이그나이트 솔리드퍼퓸 001제품선택=이그나이트 솔리드퍼퓸 - 30ml"/>
    <n v="9"/>
    <x v="0"/>
    <s v="이그나이트"/>
    <n v="210101"/>
    <m/>
    <n v="342000"/>
    <n v="321993"/>
    <n v="24777"/>
    <n v="310909.0909090909"/>
    <s v="카페24고체향수유즈 이그나이트 솔리드퍼퓸 001제품선택=이그나이트 솔리드퍼퓸 - 30ml210101"/>
  </r>
  <r>
    <x v="223"/>
    <s v="토"/>
    <x v="11"/>
    <s v="카페24"/>
    <s v="유즈 이그나이트 솔리드퍼퓸 001제품선택=이그나이트 2개 세트"/>
    <n v="1"/>
    <x v="0"/>
    <s v="이그나이트 2set"/>
    <n v="210101"/>
    <m/>
    <n v="58800"/>
    <n v="55360.2"/>
    <n v="5506"/>
    <n v="53454.54545454545"/>
    <s v="카페24고체향수유즈 이그나이트 솔리드퍼퓸 001제품선택=이그나이트 2개 세트210101"/>
  </r>
  <r>
    <x v="224"/>
    <s v="일"/>
    <x v="11"/>
    <s v="카페24"/>
    <s v="유즈 솔리드퍼퓸 - 30ml (11차 예약구매 진행중)향=이그나이트 001 SOLID PERFUME, 세트 선택=1개"/>
    <n v="1"/>
    <x v="0"/>
    <s v="이그나이트"/>
    <n v="210101"/>
    <m/>
    <n v="34000"/>
    <n v="32011"/>
    <n v="2753"/>
    <n v="30909.09090909091"/>
    <s v="카페24고체향수유즈 솔리드퍼퓸 - 30ml (11차 예약구매 진행중)향=이그나이트 001 SOLID PERFUME, 세트 선택=1개210101"/>
  </r>
  <r>
    <x v="224"/>
    <s v="일"/>
    <x v="11"/>
    <s v="카페24"/>
    <s v="유즈 솔리드퍼퓸 - 30ml (11차 예약구매 진행중)향=스테이포에버 002 SOLID PERFUME, 세트 선택=1개"/>
    <n v="18"/>
    <x v="0"/>
    <s v="스테이포에버"/>
    <n v="210101"/>
    <m/>
    <n v="612000"/>
    <n v="576198"/>
    <n v="46656"/>
    <n v="556363.6363636364"/>
    <s v="카페24고체향수유즈 솔리드퍼퓸 - 30ml (11차 예약구매 진행중)향=스테이포에버 002 SOLID PERFUME, 세트 선택=1개210101"/>
  </r>
  <r>
    <x v="224"/>
    <s v="일"/>
    <x v="11"/>
    <s v="카페24"/>
    <s v="유즈 솔리드퍼퓸 - 30ml (11차 예약구매 진행중)향=스테이포에버 002 SOLID PERFUME, 세트 선택=best"/>
    <n v="7"/>
    <x v="0"/>
    <s v="스테이포에버"/>
    <n v="210101"/>
    <m/>
    <n v="238000"/>
    <n v="224077"/>
    <n v="18144"/>
    <n v="216363.6363636364"/>
    <s v="카페24고체향수유즈 솔리드퍼퓸 - 30ml (11차 예약구매 진행중)향=스테이포에버 002 SOLID PERFUME, 세트 선택=best210101"/>
  </r>
  <r>
    <x v="224"/>
    <s v="일"/>
    <x v="11"/>
    <s v="카페24"/>
    <s v="유즈 솔리드퍼퓸 - 30ml (11차 예약구매 진행중)향=커플세트"/>
    <n v="7"/>
    <x v="0"/>
    <s v="이그나이트 + 스테이포에버"/>
    <n v="210101"/>
    <m/>
    <n v="411600"/>
    <n v="387521.4"/>
    <n v="37415"/>
    <n v="374181.8181818182"/>
    <s v="카페24고체향수유즈 솔리드퍼퓸 - 30ml (11차 예약구매 진행중)향=커플세트210101"/>
  </r>
  <r>
    <x v="224"/>
    <s v="일"/>
    <x v="11"/>
    <s v="카페24"/>
    <s v="유즈 솔리드퍼퓸 - 30ml (11차 예약구매 진행중)향=커플세트(이그나이트 + 스테이포에버), 세트 선택=1 SET"/>
    <n v="5"/>
    <x v="0"/>
    <s v="이그나이트 + 스테이포에버"/>
    <n v="210101"/>
    <m/>
    <n v="294000"/>
    <n v="276801"/>
    <n v="26725"/>
    <n v="267272.7272727272"/>
    <s v="카페24고체향수유즈 솔리드퍼퓸 - 30ml (11차 예약구매 진행중)향=커플세트(이그나이트 + 스테이포에버), 세트 선택=1 SET210101"/>
  </r>
  <r>
    <x v="224"/>
    <s v="일"/>
    <x v="11"/>
    <s v="카페24"/>
    <s v="유즈 솔리드퍼퓸 - 30ml (11차 예약구매 진행중)향=커플세트"/>
    <n v="1"/>
    <x v="0"/>
    <s v="이그나이트 + 스테이포에버"/>
    <n v="210101"/>
    <m/>
    <n v="58800"/>
    <n v="55360.2"/>
    <n v="5345"/>
    <n v="53454.54545454545"/>
    <s v="카페24고체향수유즈 솔리드퍼퓸 - 30ml (11차 예약구매 진행중)향=커플세트210101"/>
  </r>
  <r>
    <x v="224"/>
    <s v="일"/>
    <x v="11"/>
    <s v="카페24"/>
    <s v="유즈 솔리드퍼퓸 - 30ml (11차 예약구매 진행중)향=커플세트(이그나이트 + 스테이포에버), 세트 선택=2 SET (42% 할인)"/>
    <n v="1"/>
    <x v="0"/>
    <s v="이그나이트 + 스테이포에버"/>
    <n v="210101"/>
    <m/>
    <n v="58800"/>
    <n v="55360.2"/>
    <n v="5345"/>
    <n v="53454.54545454545"/>
    <s v="카페24고체향수유즈 솔리드퍼퓸 - 30ml (11차 예약구매 진행중)향=커플세트(이그나이트 + 스테이포에버), 세트 선택=2 SET (42% 할인)210101"/>
  </r>
  <r>
    <x v="224"/>
    <s v="일"/>
    <x v="11"/>
    <s v="카페24"/>
    <s v="유즈 스테이포에버 솔리드퍼퓸 002 (10차 재입고 완료)제품선택=스테이포에버 1개"/>
    <n v="1"/>
    <x v="0"/>
    <s v="스테이포에버"/>
    <n v="210101"/>
    <m/>
    <n v="38000"/>
    <n v="35777"/>
    <n v="2592"/>
    <n v="34545.45454545454"/>
    <s v="카페24고체향수유즈 스테이포에버 솔리드퍼퓸 002 (10차 재입고 완료)제품선택=스테이포에버 1개210101"/>
  </r>
  <r>
    <x v="224"/>
    <s v="일"/>
    <x v="11"/>
    <s v="카페24"/>
    <s v="유즈 스테이포에버 솔리드퍼퓸 002 (10차 재입고 완료)제품선택=best스테이포에버 2개[28% 할인]"/>
    <n v="1"/>
    <x v="0"/>
    <s v="스테이포에버 2set"/>
    <n v="210101"/>
    <m/>
    <n v="58800"/>
    <n v="55360.2"/>
    <n v="5184"/>
    <n v="53454.54545454545"/>
    <s v="카페24고체향수유즈 스테이포에버 솔리드퍼퓸 002 (10차 재입고 완료)제품선택=best스테이포에버 2개[28% 할인]210101"/>
  </r>
  <r>
    <x v="224"/>
    <s v="일"/>
    <x v="11"/>
    <s v="카페24"/>
    <s v="유즈 스테이포에버 솔리드퍼퓸 002 (11차 예약구매 진행중)제품선택=스테이포에버 1개"/>
    <n v="404"/>
    <x v="0"/>
    <s v="스테이포에버"/>
    <n v="210101"/>
    <m/>
    <n v="13736000"/>
    <n v="12932444"/>
    <n v="1047168"/>
    <n v="12487272.72727273"/>
    <s v="카페24고체향수유즈 스테이포에버 솔리드퍼퓸 002 (11차 예약구매 진행중)제품선택=스테이포에버 1개210101"/>
  </r>
  <r>
    <x v="224"/>
    <s v="일"/>
    <x v="11"/>
    <s v="카페24"/>
    <s v="유즈 스테이포에버 솔리드퍼퓸 002 (11차 예약구매 진행중)제품선택=best"/>
    <n v="81"/>
    <x v="0"/>
    <s v="스테이포에버"/>
    <n v="210101"/>
    <m/>
    <n v="2754000"/>
    <n v="2592891"/>
    <n v="209952"/>
    <n v="2503636.363636363"/>
    <s v="카페24고체향수유즈 스테이포에버 솔리드퍼퓸 002 (11차 예약구매 진행중)제품선택=best210101"/>
  </r>
  <r>
    <x v="224"/>
    <s v="일"/>
    <x v="11"/>
    <s v="카페24"/>
    <s v="유즈 스테이포에버 솔리드퍼퓸 002 (11차 예약구매 진행중)제품선택=best스테이포에버 2개[28% 할인]"/>
    <n v="129"/>
    <x v="0"/>
    <s v="스테이포에버 2set"/>
    <n v="210101"/>
    <m/>
    <n v="7585200"/>
    <n v="7141465.8"/>
    <n v="668736"/>
    <n v="6895636.363636363"/>
    <s v="카페24고체향수유즈 스테이포에버 솔리드퍼퓸 002 (11차 예약구매 진행중)제품선택=best스테이포에버 2개[28% 할인]210101"/>
  </r>
  <r>
    <x v="224"/>
    <s v="일"/>
    <x v="11"/>
    <s v="카페24"/>
    <s v="유즈 스테이포에버 솔리드퍼퓸 002 (11차 예약구매 진행중)제품선택=커플추천"/>
    <n v="7"/>
    <x v="0"/>
    <s v="스테이포에버"/>
    <n v="210101"/>
    <m/>
    <n v="238000"/>
    <n v="224077"/>
    <n v="18144"/>
    <n v="216363.6363636364"/>
    <s v="카페24고체향수유즈 스테이포에버 솔리드퍼퓸 002 (11차 예약구매 진행중)제품선택=커플추천210101"/>
  </r>
  <r>
    <x v="224"/>
    <s v="일"/>
    <x v="11"/>
    <s v="카페24"/>
    <s v="유즈 스테이포에버 솔리드퍼퓸 002 (11차 예약구매 진행중)제품선택=커플추천스테이포에버 + 이그나이트 세트"/>
    <n v="17"/>
    <x v="0"/>
    <s v="이그나이트 + 스테이포에버"/>
    <n v="210101"/>
    <m/>
    <n v="999600"/>
    <n v="941123.4"/>
    <n v="90865"/>
    <n v="908727.2727272727"/>
    <s v="카페24고체향수유즈 스테이포에버 솔리드퍼퓸 002 (11차 예약구매 진행중)제품선택=커플추천스테이포에버 + 이그나이트 세트210101"/>
  </r>
  <r>
    <x v="224"/>
    <s v="일"/>
    <x v="11"/>
    <s v="카페24"/>
    <s v="유즈 스테이포에버 솔리드퍼퓸 002 (11차 예약구매 진행중)쇼핑백=선물용 쇼핑백"/>
    <n v="21"/>
    <x v="0"/>
    <s v="쇼핑백"/>
    <n v="210101"/>
    <m/>
    <n v="42000"/>
    <n v="39543"/>
    <n v="17430"/>
    <n v="38181.81818181818"/>
    <s v="카페24고체향수유즈 스테이포에버 솔리드퍼퓸 002 (11차 예약구매 진행중)쇼핑백=선물용 쇼핑백210101"/>
  </r>
  <r>
    <x v="224"/>
    <s v="일"/>
    <x v="11"/>
    <s v="카페24"/>
    <s v="유즈 이그나이트 솔리드퍼퓸 001제품선택=이그나이트 솔리드퍼퓸 - 30ml"/>
    <n v="1"/>
    <x v="0"/>
    <s v="이그나이트"/>
    <n v="210101"/>
    <m/>
    <n v="38000"/>
    <n v="35777"/>
    <n v="2753"/>
    <n v="34545.45454545454"/>
    <s v="카페24고체향수유즈 이그나이트 솔리드퍼퓸 001제품선택=이그나이트 솔리드퍼퓸 - 30ml210101"/>
  </r>
  <r>
    <x v="224"/>
    <s v="일"/>
    <x v="11"/>
    <s v="카페24"/>
    <s v="유즈 이그나이트 솔리드퍼퓸 001쇼핑백=선물용 쇼핑백"/>
    <n v="1"/>
    <x v="2"/>
    <s v="쇼핑백"/>
    <n v="210101"/>
    <m/>
    <n v="2000"/>
    <n v="1883"/>
    <n v="830"/>
    <n v="1818.181818181818"/>
    <s v="카페24쇼핑백유즈 이그나이트 솔리드퍼퓸 001쇼핑백=선물용 쇼핑백210101"/>
  </r>
  <r>
    <x v="225"/>
    <s v="월"/>
    <x v="11"/>
    <s v="카페24"/>
    <s v="유즈 솔리드퍼퓸 - 30ml (11차 예약구매 진행중)향=이그나이트 001 SOLID PERFUME, 세트 선택=1개"/>
    <n v="1"/>
    <x v="0"/>
    <s v="이그나이트"/>
    <n v="210101"/>
    <m/>
    <n v="34000"/>
    <n v="32011"/>
    <n v="2753"/>
    <n v="30909.09090909091"/>
    <s v="카페24고체향수유즈 솔리드퍼퓸 - 30ml (11차 예약구매 진행중)향=이그나이트 001 SOLID PERFUME, 세트 선택=1개210101"/>
  </r>
  <r>
    <x v="225"/>
    <s v="월"/>
    <x v="11"/>
    <s v="카페24"/>
    <s v="유즈 솔리드퍼퓸 - 30ml (11차 예약구매 진행중)향=이그나이트 001 SOLID PERFUME, 세트 선택=best"/>
    <n v="1"/>
    <x v="0"/>
    <s v="이그나이트"/>
    <n v="210101"/>
    <m/>
    <n v="34000"/>
    <n v="32011"/>
    <n v="2753"/>
    <n v="30909.09090909091"/>
    <s v="카페24고체향수유즈 솔리드퍼퓸 - 30ml (11차 예약구매 진행중)향=이그나이트 001 SOLID PERFUME, 세트 선택=best210101"/>
  </r>
  <r>
    <x v="225"/>
    <s v="월"/>
    <x v="11"/>
    <s v="카페24"/>
    <s v="유즈 솔리드퍼퓸 - 30ml (11차 예약구매 진행중)향=스테이포에버 002 SOLID PERFUME, 세트 선택=1개"/>
    <n v="10"/>
    <x v="0"/>
    <s v="스테이포에버"/>
    <n v="210101"/>
    <m/>
    <n v="340000"/>
    <n v="320110"/>
    <n v="25920"/>
    <n v="309090.9090909091"/>
    <s v="카페24고체향수유즈 솔리드퍼퓸 - 30ml (11차 예약구매 진행중)향=스테이포에버 002 SOLID PERFUME, 세트 선택=1개210101"/>
  </r>
  <r>
    <x v="225"/>
    <s v="월"/>
    <x v="11"/>
    <s v="카페24"/>
    <s v="유즈 솔리드퍼퓸 - 30ml (11차 예약구매 진행중)향=스테이포에버 002 SOLID PERFUME, 세트 선택=best"/>
    <n v="4"/>
    <x v="0"/>
    <s v="스테이포에버"/>
    <n v="210101"/>
    <m/>
    <n v="136000"/>
    <n v="128044"/>
    <n v="10368"/>
    <n v="123636.3636363636"/>
    <s v="카페24고체향수유즈 솔리드퍼퓸 - 30ml (11차 예약구매 진행중)향=스테이포에버 002 SOLID PERFUME, 세트 선택=best210101"/>
  </r>
  <r>
    <x v="225"/>
    <s v="월"/>
    <x v="11"/>
    <s v="카페24"/>
    <s v="유즈 솔리드퍼퓸 - 30ml (11차 예약구매 진행중)향=스테이포에버 002 SOLID PERFUME, 세트 선택=best 2개 (28% 할인)"/>
    <n v="4"/>
    <x v="0"/>
    <s v="스테이포에버 2set"/>
    <n v="210101"/>
    <m/>
    <n v="235200"/>
    <n v="221440.8"/>
    <n v="20736"/>
    <n v="213818.1818181818"/>
    <s v="카페24고체향수유즈 솔리드퍼퓸 - 30ml (11차 예약구매 진행중)향=스테이포에버 002 SOLID PERFUME, 세트 선택=best 2개 (28% 할인)210101"/>
  </r>
  <r>
    <x v="225"/>
    <s v="월"/>
    <x v="11"/>
    <s v="카페24"/>
    <s v="유즈 솔리드퍼퓸 - 30ml (11차 예약구매 진행중)향=커플세트"/>
    <n v="7"/>
    <x v="0"/>
    <s v="이그나이트 + 스테이포에버"/>
    <n v="210101"/>
    <m/>
    <n v="411600"/>
    <n v="387521.4"/>
    <n v="37415"/>
    <n v="374181.8181818182"/>
    <s v="카페24고체향수유즈 솔리드퍼퓸 - 30ml (11차 예약구매 진행중)향=커플세트210101"/>
  </r>
  <r>
    <x v="225"/>
    <s v="월"/>
    <x v="11"/>
    <s v="카페24"/>
    <s v="유즈 솔리드퍼퓸 - 30ml (11차 예약구매 진행중)향=커플세트(이그나이트 + 스테이포에버), 세트 선택=1 SET"/>
    <n v="4"/>
    <x v="0"/>
    <s v="이그나이트 + 스테이포에버"/>
    <n v="210101"/>
    <m/>
    <n v="235200"/>
    <n v="221440.8"/>
    <n v="21380"/>
    <n v="213818.1818181818"/>
    <s v="카페24고체향수유즈 솔리드퍼퓸 - 30ml (11차 예약구매 진행중)향=커플세트(이그나이트 + 스테이포에버), 세트 선택=1 SET210101"/>
  </r>
  <r>
    <x v="225"/>
    <s v="월"/>
    <x v="11"/>
    <s v="카페24"/>
    <s v="유즈 솔리드퍼퓸 - 30ml (11차 예약구매 진행중)향=커플세트"/>
    <n v="1"/>
    <x v="0"/>
    <s v="이그나이트 + 스테이포에버"/>
    <n v="210101"/>
    <m/>
    <n v="58800"/>
    <n v="55360.2"/>
    <n v="5345"/>
    <n v="53454.54545454545"/>
    <s v="카페24고체향수유즈 솔리드퍼퓸 - 30ml (11차 예약구매 진행중)향=커플세트210101"/>
  </r>
  <r>
    <x v="225"/>
    <s v="월"/>
    <x v="11"/>
    <s v="카페24"/>
    <s v="유즈 스테이포에버 솔리드퍼퓸 002 (10차 재입고 완료제품선택=스테이포에버 1개"/>
    <n v="1"/>
    <x v="0"/>
    <s v="스테이포에버"/>
    <n v="210101"/>
    <m/>
    <n v="38000"/>
    <n v="35777"/>
    <n v="2592"/>
    <n v="34545.45454545454"/>
    <s v="카페24고체향수유즈 스테이포에버 솔리드퍼퓸 002 (10차 재입고 완료제품선택=스테이포에버 1개210101"/>
  </r>
  <r>
    <x v="225"/>
    <s v="월"/>
    <x v="11"/>
    <s v="카페24"/>
    <s v="유즈 스테이포에버 솔리드퍼퓸 002 (10차 재입고 완료)제품선택=스테이포에버 1개"/>
    <n v="1"/>
    <x v="0"/>
    <s v="스테이포에버"/>
    <n v="210101"/>
    <m/>
    <n v="38000"/>
    <n v="35777"/>
    <n v="2592"/>
    <n v="34545.45454545454"/>
    <s v="카페24고체향수유즈 스테이포에버 솔리드퍼퓸 002 (10차 재입고 완료)제품선택=스테이포에버 1개210101"/>
  </r>
  <r>
    <x v="225"/>
    <s v="월"/>
    <x v="11"/>
    <s v="카페24"/>
    <s v="유즈 스테이포에버 솔리드퍼퓸 002 (10차 재입고 완료)제품선택=best"/>
    <n v="1"/>
    <x v="0"/>
    <s v="스테이포에버 2set"/>
    <n v="210101"/>
    <m/>
    <n v="58800"/>
    <n v="55360.2"/>
    <n v="5184"/>
    <n v="53454.54545454545"/>
    <s v="카페24고체향수유즈 스테이포에버 솔리드퍼퓸 002 (10차 재입고 완료)제품선택=best210101"/>
  </r>
  <r>
    <x v="225"/>
    <s v="월"/>
    <x v="11"/>
    <s v="카페24"/>
    <s v="유즈 스테이포에버 솔리드퍼퓸 002 (11차 예약구매 진행중)제품선택=스테이포에버 1개"/>
    <n v="410"/>
    <x v="0"/>
    <s v="스테이포에버"/>
    <n v="210101"/>
    <m/>
    <n v="13940000"/>
    <n v="13124510"/>
    <n v="1062720"/>
    <n v="12672727.27272727"/>
    <s v="카페24고체향수유즈 스테이포에버 솔리드퍼퓸 002 (11차 예약구매 진행중)제품선택=스테이포에버 1개210101"/>
  </r>
  <r>
    <x v="225"/>
    <s v="월"/>
    <x v="11"/>
    <s v="카페24"/>
    <s v="유즈 스테이포에버 솔리드퍼퓸 002 (11차 예약구매 진행중)제품선택=best"/>
    <n v="75"/>
    <x v="0"/>
    <s v="스테이포에버"/>
    <n v="210101"/>
    <m/>
    <n v="2550000"/>
    <n v="2400825"/>
    <n v="194400"/>
    <n v="2318181.818181818"/>
    <s v="카페24고체향수유즈 스테이포에버 솔리드퍼퓸 002 (11차 예약구매 진행중)제품선택=best210101"/>
  </r>
  <r>
    <x v="225"/>
    <s v="월"/>
    <x v="11"/>
    <s v="카페24"/>
    <s v="유즈 스테이포에버 솔리드퍼퓸 002 (11차 예약구매 진행중)제품선택=best스테이포에버 2개[28% 할인]"/>
    <n v="119"/>
    <x v="0"/>
    <s v="스테이포에버 2set"/>
    <n v="210101"/>
    <m/>
    <n v="6997200"/>
    <n v="6587863.8"/>
    <n v="616896"/>
    <n v="6361090.909090908"/>
    <s v="카페24고체향수유즈 스테이포에버 솔리드퍼퓸 002 (11차 예약구매 진행중)제품선택=best스테이포에버 2개[28% 할인]210101"/>
  </r>
  <r>
    <x v="225"/>
    <s v="월"/>
    <x v="11"/>
    <s v="카페24"/>
    <s v="유즈 스테이포에버 솔리드퍼퓸 002 (11차 예약구매 진행중)제품선택=커플추천"/>
    <n v="15"/>
    <x v="0"/>
    <s v="스테이포에버"/>
    <n v="210101"/>
    <m/>
    <n v="510000"/>
    <n v="480165"/>
    <n v="38880"/>
    <n v="463636.3636363636"/>
    <s v="카페24고체향수유즈 스테이포에버 솔리드퍼퓸 002 (11차 예약구매 진행중)제품선택=커플추천210101"/>
  </r>
  <r>
    <x v="225"/>
    <s v="월"/>
    <x v="11"/>
    <s v="카페24"/>
    <s v="유즈 스테이포에버 솔리드퍼퓸 002 (11차 예약구매 진행중)제품선택=커플추천스테이포에버 + 이그나이트 세트"/>
    <n v="12"/>
    <x v="0"/>
    <s v="이그나이트 + 스테이포에버"/>
    <n v="210101"/>
    <m/>
    <n v="705600"/>
    <n v="664322.4"/>
    <n v="64140"/>
    <n v="641454.5454545454"/>
    <s v="카페24고체향수유즈 스테이포에버 솔리드퍼퓸 002 (11차 예약구매 진행중)제품선택=커플추천스테이포에버 + 이그나이트 세트210101"/>
  </r>
  <r>
    <x v="225"/>
    <s v="월"/>
    <x v="11"/>
    <s v="카페24"/>
    <s v="유즈 스테이포에버 솔리드퍼퓸 002 (11차 예약구매 진행중)쇼핑백=선물용 쇼핑백"/>
    <n v="16"/>
    <x v="0"/>
    <s v="쇼핑백"/>
    <n v="210101"/>
    <m/>
    <n v="32000"/>
    <n v="30128"/>
    <n v="13280"/>
    <n v="29090.90909090909"/>
    <s v="카페24고체향수유즈 스테이포에버 솔리드퍼퓸 002 (11차 예약구매 진행중)쇼핑백=선물용 쇼핑백210101"/>
  </r>
  <r>
    <x v="225"/>
    <s v="월"/>
    <x v="11"/>
    <s v="카페24"/>
    <s v="유즈 이그나이트 솔리드퍼퓸 001제품선택=이그나이트 솔리드퍼퓸 - 30ml"/>
    <n v="7"/>
    <x v="0"/>
    <s v="이그나이트"/>
    <n v="210101"/>
    <m/>
    <n v="266000"/>
    <n v="250439"/>
    <n v="19271"/>
    <n v="241818.1818181818"/>
    <s v="카페24고체향수유즈 이그나이트 솔리드퍼퓸 001제품선택=이그나이트 솔리드퍼퓸 - 30ml210101"/>
  </r>
  <r>
    <x v="226"/>
    <s v="화"/>
    <x v="11"/>
    <s v="카페24"/>
    <s v="유즈 솔리드퍼퓸 - 30ml (11차 예약구매 진행중)향=이그나이트 001 SOLID PERFUME, 세트 선택=1개"/>
    <n v="1"/>
    <x v="0"/>
    <s v="이그나이트"/>
    <n v="210101"/>
    <m/>
    <n v="34000"/>
    <n v="32011"/>
    <n v="2753"/>
    <n v="30909.09090909091"/>
    <s v="카페24고체향수유즈 솔리드퍼퓸 - 30ml (11차 예약구매 진행중)향=이그나이트 001 SOLID PERFUME, 세트 선택=1개210101"/>
  </r>
  <r>
    <x v="226"/>
    <s v="화"/>
    <x v="11"/>
    <s v="카페24"/>
    <s v="유즈 솔리드퍼퓸 - 30ml (11차 예약구매 진행중)향=스테이포에버 002 SOLID PERFUME, 세트 선택=1개"/>
    <n v="12"/>
    <x v="0"/>
    <s v="스테이포에버"/>
    <n v="210101"/>
    <m/>
    <n v="408000"/>
    <n v="384132"/>
    <n v="31104"/>
    <n v="370909.0909090909"/>
    <s v="카페24고체향수유즈 솔리드퍼퓸 - 30ml (11차 예약구매 진행중)향=스테이포에버 002 SOLID PERFUME, 세트 선택=1개210101"/>
  </r>
  <r>
    <x v="226"/>
    <s v="화"/>
    <x v="11"/>
    <s v="카페24"/>
    <s v="유즈 솔리드퍼퓸 - 30ml (11차 예약구매 진행중)향=스테이포에버 002 SOLID PERFUME, 세트 선택=best"/>
    <n v="6"/>
    <x v="0"/>
    <s v="스테이포에버"/>
    <n v="210101"/>
    <m/>
    <n v="204000"/>
    <n v="192066"/>
    <n v="15552"/>
    <n v="185454.5454545454"/>
    <s v="카페24고체향수유즈 솔리드퍼퓸 - 30ml (11차 예약구매 진행중)향=스테이포에버 002 SOLID PERFUME, 세트 선택=best210101"/>
  </r>
  <r>
    <x v="226"/>
    <s v="화"/>
    <x v="11"/>
    <s v="카페24"/>
    <s v="유즈 솔리드퍼퓸 - 30ml (11차 예약구매 진행중)향=스테이포에버 002 SOLID PERFUME, 세트 선택=best 2개 (28% 할인)"/>
    <n v="4"/>
    <x v="0"/>
    <s v="스테이포에버 2set"/>
    <n v="210101"/>
    <m/>
    <n v="235200"/>
    <n v="221440.8"/>
    <n v="20736"/>
    <n v="213818.1818181818"/>
    <s v="카페24고체향수유즈 솔리드퍼퓸 - 30ml (11차 예약구매 진행중)향=스테이포에버 002 SOLID PERFUME, 세트 선택=best 2개 (28% 할인)210101"/>
  </r>
  <r>
    <x v="226"/>
    <s v="화"/>
    <x v="11"/>
    <s v="카페24"/>
    <s v="유즈 솔리드퍼퓸 - 30ml (11차 예약구매 진행중)향=커플세트"/>
    <n v="4"/>
    <x v="0"/>
    <s v="이그나이트 + 스테이포에버"/>
    <n v="210101"/>
    <m/>
    <n v="235200"/>
    <n v="221440.8"/>
    <n v="21380"/>
    <n v="213818.1818181818"/>
    <s v="카페24고체향수유즈 솔리드퍼퓸 - 30ml (11차 예약구매 진행중)향=커플세트210101"/>
  </r>
  <r>
    <x v="226"/>
    <s v="화"/>
    <x v="11"/>
    <s v="카페24"/>
    <s v="유즈 솔리드퍼퓸 - 30ml (11차 예약구매 진행중)향=커플세트(이그나이트 + 스테이포에버), 세트 선택=1 SET"/>
    <n v="4"/>
    <x v="0"/>
    <s v="이그나이트 + 스테이포에버"/>
    <n v="210101"/>
    <m/>
    <n v="235200"/>
    <n v="221440.8"/>
    <n v="21380"/>
    <n v="213818.1818181818"/>
    <s v="카페24고체향수유즈 솔리드퍼퓸 - 30ml (11차 예약구매 진행중)향=커플세트(이그나이트 + 스테이포에버), 세트 선택=1 SET210101"/>
  </r>
  <r>
    <x v="226"/>
    <s v="화"/>
    <x v="11"/>
    <s v="카페24"/>
    <s v="유즈 솔리드퍼퓸 - 30ml (11차 예약구매 진행중)향=커플세트"/>
    <n v="1"/>
    <x v="0"/>
    <s v="이그나이트 + 스테이포에버"/>
    <n v="210101"/>
    <m/>
    <n v="58800"/>
    <n v="55360.2"/>
    <n v="5345"/>
    <n v="53454.54545454545"/>
    <s v="카페24고체향수유즈 솔리드퍼퓸 - 30ml (11차 예약구매 진행중)향=커플세트210101"/>
  </r>
  <r>
    <x v="226"/>
    <s v="화"/>
    <x v="11"/>
    <s v="카페24"/>
    <s v="유즈 스테이포에버 솔리드퍼퓸 002 (10차 재입고 완료제품선택=스테이포에버 1개"/>
    <n v="1"/>
    <x v="0"/>
    <s v="스테이포에버"/>
    <n v="210101"/>
    <m/>
    <n v="38000"/>
    <n v="35777"/>
    <n v="2592"/>
    <n v="34545.45454545454"/>
    <s v="카페24고체향수유즈 스테이포에버 솔리드퍼퓸 002 (10차 재입고 완료제품선택=스테이포에버 1개210101"/>
  </r>
  <r>
    <x v="226"/>
    <s v="화"/>
    <x v="11"/>
    <s v="카페24"/>
    <s v="유즈 스테이포에버 솔리드퍼퓸 002 (10차 재입고 완료제품선택=best"/>
    <n v="1"/>
    <x v="0"/>
    <s v="스테이포에버 2set"/>
    <n v="210101"/>
    <m/>
    <n v="58800"/>
    <n v="55360.2"/>
    <n v="5184"/>
    <n v="53454.54545454545"/>
    <s v="카페24고체향수유즈 스테이포에버 솔리드퍼퓸 002 (10차 재입고 완료제품선택=best210101"/>
  </r>
  <r>
    <x v="226"/>
    <s v="화"/>
    <x v="11"/>
    <s v="카페24"/>
    <s v="유즈 스테이포에버 솔리드퍼퓸 002 (10차 재입고 완료)제품선택=스테이포에버 1개"/>
    <n v="1"/>
    <x v="0"/>
    <s v="스테이포에버"/>
    <n v="210101"/>
    <m/>
    <n v="38000"/>
    <n v="35777"/>
    <n v="2592"/>
    <n v="34545.45454545454"/>
    <s v="카페24고체향수유즈 스테이포에버 솔리드퍼퓸 002 (10차 재입고 완료)제품선택=스테이포에버 1개210101"/>
  </r>
  <r>
    <x v="226"/>
    <s v="화"/>
    <x v="11"/>
    <s v="카페24"/>
    <s v="유즈 스테이포에버 솔리드퍼퓸 002 (10차 재입고 완료)제품선택=best"/>
    <n v="2"/>
    <x v="0"/>
    <s v="스테이포에버 2set"/>
    <n v="210101"/>
    <m/>
    <n v="117600"/>
    <n v="110720.4"/>
    <n v="10368"/>
    <n v="106909.0909090909"/>
    <s v="카페24고체향수유즈 스테이포에버 솔리드퍼퓸 002 (10차 재입고 완료)제품선택=best210101"/>
  </r>
  <r>
    <x v="226"/>
    <s v="화"/>
    <x v="11"/>
    <s v="카페24"/>
    <s v="유즈 스테이포에버 솔리드퍼퓸 002 (11차 예약구매 진행중)제품선택=스테이포에버 1개"/>
    <n v="419"/>
    <x v="0"/>
    <s v="스테이포에버"/>
    <n v="210101"/>
    <m/>
    <n v="14246000"/>
    <n v="13412609"/>
    <n v="1086048"/>
    <n v="12950909.09090909"/>
    <s v="카페24고체향수유즈 스테이포에버 솔리드퍼퓸 002 (11차 예약구매 진행중)제품선택=스테이포에버 1개210101"/>
  </r>
  <r>
    <x v="226"/>
    <s v="화"/>
    <x v="11"/>
    <s v="카페24"/>
    <s v="유즈 스테이포에버 솔리드퍼퓸 002 (11차 예약구매 진행중)제품선택=best"/>
    <n v="77"/>
    <x v="0"/>
    <s v="스테이포에버"/>
    <n v="210101"/>
    <m/>
    <n v="2618000"/>
    <n v="2464847"/>
    <n v="199584"/>
    <n v="2380000"/>
    <s v="카페24고체향수유즈 스테이포에버 솔리드퍼퓸 002 (11차 예약구매 진행중)제품선택=best210101"/>
  </r>
  <r>
    <x v="226"/>
    <s v="화"/>
    <x v="11"/>
    <s v="카페24"/>
    <s v="유즈 스테이포에버 솔리드퍼퓸 002 (11차 예약구매 진행중)제품선택=best스테이포에버 2개[28% 할인]"/>
    <n v="122"/>
    <x v="0"/>
    <s v="스테이포에버 2set"/>
    <n v="210101"/>
    <m/>
    <n v="7173600"/>
    <n v="6753944.4"/>
    <n v="632448"/>
    <n v="6521454.545454545"/>
    <s v="카페24고체향수유즈 스테이포에버 솔리드퍼퓸 002 (11차 예약구매 진행중)제품선택=best스테이포에버 2개[28% 할인]210101"/>
  </r>
  <r>
    <x v="226"/>
    <s v="화"/>
    <x v="11"/>
    <s v="카페24"/>
    <s v="유즈 스테이포에버 솔리드퍼퓸 002 (11차 예약구매 진행중)제품선택=커플추천"/>
    <n v="9"/>
    <x v="0"/>
    <s v="스테이포에버"/>
    <n v="210101"/>
    <m/>
    <n v="306000"/>
    <n v="288099"/>
    <n v="23328"/>
    <n v="278181.8181818182"/>
    <s v="카페24고체향수유즈 스테이포에버 솔리드퍼퓸 002 (11차 예약구매 진행중)제품선택=커플추천210101"/>
  </r>
  <r>
    <x v="226"/>
    <s v="화"/>
    <x v="11"/>
    <s v="카페24"/>
    <s v="유즈 스테이포에버 솔리드퍼퓸 002 (11차 예약구매 진행중)제품선택=커플추천스테이포에버 + 이그나이트 세트"/>
    <n v="17"/>
    <x v="0"/>
    <s v="이그나이트 + 스테이포에버"/>
    <n v="210101"/>
    <m/>
    <n v="999600"/>
    <n v="941123.4"/>
    <n v="90865"/>
    <n v="908727.2727272727"/>
    <s v="카페24고체향수유즈 스테이포에버 솔리드퍼퓸 002 (11차 예약구매 진행중)제품선택=커플추천스테이포에버 + 이그나이트 세트210101"/>
  </r>
  <r>
    <x v="226"/>
    <s v="화"/>
    <x v="11"/>
    <s v="카페24"/>
    <s v="유즈 스테이포에버 솔리드퍼퓸 002 (11차 예약구매 진행중)쇼핑백=선물용 쇼핑백"/>
    <n v="8"/>
    <x v="0"/>
    <s v="쇼핑백"/>
    <n v="210101"/>
    <m/>
    <n v="16000"/>
    <n v="15064"/>
    <n v="6640"/>
    <n v="14545.45454545454"/>
    <s v="카페24고체향수유즈 스테이포에버 솔리드퍼퓸 002 (11차 예약구매 진행중)쇼핑백=선물용 쇼핑백210101"/>
  </r>
  <r>
    <x v="226"/>
    <s v="화"/>
    <x v="11"/>
    <s v="카페24"/>
    <s v="유즈 이그나이트 솔리드퍼퓸 001제품선택=이그나이트 솔리드퍼퓸 - 30ml"/>
    <n v="2"/>
    <x v="0"/>
    <s v="이그나이트"/>
    <n v="210101"/>
    <m/>
    <n v="76000"/>
    <n v="71554"/>
    <n v="5506"/>
    <n v="69090.90909090909"/>
    <s v="카페24고체향수유즈 이그나이트 솔리드퍼퓸 001제품선택=이그나이트 솔리드퍼퓸 - 30ml210101"/>
  </r>
  <r>
    <x v="226"/>
    <s v="화"/>
    <x v="11"/>
    <s v="카페24"/>
    <s v="유즈 이그나이트 솔리드퍼퓸 001제품선택=이그나이트 2개 세트"/>
    <n v="2"/>
    <x v="0"/>
    <s v="이그나이트 2set"/>
    <n v="210101"/>
    <m/>
    <n v="117600"/>
    <n v="110720.4"/>
    <n v="11012"/>
    <n v="106909.0909090909"/>
    <s v="카페24고체향수유즈 이그나이트 솔리드퍼퓸 001제품선택=이그나이트 2개 세트210101"/>
  </r>
  <r>
    <x v="226"/>
    <s v="화"/>
    <x v="11"/>
    <s v="카페24"/>
    <s v="유즈 이그나이트 솔리드퍼퓸 001쇼핑백=선물용 쇼핑백"/>
    <n v="1"/>
    <x v="2"/>
    <s v="쇼핑백"/>
    <n v="210101"/>
    <m/>
    <n v="2000"/>
    <n v="1883"/>
    <n v="830"/>
    <n v="1818.181818181818"/>
    <s v="카페24쇼핑백유즈 이그나이트 솔리드퍼퓸 001쇼핑백=선물용 쇼핑백210101"/>
  </r>
  <r>
    <x v="227"/>
    <s v="수"/>
    <x v="11"/>
    <s v="카페24"/>
    <s v="솔리드퍼퓸 스테이포에버 002 30ml"/>
    <n v="3"/>
    <x v="0"/>
    <s v="스테이포에버"/>
    <n v="210101"/>
    <m/>
    <n v="114000"/>
    <n v="107331"/>
    <n v="7776"/>
    <n v="103636.3636363636"/>
    <s v="카페24고체향수솔리드퍼퓸 스테이포에버 002 30ml210101"/>
  </r>
  <r>
    <x v="227"/>
    <s v="수"/>
    <x v="11"/>
    <s v="카페24"/>
    <s v="유즈 솔리드퍼퓸 - 30ml (11차 예약구매 진행중)향=이그나이트 001 SOLID PERFUME, 세트 선택=1개"/>
    <n v="2"/>
    <x v="0"/>
    <s v="이그나이트"/>
    <n v="210101"/>
    <m/>
    <n v="68000"/>
    <n v="64022"/>
    <n v="5506"/>
    <n v="61818.18181818182"/>
    <s v="카페24고체향수유즈 솔리드퍼퓸 - 30ml (11차 예약구매 진행중)향=이그나이트 001 SOLID PERFUME, 세트 선택=1개210101"/>
  </r>
  <r>
    <x v="227"/>
    <s v="수"/>
    <x v="11"/>
    <s v="카페24"/>
    <s v="유즈 솔리드퍼퓸 - 30ml (11차 예약구매 진행중)향=스테이포에버 002 SOLID PERFUME, 세트 선택=1개"/>
    <n v="12"/>
    <x v="0"/>
    <s v="스테이포에버"/>
    <n v="210101"/>
    <m/>
    <n v="408000"/>
    <n v="384132"/>
    <n v="31104"/>
    <n v="370909.0909090909"/>
    <s v="카페24고체향수유즈 솔리드퍼퓸 - 30ml (11차 예약구매 진행중)향=스테이포에버 002 SOLID PERFUME, 세트 선택=1개210101"/>
  </r>
  <r>
    <x v="227"/>
    <s v="수"/>
    <x v="11"/>
    <s v="카페24"/>
    <s v="유즈 솔리드퍼퓸 - 30ml (11차 예약구매 진행중)향=스테이포에버 002 SOLID PERFUME, 세트 선택=best"/>
    <n v="6"/>
    <x v="0"/>
    <s v="스테이포에버"/>
    <n v="210101"/>
    <m/>
    <n v="204000"/>
    <n v="192066"/>
    <n v="15552"/>
    <n v="185454.5454545454"/>
    <s v="카페24고체향수유즈 솔리드퍼퓸 - 30ml (11차 예약구매 진행중)향=스테이포에버 002 SOLID PERFUME, 세트 선택=best210101"/>
  </r>
  <r>
    <x v="227"/>
    <s v="수"/>
    <x v="11"/>
    <s v="카페24"/>
    <s v="유즈 솔리드퍼퓸 - 30ml (11차 예약구매 진행중)향=스테이포에버 002 SOLID PERFUME, 세트 선택=best 2개 (28% 할인)"/>
    <n v="2"/>
    <x v="0"/>
    <s v="스테이포에버 2set"/>
    <n v="210101"/>
    <m/>
    <n v="117600"/>
    <n v="110720.4"/>
    <n v="10368"/>
    <n v="106909.0909090909"/>
    <s v="카페24고체향수유즈 솔리드퍼퓸 - 30ml (11차 예약구매 진행중)향=스테이포에버 002 SOLID PERFUME, 세트 선택=best 2개 (28% 할인)210101"/>
  </r>
  <r>
    <x v="227"/>
    <s v="수"/>
    <x v="11"/>
    <s v="카페24"/>
    <s v="유즈 솔리드퍼퓸 - 30ml (11차 예약구매 진행중)향=커플세트"/>
    <n v="4"/>
    <x v="0"/>
    <s v="이그나이트 + 스테이포에버"/>
    <n v="210101"/>
    <m/>
    <n v="235200"/>
    <n v="221440.8"/>
    <n v="21380"/>
    <n v="213818.1818181818"/>
    <s v="카페24고체향수유즈 솔리드퍼퓸 - 30ml (11차 예약구매 진행중)향=커플세트210101"/>
  </r>
  <r>
    <x v="227"/>
    <s v="수"/>
    <x v="11"/>
    <s v="카페24"/>
    <s v="유즈 솔리드퍼퓸 - 30ml (11차 예약구매 진행중)향=커플세트(이그나이트 + 스테이포에버), 세트 선택=1 SET"/>
    <n v="7"/>
    <x v="0"/>
    <s v="이그나이트 + 스테이포에버"/>
    <n v="210101"/>
    <m/>
    <n v="411600"/>
    <n v="387521.4"/>
    <n v="37415"/>
    <n v="374181.8181818182"/>
    <s v="카페24고체향수유즈 솔리드퍼퓸 - 30ml (11차 예약구매 진행중)향=커플세트(이그나이트 + 스테이포에버), 세트 선택=1 SET210101"/>
  </r>
  <r>
    <x v="227"/>
    <s v="수"/>
    <x v="11"/>
    <s v="카페24"/>
    <s v="유즈 스테이포에버 솔리드퍼퓸 002 (11차 예약구매 진행중)제품선택=스테이포에버 1개"/>
    <n v="355"/>
    <x v="0"/>
    <s v="스테이포에버"/>
    <n v="210101"/>
    <m/>
    <n v="12070000"/>
    <n v="11363905"/>
    <n v="920160"/>
    <n v="10972727.27272727"/>
    <s v="카페24고체향수유즈 스테이포에버 솔리드퍼퓸 002 (11차 예약구매 진행중)제품선택=스테이포에버 1개210101"/>
  </r>
  <r>
    <x v="227"/>
    <s v="수"/>
    <x v="11"/>
    <s v="카페24"/>
    <s v="유즈 스테이포에버 솔리드퍼퓸 002 (11차 예약구매 진행중)제품선택=best"/>
    <n v="70"/>
    <x v="0"/>
    <s v="스테이포에버"/>
    <n v="210101"/>
    <m/>
    <n v="2380000"/>
    <n v="2240770"/>
    <n v="181440"/>
    <n v="2163636.363636363"/>
    <s v="카페24고체향수유즈 스테이포에버 솔리드퍼퓸 002 (11차 예약구매 진행중)제품선택=best210101"/>
  </r>
  <r>
    <x v="227"/>
    <s v="수"/>
    <x v="11"/>
    <s v="카페24"/>
    <s v="유즈 스테이포에버 솔리드퍼퓸 002 (11차 예약구매 진행중)제품선택=best스테이포에버 2개[28% 할인]"/>
    <n v="116"/>
    <x v="0"/>
    <s v="스테이포에버 2set"/>
    <n v="210101"/>
    <m/>
    <n v="6820800"/>
    <n v="6421783.2"/>
    <n v="601344"/>
    <n v="6200727.272727272"/>
    <s v="카페24고체향수유즈 스테이포에버 솔리드퍼퓸 002 (11차 예약구매 진행중)제품선택=best스테이포에버 2개[28% 할인]210101"/>
  </r>
  <r>
    <x v="227"/>
    <s v="수"/>
    <x v="11"/>
    <s v="카페24"/>
    <s v="유즈 스테이포에버 솔리드퍼퓸 002 (11차 예약구매 진행중)제품선택=커플추천"/>
    <n v="13"/>
    <x v="0"/>
    <s v="스테이포에버"/>
    <n v="210101"/>
    <m/>
    <n v="442000"/>
    <n v="416143"/>
    <n v="33696"/>
    <n v="401818.1818181818"/>
    <s v="카페24고체향수유즈 스테이포에버 솔리드퍼퓸 002 (11차 예약구매 진행중)제품선택=커플추천210101"/>
  </r>
  <r>
    <x v="227"/>
    <s v="수"/>
    <x v="11"/>
    <s v="카페24"/>
    <s v="유즈 스테이포에버 솔리드퍼퓸 002 (11차 예약구매 진행중)제품선택=커플추천스테이포에버 + 이그나이트 세트"/>
    <n v="18"/>
    <x v="0"/>
    <s v="이그나이트 + 스테이포에버"/>
    <n v="210101"/>
    <m/>
    <n v="1058400"/>
    <n v="996483.6"/>
    <n v="96210"/>
    <n v="962181.8181818181"/>
    <s v="카페24고체향수유즈 스테이포에버 솔리드퍼퓸 002 (11차 예약구매 진행중)제품선택=커플추천스테이포에버 + 이그나이트 세트210101"/>
  </r>
  <r>
    <x v="227"/>
    <s v="수"/>
    <x v="11"/>
    <s v="카페24"/>
    <s v="유즈 스테이포에버 솔리드퍼퓸 002 (11차 예약구매 진행중)쇼핑백=선물용 쇼핑백"/>
    <n v="15"/>
    <x v="0"/>
    <s v="쇼핑백"/>
    <n v="210101"/>
    <m/>
    <n v="30000"/>
    <n v="28245"/>
    <n v="12450"/>
    <n v="27272.72727272727"/>
    <s v="카페24고체향수유즈 스테이포에버 솔리드퍼퓸 002 (11차 예약구매 진행중)쇼핑백=선물용 쇼핑백210101"/>
  </r>
  <r>
    <x v="227"/>
    <s v="수"/>
    <x v="11"/>
    <s v="카페24"/>
    <s v="유즈 이그나이트 솔리드퍼퓸 001제품선택=이그나이트 솔리드퍼퓸 - 30ml"/>
    <n v="6"/>
    <x v="0"/>
    <s v="이그나이트"/>
    <n v="210101"/>
    <m/>
    <n v="228000"/>
    <n v="214662"/>
    <n v="16518"/>
    <n v="207272.7272727273"/>
    <s v="카페24고체향수유즈 이그나이트 솔리드퍼퓸 001제품선택=이그나이트 솔리드퍼퓸 - 30ml210101"/>
  </r>
  <r>
    <x v="227"/>
    <s v="수"/>
    <x v="11"/>
    <s v="카페24"/>
    <s v="유즈 이그나이트 솔리드퍼퓸 001제품선택=이그나이트 2개 세트"/>
    <n v="1"/>
    <x v="0"/>
    <s v="이그나이트 2set"/>
    <n v="210101"/>
    <m/>
    <n v="58800"/>
    <n v="55360.2"/>
    <n v="5506"/>
    <n v="53454.54545454545"/>
    <s v="카페24고체향수유즈 이그나이트 솔리드퍼퓸 001제품선택=이그나이트 2개 세트210101"/>
  </r>
  <r>
    <x v="227"/>
    <s v="수"/>
    <x v="11"/>
    <s v="카페24"/>
    <s v="유즈 이그나이트 솔리드퍼퓸 001쇼핑백=선물용 쇼핑백"/>
    <n v="1"/>
    <x v="2"/>
    <s v="쇼핑백"/>
    <n v="210101"/>
    <m/>
    <n v="2000"/>
    <n v="1883"/>
    <n v="830"/>
    <n v="1818.181818181818"/>
    <s v="카페24쇼핑백유즈 이그나이트 솔리드퍼퓸 001쇼핑백=선물용 쇼핑백210101"/>
  </r>
  <r>
    <x v="228"/>
    <s v="목"/>
    <x v="11"/>
    <s v="유즈 CS"/>
    <s v="솔리드퍼퓸 스테이포에버 002 30ml"/>
    <n v="2"/>
    <x v="0"/>
    <s v="스테이포에버"/>
    <n v="210101"/>
    <m/>
    <n v="0"/>
    <n v="0"/>
    <n v="5184"/>
    <n v="0"/>
    <s v="유즈 CS고체향수솔리드퍼퓸 스테이포에버 002 30ml210101"/>
  </r>
  <r>
    <x v="228"/>
    <s v="목"/>
    <x v="11"/>
    <s v="카페24"/>
    <s v="유즈 솔리드퍼퓸 - 30ml (11차 예약구매 진행중)향=이그나이트 001 SOLID PERFUME, 세트 선택=best"/>
    <n v="1"/>
    <x v="0"/>
    <s v="이그나이트"/>
    <n v="210101"/>
    <m/>
    <n v="34000"/>
    <n v="32011"/>
    <n v="2753"/>
    <n v="30909.09090909091"/>
    <s v="카페24고체향수유즈 솔리드퍼퓸 - 30ml (11차 예약구매 진행중)향=이그나이트 001 SOLID PERFUME, 세트 선택=best210101"/>
  </r>
  <r>
    <x v="228"/>
    <s v="목"/>
    <x v="11"/>
    <s v="카페24"/>
    <s v="유즈 솔리드퍼퓸 - 30ml (11차 예약구매 진행중)향=스테이포에버 002 SOLID PERFUME, 세트 선택=1개"/>
    <n v="10"/>
    <x v="0"/>
    <s v="스테이포에버"/>
    <n v="210101"/>
    <m/>
    <n v="340000"/>
    <n v="320110"/>
    <n v="25920"/>
    <n v="309090.9090909091"/>
    <s v="카페24고체향수유즈 솔리드퍼퓸 - 30ml (11차 예약구매 진행중)향=스테이포에버 002 SOLID PERFUME, 세트 선택=1개210101"/>
  </r>
  <r>
    <x v="228"/>
    <s v="목"/>
    <x v="11"/>
    <s v="카페24"/>
    <s v="유즈 솔리드퍼퓸 - 30ml (11차 예약구매 진행중)향=스테이포에버 002 SOLID PERFUME, 세트 선택=best"/>
    <n v="4"/>
    <x v="0"/>
    <s v="스테이포에버"/>
    <n v="210101"/>
    <m/>
    <n v="136000"/>
    <n v="128044"/>
    <n v="10368"/>
    <n v="123636.3636363636"/>
    <s v="카페24고체향수유즈 솔리드퍼퓸 - 30ml (11차 예약구매 진행중)향=스테이포에버 002 SOLID PERFUME, 세트 선택=best210101"/>
  </r>
  <r>
    <x v="228"/>
    <s v="목"/>
    <x v="11"/>
    <s v="카페24"/>
    <s v="유즈 솔리드퍼퓸 - 30ml (11차 예약구매 진행중)향=스테이포에버 002 SOLID PERFUME, 세트 선택=best 2개 (28% 할인)"/>
    <n v="1"/>
    <x v="0"/>
    <s v="스테이포에버 2set"/>
    <n v="210101"/>
    <m/>
    <n v="58800"/>
    <n v="55360.2"/>
    <n v="5184"/>
    <n v="53454.54545454545"/>
    <s v="카페24고체향수유즈 솔리드퍼퓸 - 30ml (11차 예약구매 진행중)향=스테이포에버 002 SOLID PERFUME, 세트 선택=best 2개 (28% 할인)210101"/>
  </r>
  <r>
    <x v="228"/>
    <s v="목"/>
    <x v="11"/>
    <s v="카페24"/>
    <s v="유즈 솔리드퍼퓸 - 30ml (11차 예약구매 진행중)향=커플세트"/>
    <n v="3"/>
    <x v="0"/>
    <s v="이그나이트 + 스테이포에버"/>
    <n v="210101"/>
    <m/>
    <n v="176400"/>
    <n v="166080.6"/>
    <n v="16035"/>
    <n v="160363.6363636364"/>
    <s v="카페24고체향수유즈 솔리드퍼퓸 - 30ml (11차 예약구매 진행중)향=커플세트210101"/>
  </r>
  <r>
    <x v="228"/>
    <s v="목"/>
    <x v="11"/>
    <s v="카페24"/>
    <s v="유즈 솔리드퍼퓸 - 30ml (11차 예약구매 진행중)향=커플세트(이그나이트 + 스테이포에버), 세트 선택=1 SET"/>
    <n v="4"/>
    <x v="0"/>
    <s v="이그나이트 + 스테이포에버"/>
    <n v="210101"/>
    <m/>
    <n v="235200"/>
    <n v="221440.8"/>
    <n v="21380"/>
    <n v="213818.1818181818"/>
    <s v="카페24고체향수유즈 솔리드퍼퓸 - 30ml (11차 예약구매 진행중)향=커플세트(이그나이트 + 스테이포에버), 세트 선택=1 SET210101"/>
  </r>
  <r>
    <x v="228"/>
    <s v="목"/>
    <x v="11"/>
    <s v="카페24"/>
    <s v="유즈 스테이포에버 솔리드퍼퓸 002 (11차 예약구매 진행중)제품선택=스테이포에버 1개"/>
    <n v="351"/>
    <x v="0"/>
    <s v="스테이포에버"/>
    <n v="210101"/>
    <m/>
    <n v="11934000"/>
    <n v="11235861"/>
    <n v="909792"/>
    <n v="10849090.90909091"/>
    <s v="카페24고체향수유즈 스테이포에버 솔리드퍼퓸 002 (11차 예약구매 진행중)제품선택=스테이포에버 1개210101"/>
  </r>
  <r>
    <x v="228"/>
    <s v="목"/>
    <x v="11"/>
    <s v="카페24"/>
    <s v="유즈 스테이포에버 솔리드퍼퓸 002 (11차 예약구매 진행중)제품선택=best"/>
    <n v="82"/>
    <x v="0"/>
    <s v="스테이포에버"/>
    <n v="210101"/>
    <m/>
    <n v="2788000"/>
    <n v="2624902"/>
    <n v="212544"/>
    <n v="2534545.454545454"/>
    <s v="카페24고체향수유즈 스테이포에버 솔리드퍼퓸 002 (11차 예약구매 진행중)제품선택=best210101"/>
  </r>
  <r>
    <x v="228"/>
    <s v="목"/>
    <x v="11"/>
    <s v="카페24"/>
    <s v="유즈 스테이포에버 솔리드퍼퓸 002 (11차 예약구매 진행중)제품선택=best스테이포에버 2개[28% 할인]"/>
    <n v="115"/>
    <x v="0"/>
    <s v="스테이포에버 2set"/>
    <n v="210101"/>
    <m/>
    <n v="6762000"/>
    <n v="6366423"/>
    <n v="596160"/>
    <n v="6147272.727272727"/>
    <s v="카페24고체향수유즈 스테이포에버 솔리드퍼퓸 002 (11차 예약구매 진행중)제품선택=best스테이포에버 2개[28% 할인]210101"/>
  </r>
  <r>
    <x v="228"/>
    <s v="목"/>
    <x v="11"/>
    <s v="카페24"/>
    <s v="유즈 스테이포에버 솔리드퍼퓸 002 (11차 예약구매 진행중)제품선택=커플추천"/>
    <n v="7"/>
    <x v="0"/>
    <s v="스테이포에버"/>
    <n v="210101"/>
    <m/>
    <n v="238000"/>
    <n v="224077"/>
    <n v="18144"/>
    <n v="216363.6363636364"/>
    <s v="카페24고체향수유즈 스테이포에버 솔리드퍼퓸 002 (11차 예약구매 진행중)제품선택=커플추천210101"/>
  </r>
  <r>
    <x v="228"/>
    <s v="목"/>
    <x v="11"/>
    <s v="카페24"/>
    <s v="유즈 스테이포에버 솔리드퍼퓸 002 (11차 예약구매 진행중)제품선택=커플추천스테이포에버 + 이그나이트 세트"/>
    <n v="17"/>
    <x v="0"/>
    <s v="이그나이트 + 스테이포에버"/>
    <n v="210101"/>
    <m/>
    <n v="999600"/>
    <n v="941123.4"/>
    <n v="90865"/>
    <n v="908727.2727272727"/>
    <s v="카페24고체향수유즈 스테이포에버 솔리드퍼퓸 002 (11차 예약구매 진행중)제품선택=커플추천스테이포에버 + 이그나이트 세트210101"/>
  </r>
  <r>
    <x v="228"/>
    <s v="목"/>
    <x v="11"/>
    <s v="카페24"/>
    <s v="유즈 스테이포에버 솔리드퍼퓸 002 (11차 예약구매 진행중)쇼핑백=선물용 쇼핑백"/>
    <n v="9"/>
    <x v="0"/>
    <s v="쇼핑백"/>
    <n v="210101"/>
    <m/>
    <n v="18000"/>
    <n v="16947"/>
    <n v="7470"/>
    <n v="16363.63636363636"/>
    <s v="카페24고체향수유즈 스테이포에버 솔리드퍼퓸 002 (11차 예약구매 진행중)쇼핑백=선물용 쇼핑백210101"/>
  </r>
  <r>
    <x v="228"/>
    <s v="목"/>
    <x v="11"/>
    <s v="카페24"/>
    <s v="유즈 이그나이트 솔리드퍼퓸 001제품선택=이그나이트 솔리드퍼퓸 - 30ml"/>
    <n v="5"/>
    <x v="0"/>
    <s v="이그나이트"/>
    <n v="210101"/>
    <m/>
    <n v="190000"/>
    <n v="178885"/>
    <n v="13765"/>
    <n v="172727.2727272727"/>
    <s v="카페24고체향수유즈 이그나이트 솔리드퍼퓸 001제품선택=이그나이트 솔리드퍼퓸 - 30ml210101"/>
  </r>
  <r>
    <x v="229"/>
    <s v="금"/>
    <x v="11"/>
    <s v="카페24"/>
    <s v="유즈 솔리드퍼퓸 - 30ml (11차 예약구매 진행중)향=이그나이트 001 SOLID PERFUME, 세트 선택=1개"/>
    <n v="2"/>
    <x v="0"/>
    <s v="이그나이트"/>
    <n v="210101"/>
    <m/>
    <n v="68000"/>
    <n v="64022"/>
    <n v="5506"/>
    <n v="61818.18181818182"/>
    <s v="카페24고체향수유즈 솔리드퍼퓸 - 30ml (11차 예약구매 진행중)향=이그나이트 001 SOLID PERFUME, 세트 선택=1개210101"/>
  </r>
  <r>
    <x v="229"/>
    <s v="금"/>
    <x v="11"/>
    <s v="카페24"/>
    <s v="유즈 솔리드퍼퓸 - 30ml (11차 예약구매 진행중)향=스테이포에버 002 SOLID PERFUME, 세트 선택=1개"/>
    <n v="16"/>
    <x v="0"/>
    <s v="스테이포에버"/>
    <n v="210101"/>
    <m/>
    <n v="544000"/>
    <n v="512176"/>
    <n v="41472"/>
    <n v="494545.4545454545"/>
    <s v="카페24고체향수유즈 솔리드퍼퓸 - 30ml (11차 예약구매 진행중)향=스테이포에버 002 SOLID PERFUME, 세트 선택=1개210101"/>
  </r>
  <r>
    <x v="229"/>
    <s v="금"/>
    <x v="11"/>
    <s v="카페24"/>
    <s v="유즈 솔리드퍼퓸 - 30ml (11차 예약구매 진행중)향=스테이포에버 002 SOLID PERFUME, 세트 선택=best"/>
    <n v="5"/>
    <x v="0"/>
    <s v="스테이포에버"/>
    <n v="210101"/>
    <m/>
    <n v="170000"/>
    <n v="160055"/>
    <n v="12960"/>
    <n v="154545.4545454545"/>
    <s v="카페24고체향수유즈 솔리드퍼퓸 - 30ml (11차 예약구매 진행중)향=스테이포에버 002 SOLID PERFUME, 세트 선택=best210101"/>
  </r>
  <r>
    <x v="229"/>
    <s v="금"/>
    <x v="11"/>
    <s v="카페24"/>
    <s v="유즈 솔리드퍼퓸 - 30ml (11차 예약구매 진행중)향=스테이포에버 002 SOLID PERFUME, 세트 선택=best 2개 (28% 할인)"/>
    <n v="4"/>
    <x v="0"/>
    <s v="스테이포에버 2set"/>
    <n v="210101"/>
    <m/>
    <n v="235200"/>
    <n v="221440.8"/>
    <n v="20736"/>
    <n v="213818.1818181818"/>
    <s v="카페24고체향수유즈 솔리드퍼퓸 - 30ml (11차 예약구매 진행중)향=스테이포에버 002 SOLID PERFUME, 세트 선택=best 2개 (28% 할인)210101"/>
  </r>
  <r>
    <x v="229"/>
    <s v="금"/>
    <x v="11"/>
    <s v="카페24"/>
    <s v="유즈 솔리드퍼퓸 - 30ml (11차 예약구매 진행중)향=커플세트"/>
    <n v="8"/>
    <x v="0"/>
    <s v="이그나이트 + 스테이포에버"/>
    <n v="210101"/>
    <m/>
    <n v="470400"/>
    <n v="442881.6"/>
    <n v="42760"/>
    <n v="427636.3636363636"/>
    <s v="카페24고체향수유즈 솔리드퍼퓸 - 30ml (11차 예약구매 진행중)향=커플세트210101"/>
  </r>
  <r>
    <x v="229"/>
    <s v="금"/>
    <x v="11"/>
    <s v="카페24"/>
    <s v="유즈 솔리드퍼퓸 - 30ml (11차 예약구매 진행중)향=커플세트(이그나이트 + 스테이포에버), 세트 선택=1 SET"/>
    <n v="5"/>
    <x v="0"/>
    <s v="이그나이트 + 스테이포에버"/>
    <n v="210101"/>
    <m/>
    <n v="294000"/>
    <n v="276801"/>
    <n v="26725"/>
    <n v="267272.7272727272"/>
    <s v="카페24고체향수유즈 솔리드퍼퓸 - 30ml (11차 예약구매 진행중)향=커플세트(이그나이트 + 스테이포에버), 세트 선택=1 SET210101"/>
  </r>
  <r>
    <x v="229"/>
    <s v="금"/>
    <x v="11"/>
    <s v="카페24"/>
    <s v="유즈 스테이포에버 솔리드퍼퓸 002 (11차 예약구매 진행중)제품선택=스테이포에버 1개"/>
    <n v="294"/>
    <x v="0"/>
    <s v="스테이포에버"/>
    <n v="210101"/>
    <m/>
    <n v="9996000"/>
    <n v="9411234"/>
    <n v="762048"/>
    <n v="9087272.727272727"/>
    <s v="카페24고체향수유즈 스테이포에버 솔리드퍼퓸 002 (11차 예약구매 진행중)제품선택=스테이포에버 1개210101"/>
  </r>
  <r>
    <x v="229"/>
    <s v="금"/>
    <x v="11"/>
    <s v="카페24"/>
    <s v="유즈 스테이포에버 솔리드퍼퓸 002 (11차 예약구매 진행중)제품선택=best"/>
    <n v="68"/>
    <x v="0"/>
    <s v="스테이포에버"/>
    <n v="210101"/>
    <m/>
    <n v="2312000"/>
    <n v="2176748"/>
    <n v="176256"/>
    <n v="2101818.181818182"/>
    <s v="카페24고체향수유즈 스테이포에버 솔리드퍼퓸 002 (11차 예약구매 진행중)제품선택=best210101"/>
  </r>
  <r>
    <x v="229"/>
    <s v="금"/>
    <x v="11"/>
    <s v="카페24"/>
    <s v="유즈 스테이포에버 솔리드퍼퓸 002 (11차 예약구매 진행중)제품선택=best스테이포에버 2개[28% 할인]"/>
    <n v="92"/>
    <x v="0"/>
    <s v="스테이포에버 2set"/>
    <n v="210101"/>
    <m/>
    <n v="5409600"/>
    <n v="5093138.4"/>
    <n v="476928"/>
    <n v="4917818.181818182"/>
    <s v="카페24고체향수유즈 스테이포에버 솔리드퍼퓸 002 (11차 예약구매 진행중)제품선택=best스테이포에버 2개[28% 할인]210101"/>
  </r>
  <r>
    <x v="229"/>
    <s v="금"/>
    <x v="11"/>
    <s v="카페24"/>
    <s v="유즈 스테이포에버 솔리드퍼퓸 002 (11차 예약구매 진행중)제품선택=커플추천"/>
    <n v="6"/>
    <x v="0"/>
    <s v="스테이포에버"/>
    <n v="210101"/>
    <m/>
    <n v="204000"/>
    <n v="192066"/>
    <n v="15552"/>
    <n v="185454.5454545454"/>
    <s v="카페24고체향수유즈 스테이포에버 솔리드퍼퓸 002 (11차 예약구매 진행중)제품선택=커플추천210101"/>
  </r>
  <r>
    <x v="229"/>
    <s v="금"/>
    <x v="11"/>
    <s v="카페24"/>
    <s v="유즈 스테이포에버 솔리드퍼퓸 002 (11차 예약구매 진행중)제품선택=커플추천스테이포에버 + 이그나이트 세트"/>
    <n v="10"/>
    <x v="0"/>
    <s v="이그나이트 + 스테이포에버"/>
    <n v="210101"/>
    <m/>
    <n v="588000"/>
    <n v="553602"/>
    <n v="53450"/>
    <n v="534545.4545454545"/>
    <s v="카페24고체향수유즈 스테이포에버 솔리드퍼퓸 002 (11차 예약구매 진행중)제품선택=커플추천스테이포에버 + 이그나이트 세트210101"/>
  </r>
  <r>
    <x v="229"/>
    <s v="금"/>
    <x v="11"/>
    <s v="카페24"/>
    <s v="유즈 스테이포에버 솔리드퍼퓸 002 (11차 예약구매 진행중)쇼핑백=선물용 쇼핑백"/>
    <n v="11"/>
    <x v="0"/>
    <s v="쇼핑백"/>
    <n v="210101"/>
    <m/>
    <n v="22000"/>
    <n v="20713"/>
    <n v="9130"/>
    <n v="20000"/>
    <s v="카페24고체향수유즈 스테이포에버 솔리드퍼퓸 002 (11차 예약구매 진행중)쇼핑백=선물용 쇼핑백210101"/>
  </r>
  <r>
    <x v="229"/>
    <s v="금"/>
    <x v="11"/>
    <s v="카페24"/>
    <s v="유즈 이그나이트 솔리드퍼퓸 001제품선택=이그나이트 솔리드퍼퓸 - 30ml"/>
    <n v="6"/>
    <x v="0"/>
    <s v="이그나이트"/>
    <n v="210101"/>
    <m/>
    <n v="228000"/>
    <n v="214662"/>
    <n v="16518"/>
    <n v="207272.7272727273"/>
    <s v="카페24고체향수유즈 이그나이트 솔리드퍼퓸 001제품선택=이그나이트 솔리드퍼퓸 - 30ml210101"/>
  </r>
  <r>
    <x v="229"/>
    <s v="금"/>
    <x v="11"/>
    <s v="카페24"/>
    <s v="유즈 이그나이트 솔리드퍼퓸 001제품선택=이그나이트 2개 세트"/>
    <n v="1"/>
    <x v="0"/>
    <s v="이그나이트 2set"/>
    <n v="210101"/>
    <m/>
    <n v="58800"/>
    <n v="55360.2"/>
    <n v="5506"/>
    <n v="53454.54545454545"/>
    <s v="카페24고체향수유즈 이그나이트 솔리드퍼퓸 001제품선택=이그나이트 2개 세트210101"/>
  </r>
  <r>
    <x v="229"/>
    <s v="금"/>
    <x v="11"/>
    <s v="카페24"/>
    <s v="유즈 이그나이트 솔리드퍼퓸 001쇼핑백=선물용 쇼핑백"/>
    <n v="1"/>
    <x v="2"/>
    <s v="쇼핑백"/>
    <n v="210101"/>
    <m/>
    <n v="2000"/>
    <n v="1883"/>
    <n v="830"/>
    <n v="1818.181818181818"/>
    <s v="카페24쇼핑백유즈 이그나이트 솔리드퍼퓸 001쇼핑백=선물용 쇼핑백210101"/>
  </r>
  <r>
    <x v="230"/>
    <s v="토"/>
    <x v="11"/>
    <s v="카페24"/>
    <s v="유즈 솔리드퍼퓸 - 30ml (11차 예약구매 진행중)향=이그나이트 001 SOLID PERFUME, 세트 선택=1개"/>
    <n v="1"/>
    <x v="0"/>
    <s v="이그나이트"/>
    <n v="210101"/>
    <m/>
    <n v="34000"/>
    <n v="32011"/>
    <n v="2753"/>
    <n v="30909.09090909091"/>
    <s v="카페24고체향수유즈 솔리드퍼퓸 - 30ml (11차 예약구매 진행중)향=이그나이트 001 SOLID PERFUME, 세트 선택=1개210101"/>
  </r>
  <r>
    <x v="230"/>
    <s v="토"/>
    <x v="11"/>
    <s v="카페24"/>
    <s v="유즈 솔리드퍼퓸 - 30ml (11차 예약구매 진행중)향=스테이포에버 002 SOLID PERFUME, 세트 선택=1개"/>
    <n v="20"/>
    <x v="0"/>
    <s v="스테이포에버"/>
    <n v="210101"/>
    <m/>
    <n v="680000"/>
    <n v="640220"/>
    <n v="51840"/>
    <n v="618181.8181818181"/>
    <s v="카페24고체향수유즈 솔리드퍼퓸 - 30ml (11차 예약구매 진행중)향=스테이포에버 002 SOLID PERFUME, 세트 선택=1개210101"/>
  </r>
  <r>
    <x v="230"/>
    <s v="토"/>
    <x v="11"/>
    <s v="카페24"/>
    <s v="유즈 솔리드퍼퓸 - 30ml (11차 예약구매 진행중)향=스테이포에버 002 SOLID PERFUME, 세트 선택=best"/>
    <n v="4"/>
    <x v="0"/>
    <s v="스테이포에버"/>
    <n v="210101"/>
    <m/>
    <n v="136000"/>
    <n v="128044"/>
    <n v="10368"/>
    <n v="123636.3636363636"/>
    <s v="카페24고체향수유즈 솔리드퍼퓸 - 30ml (11차 예약구매 진행중)향=스테이포에버 002 SOLID PERFUME, 세트 선택=best210101"/>
  </r>
  <r>
    <x v="230"/>
    <s v="토"/>
    <x v="11"/>
    <s v="카페24"/>
    <s v="유즈 솔리드퍼퓸 - 30ml (11차 예약구매 진행중)향=스테이포에버 002 SOLID PERFUME, 세트 선택=best 2개 (28% 할인)"/>
    <n v="3"/>
    <x v="0"/>
    <s v="스테이포에버 2set"/>
    <n v="210101"/>
    <m/>
    <n v="176400"/>
    <n v="166080.6"/>
    <n v="15552"/>
    <n v="160363.6363636364"/>
    <s v="카페24고체향수유즈 솔리드퍼퓸 - 30ml (11차 예약구매 진행중)향=스테이포에버 002 SOLID PERFUME, 세트 선택=best 2개 (28% 할인)210101"/>
  </r>
  <r>
    <x v="230"/>
    <s v="토"/>
    <x v="11"/>
    <s v="카페24"/>
    <s v="유즈 솔리드퍼퓸 - 30ml (11차 예약구매 진행중)향=커플세트"/>
    <n v="5"/>
    <x v="0"/>
    <s v="이그나이트 + 스테이포에버"/>
    <n v="210101"/>
    <m/>
    <n v="294000"/>
    <n v="276801"/>
    <n v="26725"/>
    <n v="267272.7272727272"/>
    <s v="카페24고체향수유즈 솔리드퍼퓸 - 30ml (11차 예약구매 진행중)향=커플세트210101"/>
  </r>
  <r>
    <x v="230"/>
    <s v="토"/>
    <x v="11"/>
    <s v="카페24"/>
    <s v="유즈 솔리드퍼퓸 - 30ml (11차 예약구매 진행중)향=커플세트(이그나이트 + 스테이포에버), 세트 선택=1 SET"/>
    <n v="2"/>
    <x v="0"/>
    <s v="이그나이트 + 스테이포에버"/>
    <n v="210101"/>
    <m/>
    <n v="117600"/>
    <n v="110720.4"/>
    <n v="10690"/>
    <n v="106909.0909090909"/>
    <s v="카페24고체향수유즈 솔리드퍼퓸 - 30ml (11차 예약구매 진행중)향=커플세트(이그나이트 + 스테이포에버), 세트 선택=1 SET210101"/>
  </r>
  <r>
    <x v="230"/>
    <s v="토"/>
    <x v="11"/>
    <s v="카페24"/>
    <s v="유즈 스테이포에버 솔리드퍼퓸 002 (11차 예약구매 진행중)제품선택=스테이포에버 1개"/>
    <n v="406"/>
    <x v="0"/>
    <s v="스테이포에버"/>
    <n v="210101"/>
    <m/>
    <n v="13804000"/>
    <n v="12996466"/>
    <n v="1052352"/>
    <n v="12549090.90909091"/>
    <s v="카페24고체향수유즈 스테이포에버 솔리드퍼퓸 002 (11차 예약구매 진행중)제품선택=스테이포에버 1개210101"/>
  </r>
  <r>
    <x v="230"/>
    <s v="토"/>
    <x v="11"/>
    <s v="카페24"/>
    <s v="유즈 스테이포에버 솔리드퍼퓸 002 (11차 예약구매 진행중)제품선택=best"/>
    <n v="97"/>
    <x v="0"/>
    <s v="스테이포에버"/>
    <n v="210101"/>
    <m/>
    <n v="3298000"/>
    <n v="3105067"/>
    <n v="251424"/>
    <n v="2998181.818181818"/>
    <s v="카페24고체향수유즈 스테이포에버 솔리드퍼퓸 002 (11차 예약구매 진행중)제품선택=best210101"/>
  </r>
  <r>
    <x v="230"/>
    <s v="토"/>
    <x v="11"/>
    <s v="카페24"/>
    <s v="유즈 스테이포에버 솔리드퍼퓸 002 (11차 예약구매 진행중)제품선택=best스테이포에버 2개[28% 할인]"/>
    <n v="129"/>
    <x v="0"/>
    <s v="스테이포에버 2set"/>
    <n v="210101"/>
    <m/>
    <n v="7585200"/>
    <n v="7141465.8"/>
    <n v="668736"/>
    <n v="6895636.363636363"/>
    <s v="카페24고체향수유즈 스테이포에버 솔리드퍼퓸 002 (11차 예약구매 진행중)제품선택=best스테이포에버 2개[28% 할인]210101"/>
  </r>
  <r>
    <x v="230"/>
    <s v="토"/>
    <x v="11"/>
    <s v="카페24"/>
    <s v="유즈 스테이포에버 솔리드퍼퓸 002 (11차 예약구매 진행중)제품선택=커플추천"/>
    <n v="10"/>
    <x v="0"/>
    <s v="스테이포에버"/>
    <n v="210101"/>
    <m/>
    <n v="340000"/>
    <n v="320110"/>
    <n v="25920"/>
    <n v="309090.9090909091"/>
    <s v="카페24고체향수유즈 스테이포에버 솔리드퍼퓸 002 (11차 예약구매 진행중)제품선택=커플추천210101"/>
  </r>
  <r>
    <x v="230"/>
    <s v="토"/>
    <x v="11"/>
    <s v="카페24"/>
    <s v="유즈 스테이포에버 솔리드퍼퓸 002 (11차 예약구매 진행중)제품선택=커플추천스테이포에버 + 이그나이트 세트"/>
    <n v="16"/>
    <x v="0"/>
    <s v="이그나이트 + 스테이포에버"/>
    <n v="210101"/>
    <m/>
    <n v="940800"/>
    <n v="885763.2"/>
    <n v="85520"/>
    <n v="855272.7272727272"/>
    <s v="카페24고체향수유즈 스테이포에버 솔리드퍼퓸 002 (11차 예약구매 진행중)제품선택=커플추천스테이포에버 + 이그나이트 세트210101"/>
  </r>
  <r>
    <x v="230"/>
    <s v="토"/>
    <x v="11"/>
    <s v="카페24"/>
    <s v="유즈 스테이포에버 솔리드퍼퓸 002 (11차 예약구매 진행중)쇼핑백=선물용 쇼핑백"/>
    <n v="23"/>
    <x v="0"/>
    <s v="쇼핑백"/>
    <n v="210101"/>
    <m/>
    <n v="46000"/>
    <n v="43309"/>
    <n v="19090"/>
    <n v="41818.18181818182"/>
    <s v="카페24고체향수유즈 스테이포에버 솔리드퍼퓸 002 (11차 예약구매 진행중)쇼핑백=선물용 쇼핑백210101"/>
  </r>
  <r>
    <x v="230"/>
    <s v="토"/>
    <x v="11"/>
    <s v="카페24"/>
    <s v="유즈 이그나이트 솔리드퍼퓸 001제품선택=이그나이트 솔리드퍼퓸 - 30ml"/>
    <n v="4"/>
    <x v="0"/>
    <s v="이그나이트"/>
    <n v="210101"/>
    <m/>
    <n v="152000"/>
    <n v="143108"/>
    <n v="11012"/>
    <n v="138181.8181818182"/>
    <s v="카페24고체향수유즈 이그나이트 솔리드퍼퓸 001제품선택=이그나이트 솔리드퍼퓸 - 30ml210101"/>
  </r>
  <r>
    <x v="230"/>
    <s v="토"/>
    <x v="11"/>
    <s v="카페24"/>
    <s v="유즈 이그나이트 솔리드퍼퓸 001제품선택=이그나이트 2개 세트"/>
    <n v="2"/>
    <x v="0"/>
    <s v="이그나이트 2set"/>
    <n v="210101"/>
    <m/>
    <n v="117600"/>
    <n v="110720.4"/>
    <n v="11012"/>
    <n v="106909.0909090909"/>
    <s v="카페24고체향수유즈 이그나이트 솔리드퍼퓸 001제품선택=이그나이트 2개 세트210101"/>
  </r>
  <r>
    <x v="231"/>
    <s v="일"/>
    <x v="11"/>
    <s v="카페24"/>
    <s v="SHOPPING BAG"/>
    <n v="2"/>
    <x v="2"/>
    <s v="쇼핑백"/>
    <n v="210101"/>
    <m/>
    <n v="4000"/>
    <n v="3766"/>
    <n v="1660"/>
    <n v="3636.363636363636"/>
    <s v="카페24쇼핑백SHOPPING BAG210101"/>
  </r>
  <r>
    <x v="231"/>
    <s v="일"/>
    <x v="11"/>
    <s v="카페24"/>
    <s v="유즈 솔리드퍼퓸 - 30ml (11차 예약구매 진행중)향=이그나이트 001 SOLID PERFUME, 세트 선택=1개"/>
    <n v="2"/>
    <x v="0"/>
    <s v="이그나이트"/>
    <n v="210101"/>
    <m/>
    <n v="68000"/>
    <n v="64022"/>
    <n v="5506"/>
    <n v="61818.18181818182"/>
    <s v="카페24고체향수유즈 솔리드퍼퓸 - 30ml (11차 예약구매 진행중)향=이그나이트 001 SOLID PERFUME, 세트 선택=1개210101"/>
  </r>
  <r>
    <x v="231"/>
    <s v="일"/>
    <x v="11"/>
    <s v="카페24"/>
    <s v="유즈 솔리드퍼퓸 - 30ml (11차 예약구매 진행중)향=스테이포에버 002 SOLID PERFUME, 세트 선택=1개"/>
    <n v="10"/>
    <x v="0"/>
    <s v="스테이포에버"/>
    <n v="210101"/>
    <m/>
    <n v="340000"/>
    <n v="320110"/>
    <n v="25920"/>
    <n v="309090.9090909091"/>
    <s v="카페24고체향수유즈 솔리드퍼퓸 - 30ml (11차 예약구매 진행중)향=스테이포에버 002 SOLID PERFUME, 세트 선택=1개210101"/>
  </r>
  <r>
    <x v="231"/>
    <s v="일"/>
    <x v="11"/>
    <s v="카페24"/>
    <s v="유즈 솔리드퍼퓸 - 30ml (11차 예약구매 진행중)향=스테이포에버 002 SOLID PERFUME, 세트 선택=best"/>
    <n v="7"/>
    <x v="0"/>
    <s v="스테이포에버"/>
    <n v="210101"/>
    <m/>
    <n v="238000"/>
    <n v="224077"/>
    <n v="18144"/>
    <n v="216363.6363636364"/>
    <s v="카페24고체향수유즈 솔리드퍼퓸 - 30ml (11차 예약구매 진행중)향=스테이포에버 002 SOLID PERFUME, 세트 선택=best210101"/>
  </r>
  <r>
    <x v="231"/>
    <s v="일"/>
    <x v="11"/>
    <s v="카페24"/>
    <s v="유즈 솔리드퍼퓸 - 30ml (11차 예약구매 진행중)향=스테이포에버 002 SOLID PERFUME, 세트 선택=best 2개 (28% 할인)"/>
    <n v="5"/>
    <x v="0"/>
    <s v="스테이포에버 2set"/>
    <n v="210101"/>
    <m/>
    <n v="294000"/>
    <n v="276801"/>
    <n v="25920"/>
    <n v="267272.7272727272"/>
    <s v="카페24고체향수유즈 솔리드퍼퓸 - 30ml (11차 예약구매 진행중)향=스테이포에버 002 SOLID PERFUME, 세트 선택=best 2개 (28% 할인)210101"/>
  </r>
  <r>
    <x v="231"/>
    <s v="일"/>
    <x v="11"/>
    <s v="카페24"/>
    <s v="유즈 솔리드퍼퓸 - 30ml (11차 예약구매 진행중)향=커플세트"/>
    <n v="6"/>
    <x v="0"/>
    <s v="이그나이트 + 스테이포에버"/>
    <n v="210101"/>
    <m/>
    <n v="352800"/>
    <n v="332161.2"/>
    <n v="32070"/>
    <n v="320727.2727272727"/>
    <s v="카페24고체향수유즈 솔리드퍼퓸 - 30ml (11차 예약구매 진행중)향=커플세트210101"/>
  </r>
  <r>
    <x v="231"/>
    <s v="일"/>
    <x v="11"/>
    <s v="카페24"/>
    <s v="유즈 솔리드퍼퓸 - 30ml (11차 예약구매 진행중)향=커플세트(이그나이트 + 스테이포에버), 세트 선택=1 SET"/>
    <n v="3"/>
    <x v="0"/>
    <s v="이그나이트 + 스테이포에버"/>
    <n v="210101"/>
    <m/>
    <n v="176400"/>
    <n v="166080.6"/>
    <n v="16035"/>
    <n v="160363.6363636364"/>
    <s v="카페24고체향수유즈 솔리드퍼퓸 - 30ml (11차 예약구매 진행중)향=커플세트(이그나이트 + 스테이포에버), 세트 선택=1 SET210101"/>
  </r>
  <r>
    <x v="231"/>
    <s v="일"/>
    <x v="11"/>
    <s v="카페24"/>
    <s v="유즈 솔리드퍼퓸 - 30ml (11차 예약구매 진행중)향=커플세트"/>
    <n v="3"/>
    <x v="0"/>
    <s v="이그나이트 + 스테이포에버"/>
    <n v="210101"/>
    <m/>
    <n v="176400"/>
    <n v="166080.6"/>
    <n v="16035"/>
    <n v="160363.6363636364"/>
    <s v="카페24고체향수유즈 솔리드퍼퓸 - 30ml (11차 예약구매 진행중)향=커플세트210101"/>
  </r>
  <r>
    <x v="231"/>
    <s v="일"/>
    <x v="11"/>
    <s v="카페24"/>
    <s v="유즈 솔리드퍼퓸 - 30ml (11차 예약구매 진행중)향=커플세트(이그나이트 + 스테이포에버), 세트 선택=2 SET (42% 할인)"/>
    <n v="1"/>
    <x v="0"/>
    <s v="이그나이트 + 스테이포에버"/>
    <n v="210101"/>
    <m/>
    <n v="58800"/>
    <n v="55360.2"/>
    <n v="5345"/>
    <n v="53454.54545454545"/>
    <s v="카페24고체향수유즈 솔리드퍼퓸 - 30ml (11차 예약구매 진행중)향=커플세트(이그나이트 + 스테이포에버), 세트 선택=2 SET (42% 할인)210101"/>
  </r>
  <r>
    <x v="231"/>
    <s v="일"/>
    <x v="11"/>
    <s v="카페24"/>
    <s v="유즈 스테이포에버 솔리드퍼퓸 002 (11차 예약구매 진행중)제품선택=스테이포에버 1개"/>
    <n v="474"/>
    <x v="0"/>
    <s v="스테이포에버"/>
    <n v="210101"/>
    <m/>
    <n v="16116000"/>
    <n v="15173214"/>
    <n v="1228608"/>
    <n v="14650909.09090909"/>
    <s v="카페24고체향수유즈 스테이포에버 솔리드퍼퓸 002 (11차 예약구매 진행중)제품선택=스테이포에버 1개210101"/>
  </r>
  <r>
    <x v="231"/>
    <s v="일"/>
    <x v="11"/>
    <s v="카페24"/>
    <s v="유즈 스테이포에버 솔리드퍼퓸 002 (11차 예약구매 진행중)제품선택=best"/>
    <n v="102"/>
    <x v="0"/>
    <s v="스테이포에버"/>
    <n v="210101"/>
    <m/>
    <n v="3468000"/>
    <n v="3265122"/>
    <n v="264384"/>
    <n v="3152727.272727272"/>
    <s v="카페24고체향수유즈 스테이포에버 솔리드퍼퓸 002 (11차 예약구매 진행중)제품선택=best210101"/>
  </r>
  <r>
    <x v="231"/>
    <s v="일"/>
    <x v="11"/>
    <s v="카페24"/>
    <s v="유즈 스테이포에버 솔리드퍼퓸 002 (11차 예약구매 진행중)제품선택=best스테이포에버 2개[28% 할인]"/>
    <n v="133"/>
    <x v="0"/>
    <s v="스테이포에버 2set"/>
    <n v="210101"/>
    <m/>
    <n v="7820400"/>
    <n v="7362906.6"/>
    <n v="689472"/>
    <n v="7109454.545454545"/>
    <s v="카페24고체향수유즈 스테이포에버 솔리드퍼퓸 002 (11차 예약구매 진행중)제품선택=best스테이포에버 2개[28% 할인]210101"/>
  </r>
  <r>
    <x v="231"/>
    <s v="일"/>
    <x v="11"/>
    <s v="카페24"/>
    <s v="유즈 스테이포에버 솔리드퍼퓸 002 (11차 예약구매 진행중)제품선택=커플추천"/>
    <n v="15"/>
    <x v="0"/>
    <s v="스테이포에버"/>
    <n v="210101"/>
    <m/>
    <n v="510000"/>
    <n v="480165"/>
    <n v="38880"/>
    <n v="463636.3636363636"/>
    <s v="카페24고체향수유즈 스테이포에버 솔리드퍼퓸 002 (11차 예약구매 진행중)제품선택=커플추천210101"/>
  </r>
  <r>
    <x v="231"/>
    <s v="일"/>
    <x v="11"/>
    <s v="카페24"/>
    <s v="유즈 스테이포에버 솔리드퍼퓸 002 (11차 예약구매 진행중)제품선택=커플추천스테이포에버 + 이그나이트 세트"/>
    <n v="25"/>
    <x v="0"/>
    <s v="이그나이트 + 스테이포에버"/>
    <n v="210101"/>
    <m/>
    <n v="1470000"/>
    <n v="1384005"/>
    <n v="133625"/>
    <n v="1336363.636363636"/>
    <s v="카페24고체향수유즈 스테이포에버 솔리드퍼퓸 002 (11차 예약구매 진행중)제품선택=커플추천스테이포에버 + 이그나이트 세트210101"/>
  </r>
  <r>
    <x v="231"/>
    <s v="일"/>
    <x v="11"/>
    <s v="카페24"/>
    <s v="유즈 스테이포에버 솔리드퍼퓸 002 (11차 예약구매 진행중)쇼핑백=선물용 쇼핑백"/>
    <n v="21"/>
    <x v="0"/>
    <s v="쇼핑백"/>
    <n v="210101"/>
    <m/>
    <n v="42000"/>
    <n v="39543"/>
    <n v="17430"/>
    <n v="38181.81818181818"/>
    <s v="카페24고체향수유즈 스테이포에버 솔리드퍼퓸 002 (11차 예약구매 진행중)쇼핑백=선물용 쇼핑백210101"/>
  </r>
  <r>
    <x v="231"/>
    <s v="일"/>
    <x v="11"/>
    <s v="카페24"/>
    <s v="유즈 이그나이트 솔리드퍼퓸 001제품선택=이그나이트 솔리드퍼퓸 - 30ml"/>
    <n v="3"/>
    <x v="0"/>
    <s v="이그나이트"/>
    <n v="210101"/>
    <m/>
    <n v="114000"/>
    <n v="107331"/>
    <n v="8259"/>
    <n v="103636.3636363636"/>
    <s v="카페24고체향수유즈 이그나이트 솔리드퍼퓸 001제품선택=이그나이트 솔리드퍼퓸 - 30ml210101"/>
  </r>
  <r>
    <x v="231"/>
    <s v="일"/>
    <x v="11"/>
    <s v="카페24"/>
    <s v="유즈 이그나이트 솔리드퍼퓸 001제품선택=이그나이트 2개 세트"/>
    <n v="1"/>
    <x v="0"/>
    <s v="이그나이트 2set"/>
    <n v="210101"/>
    <m/>
    <n v="58800"/>
    <n v="55360.2"/>
    <n v="5506"/>
    <n v="53454.54545454545"/>
    <s v="카페24고체향수유즈 이그나이트 솔리드퍼퓸 001제품선택=이그나이트 2개 세트210101"/>
  </r>
  <r>
    <x v="232"/>
    <s v="월"/>
    <x v="11"/>
    <s v="카페24"/>
    <s v="유즈 솔리드퍼퓸 - 30ml (11차 예약구매 진행중)향=이그나이트 001 SOLID PERFUME, 세트 선택=1개"/>
    <n v="2"/>
    <x v="0"/>
    <s v="이그나이트"/>
    <n v="210101"/>
    <m/>
    <n v="68000"/>
    <n v="64022"/>
    <n v="5506"/>
    <n v="61818.18181818182"/>
    <s v="카페24고체향수유즈 솔리드퍼퓸 - 30ml (11차 예약구매 진행중)향=이그나이트 001 SOLID PERFUME, 세트 선택=1개210101"/>
  </r>
  <r>
    <x v="232"/>
    <s v="월"/>
    <x v="11"/>
    <s v="카페24"/>
    <s v="유즈 솔리드퍼퓸 - 30ml (11차 예약구매 진행중)향=이그나이트 001 SOLID PERFUME, 세트 선택=best 2개 (28% 할인)"/>
    <n v="1"/>
    <x v="0"/>
    <s v="이그나이트 2set"/>
    <n v="210101"/>
    <m/>
    <n v="58800"/>
    <n v="55360.2"/>
    <n v="5506"/>
    <n v="53454.54545454545"/>
    <s v="카페24고체향수유즈 솔리드퍼퓸 - 30ml (11차 예약구매 진행중)향=이그나이트 001 SOLID PERFUME, 세트 선택=best 2개 (28% 할인)210101"/>
  </r>
  <r>
    <x v="232"/>
    <s v="월"/>
    <x v="11"/>
    <s v="카페24"/>
    <s v="유즈 솔리드퍼퓸 - 30ml (11차 예약구매 진행중)향=스테이포에버 002 SOLID PERFUME, 세트 선택=1개"/>
    <n v="12"/>
    <x v="0"/>
    <s v="스테이포에버"/>
    <n v="210101"/>
    <m/>
    <n v="408000"/>
    <n v="384132"/>
    <n v="31104"/>
    <n v="370909.0909090909"/>
    <s v="카페24고체향수유즈 솔리드퍼퓸 - 30ml (11차 예약구매 진행중)향=스테이포에버 002 SOLID PERFUME, 세트 선택=1개210101"/>
  </r>
  <r>
    <x v="232"/>
    <s v="월"/>
    <x v="11"/>
    <s v="카페24"/>
    <s v="유즈 솔리드퍼퓸 - 30ml (11차 예약구매 진행중)향=스테이포에버 002 SOLID PERFUME, 세트 선택=best"/>
    <n v="4"/>
    <x v="0"/>
    <s v="스테이포에버"/>
    <n v="210101"/>
    <m/>
    <n v="136000"/>
    <n v="128044"/>
    <n v="10368"/>
    <n v="123636.3636363636"/>
    <s v="카페24고체향수유즈 솔리드퍼퓸 - 30ml (11차 예약구매 진행중)향=스테이포에버 002 SOLID PERFUME, 세트 선택=best210101"/>
  </r>
  <r>
    <x v="232"/>
    <s v="월"/>
    <x v="11"/>
    <s v="카페24"/>
    <s v="유즈 솔리드퍼퓸 - 30ml (11차 예약구매 진행중)향=스테이포에버 002 SOLID PERFUME, 세트 선택=best 2개 (28% 할인)"/>
    <n v="5"/>
    <x v="0"/>
    <s v="스테이포에버 2set"/>
    <n v="210101"/>
    <m/>
    <n v="294000"/>
    <n v="276801"/>
    <n v="25920"/>
    <n v="267272.7272727272"/>
    <s v="카페24고체향수유즈 솔리드퍼퓸 - 30ml (11차 예약구매 진행중)향=스테이포에버 002 SOLID PERFUME, 세트 선택=best 2개 (28% 할인)210101"/>
  </r>
  <r>
    <x v="232"/>
    <s v="월"/>
    <x v="11"/>
    <s v="카페24"/>
    <s v="유즈 솔리드퍼퓸 - 30ml (11차 예약구매 진행중)향=커플세트"/>
    <n v="6"/>
    <x v="0"/>
    <s v="이그나이트 + 스테이포에버"/>
    <n v="210101"/>
    <m/>
    <n v="352800"/>
    <n v="332161.2"/>
    <n v="32070"/>
    <n v="320727.2727272727"/>
    <s v="카페24고체향수유즈 솔리드퍼퓸 - 30ml (11차 예약구매 진행중)향=커플세트210101"/>
  </r>
  <r>
    <x v="232"/>
    <s v="월"/>
    <x v="11"/>
    <s v="카페24"/>
    <s v="유즈 솔리드퍼퓸 - 30ml (11차 예약구매 진행중)향=커플세트(이그나이트 + 스테이포에버), 세트 선택=1 SET"/>
    <n v="3"/>
    <x v="0"/>
    <s v="이그나이트 + 스테이포에버"/>
    <n v="210101"/>
    <m/>
    <n v="176400"/>
    <n v="166080.6"/>
    <n v="16035"/>
    <n v="160363.6363636364"/>
    <s v="카페24고체향수유즈 솔리드퍼퓸 - 30ml (11차 예약구매 진행중)향=커플세트(이그나이트 + 스테이포에버), 세트 선택=1 SET210101"/>
  </r>
  <r>
    <x v="232"/>
    <s v="월"/>
    <x v="11"/>
    <s v="카페24"/>
    <s v="유즈 스테이포에버 솔리드퍼퓸 002 (11차 예약구매 진행중)제품선택=스테이포에버 1개"/>
    <n v="333"/>
    <x v="0"/>
    <s v="스테이포에버"/>
    <n v="210101"/>
    <m/>
    <n v="11322000"/>
    <n v="10659663"/>
    <n v="863136"/>
    <n v="10292727.27272727"/>
    <s v="카페24고체향수유즈 스테이포에버 솔리드퍼퓸 002 (11차 예약구매 진행중)제품선택=스테이포에버 1개210101"/>
  </r>
  <r>
    <x v="232"/>
    <s v="월"/>
    <x v="11"/>
    <s v="카페24"/>
    <s v="유즈 스테이포에버 솔리드퍼퓸 002 (11차 예약구매 진행중)제품선택=best"/>
    <n v="51"/>
    <x v="0"/>
    <s v="스테이포에버"/>
    <n v="210101"/>
    <m/>
    <n v="1734000"/>
    <n v="1632561"/>
    <n v="132192"/>
    <n v="1576363.636363636"/>
    <s v="카페24고체향수유즈 스테이포에버 솔리드퍼퓸 002 (11차 예약구매 진행중)제품선택=best210101"/>
  </r>
  <r>
    <x v="232"/>
    <s v="월"/>
    <x v="11"/>
    <s v="카페24"/>
    <s v="유즈 스테이포에버 솔리드퍼퓸 002 (11차 예약구매 진행중)제품선택=best스테이포에버 2개[28% 할인]"/>
    <n v="102"/>
    <x v="0"/>
    <s v="스테이포에버 2set"/>
    <n v="210101"/>
    <m/>
    <n v="5997600"/>
    <n v="5646740.4"/>
    <n v="528768"/>
    <n v="5452363.636363636"/>
    <s v="카페24고체향수유즈 스테이포에버 솔리드퍼퓸 002 (11차 예약구매 진행중)제품선택=best스테이포에버 2개[28% 할인]210101"/>
  </r>
  <r>
    <x v="232"/>
    <s v="월"/>
    <x v="11"/>
    <s v="카페24"/>
    <s v="유즈 스테이포에버 솔리드퍼퓸 002 (11차 예약구매 진행중)제품선택=커플추천"/>
    <n v="8"/>
    <x v="0"/>
    <s v="스테이포에버"/>
    <n v="210101"/>
    <m/>
    <n v="272000"/>
    <n v="256088"/>
    <n v="20736"/>
    <n v="247272.7272727273"/>
    <s v="카페24고체향수유즈 스테이포에버 솔리드퍼퓸 002 (11차 예약구매 진행중)제품선택=커플추천210101"/>
  </r>
  <r>
    <x v="232"/>
    <s v="월"/>
    <x v="11"/>
    <s v="카페24"/>
    <s v="유즈 스테이포에버 솔리드퍼퓸 002 (11차 예약구매 진행중)제품선택=커플추천스테이포에버 + 이그나이트 세트"/>
    <n v="15"/>
    <x v="0"/>
    <s v="이그나이트 + 스테이포에버"/>
    <n v="210101"/>
    <m/>
    <n v="882000"/>
    <n v="830403"/>
    <n v="80175"/>
    <n v="801818.1818181818"/>
    <s v="카페24고체향수유즈 스테이포에버 솔리드퍼퓸 002 (11차 예약구매 진행중)제품선택=커플추천스테이포에버 + 이그나이트 세트210101"/>
  </r>
  <r>
    <x v="232"/>
    <s v="월"/>
    <x v="11"/>
    <s v="카페24"/>
    <s v="유즈 스테이포에버 솔리드퍼퓸 002 (11차 예약구매 진행중)쇼핑백=선물용 쇼핑백"/>
    <n v="9"/>
    <x v="0"/>
    <s v="쇼핑백"/>
    <n v="210101"/>
    <m/>
    <n v="18000"/>
    <n v="16947"/>
    <n v="7470"/>
    <n v="16363.63636363636"/>
    <s v="카페24고체향수유즈 스테이포에버 솔리드퍼퓸 002 (11차 예약구매 진행중)쇼핑백=선물용 쇼핑백210101"/>
  </r>
  <r>
    <x v="232"/>
    <s v="월"/>
    <x v="11"/>
    <s v="카페24"/>
    <s v="유즈 이그나이트 솔리드퍼퓸 001제품선택=이그나이트 솔리드퍼퓸 - 30ml"/>
    <n v="2"/>
    <x v="0"/>
    <s v="이그나이트"/>
    <n v="210101"/>
    <m/>
    <n v="76000"/>
    <n v="71554"/>
    <n v="5506"/>
    <n v="69090.90909090909"/>
    <s v="카페24고체향수유즈 이그나이트 솔리드퍼퓸 001제품선택=이그나이트 솔리드퍼퓸 - 30ml210101"/>
  </r>
  <r>
    <x v="233"/>
    <s v="화"/>
    <x v="11"/>
    <s v="카페24"/>
    <s v="솔리드퍼퓸 스테이포에버 002 30ml"/>
    <n v="3"/>
    <x v="0"/>
    <s v="스테이포에버"/>
    <n v="210101"/>
    <m/>
    <n v="114000"/>
    <n v="107331"/>
    <n v="7776"/>
    <n v="103636.3636363636"/>
    <s v="카페24고체향수솔리드퍼퓸 스테이포에버 002 30ml210101"/>
  </r>
  <r>
    <x v="233"/>
    <s v="화"/>
    <x v="11"/>
    <s v="카페24"/>
    <s v="유즈 솔리드퍼퓸 - 30ml향=스테이포에버 002 SOLID PERFUME, 세트 선택=1개"/>
    <n v="5"/>
    <x v="0"/>
    <s v="스테이포에버"/>
    <n v="210101"/>
    <m/>
    <n v="170000"/>
    <n v="160055"/>
    <n v="12960"/>
    <n v="154545.4545454545"/>
    <s v="카페24고체향수유즈 솔리드퍼퓸 - 30ml향=스테이포에버 002 SOLID PERFUME, 세트 선택=1개210101"/>
  </r>
  <r>
    <x v="233"/>
    <s v="화"/>
    <x v="11"/>
    <s v="카페24"/>
    <s v="유즈 솔리드퍼퓸 - 30ml향=스테이포에버 002 SOLID PERFUME, 세트 선택=best"/>
    <n v="1"/>
    <x v="0"/>
    <s v="스테이포에버"/>
    <n v="210101"/>
    <m/>
    <n v="34000"/>
    <n v="32011"/>
    <n v="2592"/>
    <n v="30909.09090909091"/>
    <s v="카페24고체향수유즈 솔리드퍼퓸 - 30ml향=스테이포에버 002 SOLID PERFUME, 세트 선택=best210101"/>
  </r>
  <r>
    <x v="233"/>
    <s v="화"/>
    <x v="11"/>
    <s v="카페24"/>
    <s v="유즈 솔리드퍼퓸 - 30ml향=커플세트"/>
    <n v="4"/>
    <x v="0"/>
    <s v="이그나이트 + 스테이포에버"/>
    <n v="210101"/>
    <m/>
    <n v="235200"/>
    <n v="221440.8"/>
    <n v="21380"/>
    <n v="213818.1818181818"/>
    <s v="카페24고체향수유즈 솔리드퍼퓸 - 30ml향=커플세트210101"/>
  </r>
  <r>
    <x v="233"/>
    <s v="화"/>
    <x v="11"/>
    <s v="카페24"/>
    <s v="유즈 솔리드퍼퓸 - 30ml향=커플세트(이그나이트 + 스테이포에버), 세트 선택=1 SET"/>
    <n v="2"/>
    <x v="0"/>
    <s v="이그나이트 + 스테이포에버"/>
    <n v="210101"/>
    <m/>
    <n v="117600"/>
    <n v="110720.4"/>
    <n v="10690"/>
    <n v="106909.0909090909"/>
    <s v="카페24고체향수유즈 솔리드퍼퓸 - 30ml향=커플세트(이그나이트 + 스테이포에버), 세트 선택=1 SET210101"/>
  </r>
  <r>
    <x v="233"/>
    <s v="화"/>
    <x v="11"/>
    <s v="카페24"/>
    <s v="유즈 솔리드퍼퓸 - 30ml (11차 예약구매 진행중)향=스테이포에버 002 SOLID PERFUME, 세트 선택=1개"/>
    <n v="8"/>
    <x v="0"/>
    <s v="스테이포에버"/>
    <n v="210101"/>
    <m/>
    <n v="272000"/>
    <n v="256088"/>
    <n v="20736"/>
    <n v="247272.7272727273"/>
    <s v="카페24고체향수유즈 솔리드퍼퓸 - 30ml (11차 예약구매 진행중)향=스테이포에버 002 SOLID PERFUME, 세트 선택=1개210101"/>
  </r>
  <r>
    <x v="233"/>
    <s v="화"/>
    <x v="11"/>
    <s v="카페24"/>
    <s v="유즈 솔리드퍼퓸 - 30ml (11차 예약구매 진행중)향=스테이포에버 002 SOLID PERFUME, 세트 선택=best"/>
    <n v="5"/>
    <x v="0"/>
    <s v="스테이포에버"/>
    <n v="210101"/>
    <m/>
    <n v="170000"/>
    <n v="160055"/>
    <n v="12960"/>
    <n v="154545.4545454545"/>
    <s v="카페24고체향수유즈 솔리드퍼퓸 - 30ml (11차 예약구매 진행중)향=스테이포에버 002 SOLID PERFUME, 세트 선택=best210101"/>
  </r>
  <r>
    <x v="233"/>
    <s v="화"/>
    <x v="11"/>
    <s v="카페24"/>
    <s v="유즈 솔리드퍼퓸 - 30ml (11차 예약구매 진행중)향=스테이포에버 002 SOLID PERFUME, 세트 선택=best 2개 (28% 할인)"/>
    <n v="2"/>
    <x v="0"/>
    <s v="스테이포에버 2set"/>
    <n v="210101"/>
    <m/>
    <n v="117600"/>
    <n v="110720.4"/>
    <n v="10368"/>
    <n v="106909.0909090909"/>
    <s v="카페24고체향수유즈 솔리드퍼퓸 - 30ml (11차 예약구매 진행중)향=스테이포에버 002 SOLID PERFUME, 세트 선택=best 2개 (28% 할인)210101"/>
  </r>
  <r>
    <x v="233"/>
    <s v="화"/>
    <x v="11"/>
    <s v="카페24"/>
    <s v="유즈 솔리드퍼퓸 - 30ml (11차 예약구매 진행중)향=커플세트"/>
    <n v="6"/>
    <x v="0"/>
    <s v="이그나이트 + 스테이포에버"/>
    <n v="210101"/>
    <m/>
    <n v="352800"/>
    <n v="332161.2"/>
    <n v="32070"/>
    <n v="320727.2727272727"/>
    <s v="카페24고체향수유즈 솔리드퍼퓸 - 30ml (11차 예약구매 진행중)향=커플세트210101"/>
  </r>
  <r>
    <x v="233"/>
    <s v="화"/>
    <x v="11"/>
    <s v="카페24"/>
    <s v="유즈 솔리드퍼퓸 - 30ml (11차 예약구매 진행중)향=커플세트(이그나이트 + 스테이포에버), 세트 선택=1 SET"/>
    <n v="2"/>
    <x v="0"/>
    <s v="이그나이트 + 스테이포에버"/>
    <n v="210101"/>
    <m/>
    <n v="117600"/>
    <n v="110720.4"/>
    <n v="10690"/>
    <n v="106909.0909090909"/>
    <s v="카페24고체향수유즈 솔리드퍼퓸 - 30ml (11차 예약구매 진행중)향=커플세트(이그나이트 + 스테이포에버), 세트 선택=1 SET210101"/>
  </r>
  <r>
    <x v="233"/>
    <s v="화"/>
    <x v="11"/>
    <s v="카페24"/>
    <s v="유즈 스테이포에버 솔리드퍼퓸 002제품선택=스테이포에버 1개"/>
    <n v="197"/>
    <x v="0"/>
    <s v="스테이포에버"/>
    <n v="210101"/>
    <m/>
    <n v="6698000"/>
    <n v="6306167"/>
    <n v="510624"/>
    <n v="6089090.909090908"/>
    <s v="카페24고체향수유즈 스테이포에버 솔리드퍼퓸 002제품선택=스테이포에버 1개210101"/>
  </r>
  <r>
    <x v="233"/>
    <s v="화"/>
    <x v="11"/>
    <s v="카페24"/>
    <s v="유즈 스테이포에버 솔리드퍼퓸 002제품선택=best"/>
    <n v="55"/>
    <x v="0"/>
    <s v="스테이포에버"/>
    <n v="210101"/>
    <m/>
    <n v="1870000"/>
    <n v="1760605"/>
    <n v="142560"/>
    <n v="1700000"/>
    <s v="카페24고체향수유즈 스테이포에버 솔리드퍼퓸 002제품선택=best210101"/>
  </r>
  <r>
    <x v="233"/>
    <s v="화"/>
    <x v="11"/>
    <s v="카페24"/>
    <s v="유즈 스테이포에버 솔리드퍼퓸 002제품선택=best스테이포에버 2개[28% 할인]"/>
    <n v="59"/>
    <x v="0"/>
    <s v="스테이포에버"/>
    <n v="210101"/>
    <m/>
    <n v="2006000"/>
    <n v="1888649"/>
    <n v="152928"/>
    <n v="1823636.363636364"/>
    <s v="카페24고체향수유즈 스테이포에버 솔리드퍼퓸 002제품선택=best스테이포에버 2개[28% 할인]210101"/>
  </r>
  <r>
    <x v="233"/>
    <s v="화"/>
    <x v="11"/>
    <s v="카페24"/>
    <s v="유즈 스테이포에버 솔리드퍼퓸 002제품선택=커플추천"/>
    <n v="7"/>
    <x v="0"/>
    <s v="이그나이트 + 스테이포에버"/>
    <n v="210101"/>
    <m/>
    <n v="411600"/>
    <n v="387521.4"/>
    <n v="37415"/>
    <n v="374181.8181818182"/>
    <s v="카페24고체향수유즈 스테이포에버 솔리드퍼퓸 002제품선택=커플추천210101"/>
  </r>
  <r>
    <x v="233"/>
    <s v="화"/>
    <x v="11"/>
    <s v="카페24"/>
    <s v="유즈 스테이포에버 솔리드퍼퓸 002제품선택=커플추천스테이포에버 + 이그나이트 세트"/>
    <n v="6"/>
    <x v="0"/>
    <s v="이그나이트 + 스테이포에버"/>
    <n v="210101"/>
    <m/>
    <n v="352800"/>
    <n v="332161.2"/>
    <n v="32070"/>
    <n v="320727.2727272727"/>
    <s v="카페24고체향수유즈 스테이포에버 솔리드퍼퓸 002제품선택=커플추천스테이포에버 + 이그나이트 세트210101"/>
  </r>
  <r>
    <x v="233"/>
    <s v="화"/>
    <x v="11"/>
    <s v="카페24"/>
    <s v="유즈 스테이포에버 솔리드퍼퓸 002쇼핑백=선물용 쇼핑백"/>
    <n v="10"/>
    <x v="0"/>
    <s v="쇼핑백"/>
    <n v="210101"/>
    <m/>
    <n v="20000"/>
    <n v="18830"/>
    <n v="8300"/>
    <n v="18181.81818181818"/>
    <s v="카페24고체향수유즈 스테이포에버 솔리드퍼퓸 002쇼핑백=선물용 쇼핑백210101"/>
  </r>
  <r>
    <x v="233"/>
    <s v="화"/>
    <x v="11"/>
    <s v="카페24"/>
    <s v="유즈 스테이포에버 솔리드퍼퓸 002제품선택=스테이포에버 솔리드퍼퓸"/>
    <n v="1"/>
    <x v="0"/>
    <s v="스테이포에버"/>
    <n v="210101"/>
    <m/>
    <n v="38000"/>
    <n v="35777"/>
    <n v="2592"/>
    <n v="34545.45454545454"/>
    <s v="카페24고체향수유즈 스테이포에버 솔리드퍼퓸 002제품선택=스테이포에버 솔리드퍼퓸210101"/>
  </r>
  <r>
    <x v="233"/>
    <s v="화"/>
    <x v="11"/>
    <s v="카페24"/>
    <s v="유즈 스테이포에버 솔리드퍼퓸 002 (11차 예약구매 진행중)제품선택=스테이포에버 1개"/>
    <n v="178"/>
    <x v="0"/>
    <s v="스테이포에버"/>
    <n v="210101"/>
    <m/>
    <n v="6052000"/>
    <n v="5697958"/>
    <n v="461376"/>
    <n v="5501818.181818182"/>
    <s v="카페24고체향수유즈 스테이포에버 솔리드퍼퓸 002 (11차 예약구매 진행중)제품선택=스테이포에버 1개210101"/>
  </r>
  <r>
    <x v="233"/>
    <s v="화"/>
    <x v="11"/>
    <s v="카페24"/>
    <s v="유즈 스테이포에버 솔리드퍼퓸 002 (11차 예약구매 진행중)제품선택=best"/>
    <n v="43"/>
    <x v="0"/>
    <s v="스테이포에버"/>
    <n v="210101"/>
    <m/>
    <n v="1462000"/>
    <n v="1376473"/>
    <n v="111456"/>
    <n v="1329090.909090909"/>
    <s v="카페24고체향수유즈 스테이포에버 솔리드퍼퓸 002 (11차 예약구매 진행중)제품선택=best210101"/>
  </r>
  <r>
    <x v="233"/>
    <s v="화"/>
    <x v="11"/>
    <s v="카페24"/>
    <s v="유즈 스테이포에버 솔리드퍼퓸 002 (11차 예약구매 진행중)제품선택=best스테이포에버 2개[28% 할인]"/>
    <n v="56"/>
    <x v="0"/>
    <s v="스테이포에버 2set"/>
    <n v="210101"/>
    <m/>
    <n v="3292800"/>
    <n v="3100171.2"/>
    <n v="290304"/>
    <n v="2993454.545454545"/>
    <s v="카페24고체향수유즈 스테이포에버 솔리드퍼퓸 002 (11차 예약구매 진행중)제품선택=best스테이포에버 2개[28% 할인]210101"/>
  </r>
  <r>
    <x v="233"/>
    <s v="화"/>
    <x v="11"/>
    <s v="카페24"/>
    <s v="유즈 스테이포에버 솔리드퍼퓸 002 (11차 예약구매 진행중)제품선택=커플추천"/>
    <n v="9"/>
    <x v="0"/>
    <s v="스테이포에버"/>
    <n v="210101"/>
    <m/>
    <n v="306000"/>
    <n v="288099"/>
    <n v="23328"/>
    <n v="278181.8181818182"/>
    <s v="카페24고체향수유즈 스테이포에버 솔리드퍼퓸 002 (11차 예약구매 진행중)제품선택=커플추천210101"/>
  </r>
  <r>
    <x v="233"/>
    <s v="화"/>
    <x v="11"/>
    <s v="카페24"/>
    <s v="유즈 스테이포에버 솔리드퍼퓸 002 (11차 예약구매 진행중)제품선택=커플추천스테이포에버 + 이그나이트 세트"/>
    <n v="12"/>
    <x v="0"/>
    <s v="이그나이트 + 스테이포에버"/>
    <n v="210101"/>
    <m/>
    <n v="705600"/>
    <n v="664322.4"/>
    <n v="64140"/>
    <n v="641454.5454545454"/>
    <s v="카페24고체향수유즈 스테이포에버 솔리드퍼퓸 002 (11차 예약구매 진행중)제품선택=커플추천스테이포에버 + 이그나이트 세트210101"/>
  </r>
  <r>
    <x v="233"/>
    <s v="화"/>
    <x v="11"/>
    <s v="카페24"/>
    <s v="유즈 스테이포에버 솔리드퍼퓸 002 (11차 예약구매 진행중)쇼핑백=선물용 쇼핑백"/>
    <n v="7"/>
    <x v="0"/>
    <s v="쇼핑백"/>
    <n v="210101"/>
    <m/>
    <n v="14000"/>
    <n v="13181"/>
    <n v="5810"/>
    <n v="12727.27272727273"/>
    <s v="카페24고체향수유즈 스테이포에버 솔리드퍼퓸 002 (11차 예약구매 진행중)쇼핑백=선물용 쇼핑백210101"/>
  </r>
  <r>
    <x v="233"/>
    <s v="화"/>
    <x v="11"/>
    <s v="카페24"/>
    <s v="유즈 이그나이트 솔리드퍼퓸 001제품선택=이그나이트 솔리드퍼퓸 - 30ml"/>
    <n v="6"/>
    <x v="0"/>
    <s v="이그나이트"/>
    <n v="210101"/>
    <m/>
    <n v="228000"/>
    <n v="214662"/>
    <n v="16518"/>
    <n v="207272.7272727273"/>
    <s v="카페24고체향수유즈 이그나이트 솔리드퍼퓸 001제품선택=이그나이트 솔리드퍼퓸 - 30ml210101"/>
  </r>
  <r>
    <x v="233"/>
    <s v="화"/>
    <x v="11"/>
    <s v="카페24"/>
    <s v="유즈 이그나이트 솔리드퍼퓸 001제품선택=이그나이트 2개 세트"/>
    <n v="2"/>
    <x v="0"/>
    <s v="이그나이트 2set"/>
    <n v="210101"/>
    <m/>
    <n v="117600"/>
    <n v="110720.4"/>
    <n v="11012"/>
    <n v="106909.0909090909"/>
    <s v="카페24고체향수유즈 이그나이트 솔리드퍼퓸 001제품선택=이그나이트 2개 세트210101"/>
  </r>
  <r>
    <x v="234"/>
    <s v="수"/>
    <x v="11"/>
    <s v="카페24"/>
    <s v="SHOPPING BAG"/>
    <n v="1"/>
    <x v="2"/>
    <s v="쇼핑백"/>
    <n v="210101"/>
    <m/>
    <n v="2000"/>
    <n v="1883"/>
    <n v="830"/>
    <n v="1818.181818181818"/>
    <s v="카페24쇼핑백SHOPPING BAG210101"/>
  </r>
  <r>
    <x v="234"/>
    <s v="수"/>
    <x v="11"/>
    <s v="카페24"/>
    <s v="솔리드퍼퓸 스테이포에버 002 30ml"/>
    <n v="1"/>
    <x v="0"/>
    <s v="스테이포에버"/>
    <n v="210101"/>
    <m/>
    <n v="38000"/>
    <n v="35777"/>
    <n v="2592"/>
    <n v="34545.45454545454"/>
    <s v="카페24고체향수솔리드퍼퓸 스테이포에버 002 30ml210101"/>
  </r>
  <r>
    <x v="234"/>
    <s v="수"/>
    <x v="11"/>
    <s v="카페24"/>
    <s v="유즈 솔리드퍼퓸 - 30ml향=이그나이트 001 SOLID PERFUME, 세트 선택=1개"/>
    <n v="1"/>
    <x v="0"/>
    <s v="이그나이트"/>
    <n v="210101"/>
    <m/>
    <n v="34000"/>
    <n v="32011"/>
    <n v="2753"/>
    <n v="30909.09090909091"/>
    <s v="카페24고체향수유즈 솔리드퍼퓸 - 30ml향=이그나이트 001 SOLID PERFUME, 세트 선택=1개210101"/>
  </r>
  <r>
    <x v="234"/>
    <s v="수"/>
    <x v="11"/>
    <s v="카페24"/>
    <s v="유즈 솔리드퍼퓸 - 30ml향=스테이포에버 002 SOLID PERFUME, 세트 선택=1개"/>
    <n v="12"/>
    <x v="0"/>
    <s v="스테이포에버"/>
    <n v="210101"/>
    <m/>
    <n v="408000"/>
    <n v="384132"/>
    <n v="31104"/>
    <n v="370909.0909090909"/>
    <s v="카페24고체향수유즈 솔리드퍼퓸 - 30ml향=스테이포에버 002 SOLID PERFUME, 세트 선택=1개210101"/>
  </r>
  <r>
    <x v="234"/>
    <s v="수"/>
    <x v="11"/>
    <s v="카페24"/>
    <s v="유즈 솔리드퍼퓸 - 30ml향=스테이포에버 002 SOLID PERFUME, 세트 선택=best"/>
    <n v="6"/>
    <x v="0"/>
    <s v="스테이포에버"/>
    <n v="210101"/>
    <m/>
    <n v="204000"/>
    <n v="192066"/>
    <n v="15552"/>
    <n v="185454.5454545454"/>
    <s v="카페24고체향수유즈 솔리드퍼퓸 - 30ml향=스테이포에버 002 SOLID PERFUME, 세트 선택=best210101"/>
  </r>
  <r>
    <x v="234"/>
    <s v="수"/>
    <x v="11"/>
    <s v="카페24"/>
    <s v="유즈 솔리드퍼퓸 - 30ml향=스테이포에버 002 SOLID PERFUME, 세트 선택=best 2개 (28% 할인)"/>
    <n v="2"/>
    <x v="0"/>
    <s v="스테이포에버 2set"/>
    <n v="210101"/>
    <m/>
    <n v="117600"/>
    <n v="110720.4"/>
    <n v="10368"/>
    <n v="106909.0909090909"/>
    <s v="카페24고체향수유즈 솔리드퍼퓸 - 30ml향=스테이포에버 002 SOLID PERFUME, 세트 선택=best 2개 (28% 할인)210101"/>
  </r>
  <r>
    <x v="234"/>
    <s v="수"/>
    <x v="11"/>
    <s v="카페24"/>
    <s v="유즈 솔리드퍼퓸 - 30ml향=커플세트"/>
    <n v="8"/>
    <x v="0"/>
    <s v="이그나이트 + 스테이포에버"/>
    <n v="210101"/>
    <m/>
    <n v="470400"/>
    <n v="442881.6"/>
    <n v="42760"/>
    <n v="427636.3636363636"/>
    <s v="카페24고체향수유즈 솔리드퍼퓸 - 30ml향=커플세트210101"/>
  </r>
  <r>
    <x v="234"/>
    <s v="수"/>
    <x v="11"/>
    <s v="카페24"/>
    <s v="유즈 솔리드퍼퓸 - 30ml향=커플세트(이그나이트 + 스테이포에버), 세트 선택=1 SET"/>
    <n v="6"/>
    <x v="0"/>
    <s v="이그나이트 + 스테이포에버"/>
    <n v="210101"/>
    <m/>
    <n v="352800"/>
    <n v="332161.2"/>
    <n v="32070"/>
    <n v="320727.2727272727"/>
    <s v="카페24고체향수유즈 솔리드퍼퓸 - 30ml향=커플세트(이그나이트 + 스테이포에버), 세트 선택=1 SET210101"/>
  </r>
  <r>
    <x v="234"/>
    <s v="수"/>
    <x v="11"/>
    <s v="카페24"/>
    <s v="유즈 솔리드퍼퓸 - 30ml향=커플세트"/>
    <n v="1"/>
    <x v="0"/>
    <s v="이그나이트 + 스테이포에버"/>
    <n v="210101"/>
    <m/>
    <n v="58800"/>
    <n v="55360.2"/>
    <n v="5345"/>
    <n v="53454.54545454545"/>
    <s v="카페24고체향수유즈 솔리드퍼퓸 - 30ml향=커플세트210101"/>
  </r>
  <r>
    <x v="234"/>
    <s v="수"/>
    <x v="11"/>
    <s v="카페24"/>
    <s v="유즈 솔리드퍼퓸 - 30ml향=커플세트(이그나이트 + 스테이포에버), 세트 선택=2 SET (42% 할인)"/>
    <n v="1"/>
    <x v="0"/>
    <s v="이그나이트 + 스테이포에버"/>
    <n v="210101"/>
    <m/>
    <n v="58800"/>
    <n v="55360.2"/>
    <n v="5345"/>
    <n v="53454.54545454545"/>
    <s v="카페24고체향수유즈 솔리드퍼퓸 - 30ml향=커플세트(이그나이트 + 스테이포에버), 세트 선택=2 SET (42% 할인)210101"/>
  </r>
  <r>
    <x v="234"/>
    <s v="수"/>
    <x v="11"/>
    <s v="카페24"/>
    <s v="유즈 스테이포에버 솔리드퍼퓸 002제품선택=스테이포에버 1개"/>
    <n v="417"/>
    <x v="0"/>
    <s v="스테이포에버"/>
    <n v="210101"/>
    <m/>
    <n v="14178000"/>
    <n v="13348587"/>
    <n v="1080864"/>
    <n v="12889090.90909091"/>
    <s v="카페24고체향수유즈 스테이포에버 솔리드퍼퓸 002제품선택=스테이포에버 1개210101"/>
  </r>
  <r>
    <x v="234"/>
    <s v="수"/>
    <x v="11"/>
    <s v="카페24"/>
    <s v="유즈 스테이포에버 솔리드퍼퓸 002제품선택=best"/>
    <n v="87"/>
    <x v="0"/>
    <s v="스테이포에버"/>
    <n v="210101"/>
    <m/>
    <n v="2958000"/>
    <n v="2784957"/>
    <n v="225504"/>
    <n v="2689090.909090909"/>
    <s v="카페24고체향수유즈 스테이포에버 솔리드퍼퓸 002제품선택=best210101"/>
  </r>
  <r>
    <x v="234"/>
    <s v="수"/>
    <x v="11"/>
    <s v="카페24"/>
    <s v="유즈 스테이포에버 솔리드퍼퓸 002제품선택=best스테이포에버 2개[28% 할인]"/>
    <n v="120"/>
    <x v="0"/>
    <s v="스테이포에버"/>
    <n v="210101"/>
    <m/>
    <n v="4080000"/>
    <n v="3841320"/>
    <n v="311040"/>
    <n v="3709090.909090909"/>
    <s v="카페24고체향수유즈 스테이포에버 솔리드퍼퓸 002제품선택=best스테이포에버 2개[28% 할인]210101"/>
  </r>
  <r>
    <x v="234"/>
    <s v="수"/>
    <x v="11"/>
    <s v="카페24"/>
    <s v="유즈 스테이포에버 솔리드퍼퓸 002제품선택=커플추천"/>
    <n v="12"/>
    <x v="0"/>
    <s v="이그나이트 + 스테이포에버"/>
    <n v="210101"/>
    <m/>
    <n v="705600"/>
    <n v="664322.4"/>
    <n v="64140"/>
    <n v="641454.5454545454"/>
    <s v="카페24고체향수유즈 스테이포에버 솔리드퍼퓸 002제품선택=커플추천210101"/>
  </r>
  <r>
    <x v="234"/>
    <s v="수"/>
    <x v="11"/>
    <s v="카페24"/>
    <s v="유즈 스테이포에버 솔리드퍼퓸 002제품선택=커플추천스테이포에버 + 이그나이트 세트"/>
    <n v="24"/>
    <x v="0"/>
    <s v="이그나이트 + 스테이포에버"/>
    <n v="210101"/>
    <m/>
    <n v="1411200"/>
    <n v="1328644.8"/>
    <n v="128280"/>
    <n v="1282909.090909091"/>
    <s v="카페24고체향수유즈 스테이포에버 솔리드퍼퓸 002제품선택=커플추천스테이포에버 + 이그나이트 세트210101"/>
  </r>
  <r>
    <x v="234"/>
    <s v="수"/>
    <x v="11"/>
    <s v="카페24"/>
    <s v="유즈 스테이포에버 솔리드퍼퓸 002쇼핑백=선물용 쇼핑백"/>
    <n v="20"/>
    <x v="0"/>
    <s v="쇼핑백"/>
    <n v="210101"/>
    <m/>
    <n v="40000"/>
    <n v="37660"/>
    <n v="16600"/>
    <n v="36363.63636363636"/>
    <s v="카페24고체향수유즈 스테이포에버 솔리드퍼퓸 002쇼핑백=선물용 쇼핑백210101"/>
  </r>
  <r>
    <x v="234"/>
    <s v="수"/>
    <x v="11"/>
    <s v="카페24"/>
    <s v="유즈 스테이포에버 솔리드퍼퓸 002 (11차 예약구매 진행중)제품선택=스테이포에버 1개"/>
    <n v="6"/>
    <x v="0"/>
    <s v="스테이포에버"/>
    <n v="210101"/>
    <m/>
    <n v="204000"/>
    <n v="192066"/>
    <n v="15552"/>
    <n v="185454.5454545454"/>
    <s v="카페24고체향수유즈 스테이포에버 솔리드퍼퓸 002 (11차 예약구매 진행중)제품선택=스테이포에버 1개210101"/>
  </r>
  <r>
    <x v="234"/>
    <s v="수"/>
    <x v="11"/>
    <s v="카페24"/>
    <s v="유즈 스테이포에버 솔리드퍼퓸 002 (11차 예약구매 진행중)제품선택=best"/>
    <n v="1"/>
    <x v="0"/>
    <s v="스테이포에버"/>
    <n v="210101"/>
    <m/>
    <n v="34000"/>
    <n v="32011"/>
    <n v="2592"/>
    <n v="30909.09090909091"/>
    <s v="카페24고체향수유즈 스테이포에버 솔리드퍼퓸 002 (11차 예약구매 진행중)제품선택=best210101"/>
  </r>
  <r>
    <x v="234"/>
    <s v="수"/>
    <x v="11"/>
    <s v="카페24"/>
    <s v="유즈 스테이포에버 솔리드퍼퓸 002 (11차 예약구매 진행중)제품선택=커플추천"/>
    <n v="1"/>
    <x v="0"/>
    <s v="스테이포에버"/>
    <n v="210101"/>
    <m/>
    <n v="34000"/>
    <n v="32011"/>
    <n v="2592"/>
    <n v="30909.09090909091"/>
    <s v="카페24고체향수유즈 스테이포에버 솔리드퍼퓸 002 (11차 예약구매 진행중)제품선택=커플추천210101"/>
  </r>
  <r>
    <x v="234"/>
    <s v="수"/>
    <x v="11"/>
    <s v="카페24"/>
    <s v="유즈 스테이포에버 솔리드퍼퓸 002 (11차 예약구매 진행중)쇼핑백=선물용 쇼핑백"/>
    <n v="2"/>
    <x v="0"/>
    <s v="쇼핑백"/>
    <n v="210101"/>
    <m/>
    <n v="4000"/>
    <n v="3766"/>
    <n v="1660"/>
    <n v="3636.363636363636"/>
    <s v="카페24고체향수유즈 스테이포에버 솔리드퍼퓸 002 (11차 예약구매 진행중)쇼핑백=선물용 쇼핑백210101"/>
  </r>
  <r>
    <x v="234"/>
    <s v="수"/>
    <x v="11"/>
    <s v="카페24"/>
    <s v="유즈 이그나이트 솔리드퍼퓸 001제품선택=이그나이트 솔리드퍼퓸 - 30ml"/>
    <n v="5"/>
    <x v="0"/>
    <s v="이그나이트"/>
    <n v="210101"/>
    <m/>
    <n v="190000"/>
    <n v="178885"/>
    <n v="13765"/>
    <n v="172727.2727272727"/>
    <s v="카페24고체향수유즈 이그나이트 솔리드퍼퓸 001제품선택=이그나이트 솔리드퍼퓸 - 30ml210101"/>
  </r>
  <r>
    <x v="234"/>
    <s v="수"/>
    <x v="11"/>
    <s v="카페24"/>
    <s v="유즈 이그나이트 솔리드퍼퓸 001제품선택=이그나이트 2개 세트"/>
    <n v="2"/>
    <x v="0"/>
    <s v="이그나이트 2set"/>
    <n v="210101"/>
    <m/>
    <n v="117600"/>
    <n v="110720.4"/>
    <n v="11012"/>
    <n v="106909.0909090909"/>
    <s v="카페24고체향수유즈 이그나이트 솔리드퍼퓸 001제품선택=이그나이트 2개 세트210101"/>
  </r>
  <r>
    <x v="235"/>
    <s v="목"/>
    <x v="11"/>
    <s v="카페24"/>
    <s v="유즈 솔리드퍼퓸 - 30ml향=이그나이트 001 SOLID PERFUME, 세트 선택=1개"/>
    <n v="1"/>
    <x v="0"/>
    <s v="이그나이트"/>
    <n v="210101"/>
    <m/>
    <n v="34000"/>
    <n v="32011"/>
    <n v="2753"/>
    <n v="30909.09090909091"/>
    <s v="카페24고체향수유즈 솔리드퍼퓸 - 30ml향=이그나이트 001 SOLID PERFUME, 세트 선택=1개210101"/>
  </r>
  <r>
    <x v="235"/>
    <s v="목"/>
    <x v="11"/>
    <s v="카페24"/>
    <s v="유즈 솔리드퍼퓸 - 30ml향=스테이포에버 002 SOLID PERFUME, 세트 선택=1개"/>
    <n v="10"/>
    <x v="0"/>
    <s v="스테이포에버"/>
    <n v="210101"/>
    <m/>
    <n v="340000"/>
    <n v="320110"/>
    <n v="25920"/>
    <n v="309090.9090909091"/>
    <s v="카페24고체향수유즈 솔리드퍼퓸 - 30ml향=스테이포에버 002 SOLID PERFUME, 세트 선택=1개210101"/>
  </r>
  <r>
    <x v="235"/>
    <s v="목"/>
    <x v="11"/>
    <s v="카페24"/>
    <s v="유즈 솔리드퍼퓸 - 30ml향=스테이포에버 002 SOLID PERFUME, 세트 선택=best"/>
    <n v="1"/>
    <x v="0"/>
    <s v="스테이포에버"/>
    <n v="210101"/>
    <m/>
    <n v="34000"/>
    <n v="32011"/>
    <n v="2592"/>
    <n v="30909.09090909091"/>
    <s v="카페24고체향수유즈 솔리드퍼퓸 - 30ml향=스테이포에버 002 SOLID PERFUME, 세트 선택=best210101"/>
  </r>
  <r>
    <x v="235"/>
    <s v="목"/>
    <x v="11"/>
    <s v="카페24"/>
    <s v="유즈 솔리드퍼퓸 - 30ml향=스테이포에버 002 SOLID PERFUME, 세트 선택=best 2개 (28% 할인)"/>
    <n v="4"/>
    <x v="0"/>
    <s v="스테이포에버 2set"/>
    <n v="210101"/>
    <m/>
    <n v="235200"/>
    <n v="221440.8"/>
    <n v="20736"/>
    <n v="213818.1818181818"/>
    <s v="카페24고체향수유즈 솔리드퍼퓸 - 30ml향=스테이포에버 002 SOLID PERFUME, 세트 선택=best 2개 (28% 할인)210101"/>
  </r>
  <r>
    <x v="235"/>
    <s v="목"/>
    <x v="11"/>
    <s v="카페24"/>
    <s v="유즈 솔리드퍼퓸 - 30ml향=커플세트"/>
    <n v="7"/>
    <x v="0"/>
    <s v="이그나이트 + 스테이포에버"/>
    <n v="210101"/>
    <m/>
    <n v="411600"/>
    <n v="387521.4"/>
    <n v="37415"/>
    <n v="374181.8181818182"/>
    <s v="카페24고체향수유즈 솔리드퍼퓸 - 30ml향=커플세트210101"/>
  </r>
  <r>
    <x v="235"/>
    <s v="목"/>
    <x v="11"/>
    <s v="카페24"/>
    <s v="유즈 솔리드퍼퓸 - 30ml향=커플세트(이그나이트 + 스테이포에버), 세트 선택=1 SET"/>
    <n v="6"/>
    <x v="0"/>
    <s v="이그나이트 + 스테이포에버"/>
    <n v="210101"/>
    <m/>
    <n v="352800"/>
    <n v="332161.2"/>
    <n v="32070"/>
    <n v="320727.2727272727"/>
    <s v="카페24고체향수유즈 솔리드퍼퓸 - 30ml향=커플세트(이그나이트 + 스테이포에버), 세트 선택=1 SET210101"/>
  </r>
  <r>
    <x v="235"/>
    <s v="목"/>
    <x v="11"/>
    <s v="카페24"/>
    <s v="유즈 솔리드퍼퓸 - 30ml향=커플세트"/>
    <n v="2"/>
    <x v="0"/>
    <s v="이그나이트 + 스테이포에버"/>
    <n v="210101"/>
    <m/>
    <n v="117600"/>
    <n v="110720.4"/>
    <n v="10690"/>
    <n v="106909.0909090909"/>
    <s v="카페24고체향수유즈 솔리드퍼퓸 - 30ml향=커플세트210101"/>
  </r>
  <r>
    <x v="235"/>
    <s v="목"/>
    <x v="11"/>
    <s v="카페24"/>
    <s v="유즈 솔리드퍼퓸 - 30ml향=커플세트(이그나이트 + 스테이포에버), 세트 선택=2 SET (42% 할인)"/>
    <n v="1"/>
    <x v="0"/>
    <s v="이그나이트 + 스테이포에버"/>
    <n v="210101"/>
    <m/>
    <n v="58800"/>
    <n v="55360.2"/>
    <n v="5345"/>
    <n v="53454.54545454545"/>
    <s v="카페24고체향수유즈 솔리드퍼퓸 - 30ml향=커플세트(이그나이트 + 스테이포에버), 세트 선택=2 SET (42% 할인)210101"/>
  </r>
  <r>
    <x v="235"/>
    <s v="목"/>
    <x v="11"/>
    <s v="카페24"/>
    <s v="유즈 스테이포에버 솔리드퍼퓸 002제품선택=스테이포에버 1개"/>
    <n v="302"/>
    <x v="0"/>
    <s v="스테이포에버"/>
    <n v="210101"/>
    <m/>
    <n v="10268000"/>
    <n v="9667322"/>
    <n v="782784"/>
    <n v="9334545.454545453"/>
    <s v="카페24고체향수유즈 스테이포에버 솔리드퍼퓸 002제품선택=스테이포에버 1개210101"/>
  </r>
  <r>
    <x v="235"/>
    <s v="목"/>
    <x v="11"/>
    <s v="카페24"/>
    <s v="유즈 스테이포에버 솔리드퍼퓸 002제품선택=best"/>
    <n v="66"/>
    <x v="0"/>
    <s v="스테이포에버"/>
    <n v="210101"/>
    <m/>
    <n v="2244000"/>
    <n v="2112726"/>
    <n v="171072"/>
    <n v="2040000"/>
    <s v="카페24고체향수유즈 스테이포에버 솔리드퍼퓸 002제품선택=best210101"/>
  </r>
  <r>
    <x v="235"/>
    <s v="목"/>
    <x v="11"/>
    <s v="카페24"/>
    <s v="유즈 스테이포에버 솔리드퍼퓸 002제품선택=best스테이포에버 2개[28% 할인]"/>
    <n v="101"/>
    <x v="0"/>
    <s v="스테이포에버"/>
    <n v="210101"/>
    <m/>
    <n v="3434000"/>
    <n v="3233111"/>
    <n v="261792"/>
    <n v="3121818.181818182"/>
    <s v="카페24고체향수유즈 스테이포에버 솔리드퍼퓸 002제품선택=best스테이포에버 2개[28% 할인]210101"/>
  </r>
  <r>
    <x v="235"/>
    <s v="목"/>
    <x v="11"/>
    <s v="카페24"/>
    <s v="유즈 스테이포에버 솔리드퍼퓸 002제품선택=커플추천"/>
    <n v="13"/>
    <x v="0"/>
    <s v="이그나이트 + 스테이포에버"/>
    <n v="210101"/>
    <m/>
    <n v="764400"/>
    <n v="719682.6"/>
    <n v="69485"/>
    <n v="694909.0909090908"/>
    <s v="카페24고체향수유즈 스테이포에버 솔리드퍼퓸 002제품선택=커플추천210101"/>
  </r>
  <r>
    <x v="235"/>
    <s v="목"/>
    <x v="11"/>
    <s v="카페24"/>
    <s v="유즈 스테이포에버 솔리드퍼퓸 002제품선택=커플추천스테이포에버 + 이그나이트 세트"/>
    <n v="15"/>
    <x v="0"/>
    <s v="이그나이트 + 스테이포에버"/>
    <n v="210101"/>
    <m/>
    <n v="882000"/>
    <n v="830403"/>
    <n v="80175"/>
    <n v="801818.1818181818"/>
    <s v="카페24고체향수유즈 스테이포에버 솔리드퍼퓸 002제품선택=커플추천스테이포에버 + 이그나이트 세트210101"/>
  </r>
  <r>
    <x v="235"/>
    <s v="목"/>
    <x v="11"/>
    <s v="카페24"/>
    <s v="유즈 스테이포에버 솔리드퍼퓸 002쇼핑백=선물용 쇼핑백"/>
    <n v="16"/>
    <x v="0"/>
    <s v="쇼핑백"/>
    <n v="210101"/>
    <m/>
    <n v="32000"/>
    <n v="30128"/>
    <n v="13280"/>
    <n v="29090.90909090909"/>
    <s v="카페24고체향수유즈 스테이포에버 솔리드퍼퓸 002쇼핑백=선물용 쇼핑백210101"/>
  </r>
  <r>
    <x v="235"/>
    <s v="목"/>
    <x v="11"/>
    <s v="카페24"/>
    <s v="유즈 스테이포에버 솔리드퍼퓸 002 (11차 예약구매 진행중)제품선택=best"/>
    <n v="1"/>
    <x v="0"/>
    <s v="스테이포에버"/>
    <n v="210101"/>
    <m/>
    <n v="34000"/>
    <n v="32011"/>
    <n v="2592"/>
    <n v="30909.09090909091"/>
    <s v="카페24고체향수유즈 스테이포에버 솔리드퍼퓸 002 (11차 예약구매 진행중)제품선택=best210101"/>
  </r>
  <r>
    <x v="235"/>
    <s v="목"/>
    <x v="11"/>
    <s v="카페24"/>
    <s v="유즈 이그나이트 솔리드퍼퓸 001제품선택=이그나이트 솔리드퍼퓸 - 30ml"/>
    <n v="3"/>
    <x v="0"/>
    <s v="이그나이트"/>
    <n v="210101"/>
    <m/>
    <n v="114000"/>
    <n v="107331"/>
    <n v="8259"/>
    <n v="103636.3636363636"/>
    <s v="카페24고체향수유즈 이그나이트 솔리드퍼퓸 001제품선택=이그나이트 솔리드퍼퓸 - 30ml210101"/>
  </r>
  <r>
    <x v="235"/>
    <s v="목"/>
    <x v="11"/>
    <s v="카페24"/>
    <s v="유즈 이그나이트 솔리드퍼퓸 001제품선택=이그나이트 2개 세트"/>
    <n v="3"/>
    <x v="0"/>
    <s v="이그나이트 2set"/>
    <n v="210101"/>
    <m/>
    <n v="176400"/>
    <n v="166080.6"/>
    <n v="16518"/>
    <n v="160363.6363636364"/>
    <s v="카페24고체향수유즈 이그나이트 솔리드퍼퓸 001제품선택=이그나이트 2개 세트210101"/>
  </r>
  <r>
    <x v="235"/>
    <s v="목"/>
    <x v="11"/>
    <s v="카페24"/>
    <s v="유즈 이그나이트 솔리드퍼퓸 001쇼핑백=선물용 쇼핑백"/>
    <n v="1"/>
    <x v="2"/>
    <s v="쇼핑백"/>
    <n v="210101"/>
    <m/>
    <n v="2000"/>
    <n v="1883"/>
    <n v="830"/>
    <n v="1818.181818181818"/>
    <s v="카페24쇼핑백유즈 이그나이트 솔리드퍼퓸 001쇼핑백=선물용 쇼핑백210101"/>
  </r>
  <r>
    <x v="236"/>
    <s v="금"/>
    <x v="11"/>
    <s v="유즈 CS"/>
    <s v="솔리드퍼퓸 스테이포에버 002 30ml"/>
    <n v="3"/>
    <x v="0"/>
    <s v="스테이포에버"/>
    <n v="210101"/>
    <m/>
    <n v="0"/>
    <n v="0"/>
    <n v="7776"/>
    <n v="0"/>
    <s v="유즈 CS고체향수솔리드퍼퓸 스테이포에버 002 30ml210101"/>
  </r>
  <r>
    <x v="236"/>
    <s v="금"/>
    <x v="11"/>
    <s v="유즈 CS"/>
    <s v="유즈 스테이포에버 솔리드퍼퓸 002제품선택=커플추천"/>
    <n v="2"/>
    <x v="0"/>
    <s v="이그나이트 + 스테이포에버"/>
    <n v="210101"/>
    <m/>
    <n v="0"/>
    <n v="0"/>
    <n v="10690"/>
    <n v="0"/>
    <s v="유즈 CS고체향수유즈 스테이포에버 솔리드퍼퓸 002제품선택=커플추천210101"/>
  </r>
  <r>
    <x v="236"/>
    <s v="금"/>
    <x v="11"/>
    <s v="카페24"/>
    <s v="솔리드퍼퓸 스테이포에버 002 30ml"/>
    <n v="3"/>
    <x v="0"/>
    <s v="스테이포에버"/>
    <n v="210101"/>
    <m/>
    <n v="114000"/>
    <n v="107331"/>
    <n v="7776"/>
    <n v="103636.3636363636"/>
    <s v="카페24고체향수솔리드퍼퓸 스테이포에버 002 30ml210101"/>
  </r>
  <r>
    <x v="236"/>
    <s v="금"/>
    <x v="11"/>
    <s v="카페24"/>
    <s v="유즈 솔리드퍼퓸 - 30ml향=이그나이트 001 SOLID PERFUME, 세트 선택=1개"/>
    <n v="4"/>
    <x v="0"/>
    <s v="이그나이트"/>
    <n v="210101"/>
    <m/>
    <n v="136000"/>
    <n v="128044"/>
    <n v="11012"/>
    <n v="123636.3636363636"/>
    <s v="카페24고체향수유즈 솔리드퍼퓸 - 30ml향=이그나이트 001 SOLID PERFUME, 세트 선택=1개210101"/>
  </r>
  <r>
    <x v="236"/>
    <s v="금"/>
    <x v="11"/>
    <s v="카페24"/>
    <s v="유즈 솔리드퍼퓸 - 30ml향=스테이포에버 002 SOLID PERFUME, 세트 선택=1개"/>
    <n v="15"/>
    <x v="0"/>
    <s v="스테이포에버"/>
    <n v="210101"/>
    <m/>
    <n v="510000"/>
    <n v="480165"/>
    <n v="38880"/>
    <n v="463636.3636363636"/>
    <s v="카페24고체향수유즈 솔리드퍼퓸 - 30ml향=스테이포에버 002 SOLID PERFUME, 세트 선택=1개210101"/>
  </r>
  <r>
    <x v="236"/>
    <s v="금"/>
    <x v="11"/>
    <s v="카페24"/>
    <s v="유즈 솔리드퍼퓸 - 30ml향=스테이포에버 002 SOLID PERFUME, 세트 선택=best"/>
    <n v="3"/>
    <x v="0"/>
    <s v="스테이포에버"/>
    <n v="210101"/>
    <m/>
    <n v="102000"/>
    <n v="96033"/>
    <n v="7776"/>
    <n v="92727.27272727272"/>
    <s v="카페24고체향수유즈 솔리드퍼퓸 - 30ml향=스테이포에버 002 SOLID PERFUME, 세트 선택=best210101"/>
  </r>
  <r>
    <x v="236"/>
    <s v="금"/>
    <x v="11"/>
    <s v="카페24"/>
    <s v="유즈 솔리드퍼퓸 - 30ml향=커플세트"/>
    <n v="2"/>
    <x v="0"/>
    <s v="이그나이트 + 스테이포에버"/>
    <n v="210101"/>
    <m/>
    <n v="117600"/>
    <n v="110720.4"/>
    <n v="10690"/>
    <n v="106909.0909090909"/>
    <s v="카페24고체향수유즈 솔리드퍼퓸 - 30ml향=커플세트210101"/>
  </r>
  <r>
    <x v="236"/>
    <s v="금"/>
    <x v="11"/>
    <s v="카페24"/>
    <s v="유즈 솔리드퍼퓸 - 30ml향=커플세트(이그나이트 + 스테이포에버), 세트 선택=1 SET"/>
    <n v="7"/>
    <x v="0"/>
    <s v="이그나이트 + 스테이포에버"/>
    <n v="210101"/>
    <m/>
    <n v="411600"/>
    <n v="387521.4"/>
    <n v="37415"/>
    <n v="374181.8181818182"/>
    <s v="카페24고체향수유즈 솔리드퍼퓸 - 30ml향=커플세트(이그나이트 + 스테이포에버), 세트 선택=1 SET210101"/>
  </r>
  <r>
    <x v="236"/>
    <s v="금"/>
    <x v="11"/>
    <s v="카페24"/>
    <s v="유즈 솔리드퍼퓸 - 30ml향=커플세트(이그나이트 + 스테이포에버), 세트 선택=2 SET (42% 할인)"/>
    <n v="1"/>
    <x v="0"/>
    <s v="이그나이트 + 스테이포에버"/>
    <n v="210101"/>
    <m/>
    <n v="58800"/>
    <n v="55360.2"/>
    <n v="5345"/>
    <n v="53454.54545454545"/>
    <s v="카페24고체향수유즈 솔리드퍼퓸 - 30ml향=커플세트(이그나이트 + 스테이포에버), 세트 선택=2 SET (42% 할인)210101"/>
  </r>
  <r>
    <x v="236"/>
    <s v="금"/>
    <x v="11"/>
    <s v="카페24"/>
    <s v="유즈 솔리드퍼퓸 - 스테이포에버 002제품선택=스테이포에버 1개"/>
    <n v="111"/>
    <x v="0"/>
    <s v="스테이포에버"/>
    <n v="210101"/>
    <m/>
    <n v="3774000"/>
    <n v="3553221"/>
    <n v="287712"/>
    <n v="3430909.090909091"/>
    <s v="카페24고체향수유즈 솔리드퍼퓸 - 스테이포에버 002제품선택=스테이포에버 1개210101"/>
  </r>
  <r>
    <x v="236"/>
    <s v="금"/>
    <x v="11"/>
    <s v="카페24"/>
    <s v="유즈 솔리드퍼퓸 - 스테이포에버 002제품선택=best"/>
    <n v="21"/>
    <x v="0"/>
    <s v="스테이포에버"/>
    <n v="210101"/>
    <m/>
    <n v="714000"/>
    <n v="672231"/>
    <n v="54432"/>
    <n v="649090.9090909091"/>
    <s v="카페24고체향수유즈 솔리드퍼퓸 - 스테이포에버 002제품선택=best210101"/>
  </r>
  <r>
    <x v="236"/>
    <s v="금"/>
    <x v="11"/>
    <s v="카페24"/>
    <s v="유즈 솔리드퍼퓸 - 스테이포에버 002제품선택=best스테이포에버 2개[28% 할인]"/>
    <n v="28"/>
    <x v="0"/>
    <s v="스테이포에버 2set"/>
    <n v="210101"/>
    <m/>
    <n v="1646400"/>
    <n v="1550085.6"/>
    <n v="145152"/>
    <n v="1496727.272727273"/>
    <s v="카페24고체향수유즈 솔리드퍼퓸 - 스테이포에버 002제품선택=best스테이포에버 2개[28% 할인]210101"/>
  </r>
  <r>
    <x v="236"/>
    <s v="금"/>
    <x v="11"/>
    <s v="카페24"/>
    <s v="유즈 솔리드퍼퓸 - 스테이포에버 002제품선택=커플추천"/>
    <n v="6"/>
    <x v="0"/>
    <s v="이그나이트 + 스테이포에버"/>
    <n v="210101"/>
    <m/>
    <n v="352800"/>
    <n v="332161.2"/>
    <n v="32070"/>
    <n v="320727.2727272727"/>
    <s v="카페24고체향수유즈 솔리드퍼퓸 - 스테이포에버 002제품선택=커플추천210101"/>
  </r>
  <r>
    <x v="236"/>
    <s v="금"/>
    <x v="11"/>
    <s v="카페24"/>
    <s v="유즈 솔리드퍼퓸 - 스테이포에버 002제품선택=커플추천스테이포에버 + 이그나이트 세트"/>
    <n v="5"/>
    <x v="0"/>
    <s v="이그나이트 + 스테이포에버"/>
    <n v="210101"/>
    <m/>
    <n v="294000"/>
    <n v="276801"/>
    <n v="26725"/>
    <n v="267272.7272727272"/>
    <s v="카페24고체향수유즈 솔리드퍼퓸 - 스테이포에버 002제품선택=커플추천스테이포에버 + 이그나이트 세트210101"/>
  </r>
  <r>
    <x v="236"/>
    <s v="금"/>
    <x v="11"/>
    <s v="카페24"/>
    <s v="유즈 솔리드퍼퓸 - 스테이포에버 002쇼핑백=선물용 쇼핑백"/>
    <n v="2"/>
    <x v="2"/>
    <s v="쇼핑백"/>
    <n v="210101"/>
    <m/>
    <n v="4000"/>
    <n v="3766"/>
    <n v="1660"/>
    <n v="3636.363636363636"/>
    <s v="카페24쇼핑백유즈 솔리드퍼퓸 - 스테이포에버 002쇼핑백=선물용 쇼핑백210101"/>
  </r>
  <r>
    <x v="236"/>
    <s v="금"/>
    <x v="11"/>
    <s v="카페24"/>
    <s v="유즈 솔리드퍼퓸 - 이그나이트 001제품선택=이그나이트 솔리드퍼퓸 - 30ml"/>
    <n v="2"/>
    <x v="0"/>
    <s v="이그나이트"/>
    <n v="210101"/>
    <m/>
    <n v="68000"/>
    <n v="68000"/>
    <n v="5506"/>
    <n v="61818.18181818182"/>
    <s v="카페24고체향수유즈 솔리드퍼퓸 - 이그나이트 001제품선택=이그나이트 솔리드퍼퓸 - 30ml210101"/>
  </r>
  <r>
    <x v="236"/>
    <s v="금"/>
    <x v="11"/>
    <s v="카페24"/>
    <s v="유즈 스테이포에버 솔리드퍼퓸 002제품선택=스테이포에버 1개"/>
    <n v="194"/>
    <x v="0"/>
    <s v="스테이포에버"/>
    <n v="210101"/>
    <m/>
    <n v="6596000"/>
    <n v="6210134"/>
    <n v="502848"/>
    <n v="5996363.636363636"/>
    <s v="카페24고체향수유즈 스테이포에버 솔리드퍼퓸 002제품선택=스테이포에버 1개210101"/>
  </r>
  <r>
    <x v="236"/>
    <s v="금"/>
    <x v="11"/>
    <s v="카페24"/>
    <s v="유즈 스테이포에버 솔리드퍼퓸 002제품선택=best"/>
    <n v="36"/>
    <x v="0"/>
    <s v="스테이포에버"/>
    <n v="210101"/>
    <m/>
    <n v="1224000"/>
    <n v="1152396"/>
    <n v="93312"/>
    <n v="1112727.272727273"/>
    <s v="카페24고체향수유즈 스테이포에버 솔리드퍼퓸 002제품선택=best210101"/>
  </r>
  <r>
    <x v="236"/>
    <s v="금"/>
    <x v="11"/>
    <s v="카페24"/>
    <s v="유즈 스테이포에버 솔리드퍼퓸 002제품선택=best스테이포에버 2개[28% 할인]"/>
    <n v="74"/>
    <x v="0"/>
    <s v="스테이포에버"/>
    <n v="210101"/>
    <m/>
    <n v="2516000"/>
    <n v="2368814"/>
    <n v="191808"/>
    <n v="2287272.727272727"/>
    <s v="카페24고체향수유즈 스테이포에버 솔리드퍼퓸 002제품선택=best스테이포에버 2개[28% 할인]210101"/>
  </r>
  <r>
    <x v="236"/>
    <s v="금"/>
    <x v="11"/>
    <s v="카페24"/>
    <s v="유즈 스테이포에버 솔리드퍼퓸 002제품선택=커플추천"/>
    <n v="2"/>
    <x v="0"/>
    <s v="이그나이트 + 스테이포에버"/>
    <n v="210101"/>
    <m/>
    <n v="117600"/>
    <n v="110720.4"/>
    <n v="10690"/>
    <n v="106909.0909090909"/>
    <s v="카페24고체향수유즈 스테이포에버 솔리드퍼퓸 002제품선택=커플추천210101"/>
  </r>
  <r>
    <x v="236"/>
    <s v="금"/>
    <x v="11"/>
    <s v="카페24"/>
    <s v="유즈 스테이포에버 솔리드퍼퓸 002제품선택=커플추천스테이포에버 + 이그나이트 세트"/>
    <n v="14"/>
    <x v="0"/>
    <s v="이그나이트 + 스테이포에버"/>
    <n v="210101"/>
    <m/>
    <n v="823200"/>
    <n v="775042.8"/>
    <n v="74830"/>
    <n v="748363.6363636364"/>
    <s v="카페24고체향수유즈 스테이포에버 솔리드퍼퓸 002제품선택=커플추천스테이포에버 + 이그나이트 세트210101"/>
  </r>
  <r>
    <x v="236"/>
    <s v="금"/>
    <x v="11"/>
    <s v="카페24"/>
    <s v="유즈 스테이포에버 솔리드퍼퓸 002쇼핑백=선물용 쇼핑백"/>
    <n v="11"/>
    <x v="0"/>
    <s v="쇼핑백"/>
    <n v="210101"/>
    <m/>
    <n v="22000"/>
    <n v="20713"/>
    <n v="9130"/>
    <n v="20000"/>
    <s v="카페24고체향수유즈 스테이포에버 솔리드퍼퓸 002쇼핑백=선물용 쇼핑백210101"/>
  </r>
  <r>
    <x v="236"/>
    <s v="금"/>
    <x v="11"/>
    <s v="카페24"/>
    <s v="유즈 스테이포에버 솔리드퍼퓸 002 (11차 예약구매 진행중)제품선택=스테이포에버 1개"/>
    <n v="3"/>
    <x v="0"/>
    <s v="스테이포에버"/>
    <n v="210101"/>
    <m/>
    <n v="102000"/>
    <n v="96033"/>
    <n v="7776"/>
    <n v="92727.27272727272"/>
    <s v="카페24고체향수유즈 스테이포에버 솔리드퍼퓸 002 (11차 예약구매 진행중)제품선택=스테이포에버 1개210101"/>
  </r>
  <r>
    <x v="236"/>
    <s v="금"/>
    <x v="11"/>
    <s v="카페24"/>
    <s v="유즈 스테이포에버 솔리드퍼퓸 002 (11차 예약구매 진행중)제품선택=best"/>
    <n v="1"/>
    <x v="0"/>
    <s v="스테이포에버"/>
    <n v="210101"/>
    <m/>
    <n v="34000"/>
    <n v="32011"/>
    <n v="2592"/>
    <n v="30909.09090909091"/>
    <s v="카페24고체향수유즈 스테이포에버 솔리드퍼퓸 002 (11차 예약구매 진행중)제품선택=best210101"/>
  </r>
  <r>
    <x v="236"/>
    <s v="금"/>
    <x v="11"/>
    <s v="카페24"/>
    <s v="유즈 이그나이트 솔리드퍼퓸 001제품선택=이그나이트 솔리드퍼퓸 - 30ml"/>
    <n v="4"/>
    <x v="0"/>
    <s v="이그나이트"/>
    <n v="210101"/>
    <m/>
    <n v="152000"/>
    <n v="143108"/>
    <n v="11012"/>
    <n v="138181.8181818182"/>
    <s v="카페24고체향수유즈 이그나이트 솔리드퍼퓸 001제품선택=이그나이트 솔리드퍼퓸 - 30ml210101"/>
  </r>
  <r>
    <x v="236"/>
    <s v="금"/>
    <x v="11"/>
    <s v="카페24"/>
    <s v="유즈 이그나이트 솔리드퍼퓸 001제품선택=이그나이트 2개 세트"/>
    <n v="3"/>
    <x v="0"/>
    <s v="이그나이트 2set"/>
    <n v="210101"/>
    <m/>
    <n v="176400"/>
    <n v="166080.6"/>
    <n v="16518"/>
    <n v="160363.6363636364"/>
    <s v="카페24고체향수유즈 이그나이트 솔리드퍼퓸 001제품선택=이그나이트 2개 세트210101"/>
  </r>
  <r>
    <x v="236"/>
    <s v="금"/>
    <x v="11"/>
    <s v="카페24"/>
    <s v="유즈 이그나이트 솔리드퍼퓸 001쇼핑백=선물용 쇼핑백"/>
    <n v="1"/>
    <x v="2"/>
    <s v="쇼핑백"/>
    <n v="210101"/>
    <m/>
    <n v="2000"/>
    <n v="1883"/>
    <n v="830"/>
    <n v="1818.181818181818"/>
    <s v="카페24쇼핑백유즈 이그나이트 솔리드퍼퓸 001쇼핑백=선물용 쇼핑백210101"/>
  </r>
  <r>
    <x v="237"/>
    <s v="토"/>
    <x v="11"/>
    <s v="카페24"/>
    <s v="유즈 솔리드퍼퓸 - 30ml향=이그나이트 001 SOLID PERFUME, 세트 선택=1개"/>
    <n v="1"/>
    <x v="0"/>
    <s v="이그나이트"/>
    <n v="210101"/>
    <m/>
    <n v="34000"/>
    <n v="32011"/>
    <n v="2753"/>
    <n v="30909.09090909091"/>
    <s v="카페24고체향수유즈 솔리드퍼퓸 - 30ml향=이그나이트 001 SOLID PERFUME, 세트 선택=1개210101"/>
  </r>
  <r>
    <x v="237"/>
    <s v="토"/>
    <x v="11"/>
    <s v="카페24"/>
    <s v="유즈 솔리드퍼퓸 - 30ml향=스테이포에버 002 SOLID PERFUME, 세트 선택=1개"/>
    <n v="9"/>
    <x v="0"/>
    <s v="스테이포에버"/>
    <n v="210101"/>
    <m/>
    <n v="306000"/>
    <n v="288099"/>
    <n v="23328"/>
    <n v="278181.8181818182"/>
    <s v="카페24고체향수유즈 솔리드퍼퓸 - 30ml향=스테이포에버 002 SOLID PERFUME, 세트 선택=1개210101"/>
  </r>
  <r>
    <x v="237"/>
    <s v="토"/>
    <x v="11"/>
    <s v="카페24"/>
    <s v="유즈 솔리드퍼퓸 - 30ml향=스테이포에버 002 SOLID PERFUME, 세트 선택=best"/>
    <n v="2"/>
    <x v="0"/>
    <s v="스테이포에버"/>
    <n v="210101"/>
    <m/>
    <n v="68000"/>
    <n v="64022"/>
    <n v="5184"/>
    <n v="61818.18181818182"/>
    <s v="카페24고체향수유즈 솔리드퍼퓸 - 30ml향=스테이포에버 002 SOLID PERFUME, 세트 선택=best210101"/>
  </r>
  <r>
    <x v="237"/>
    <s v="토"/>
    <x v="11"/>
    <s v="카페24"/>
    <s v="유즈 솔리드퍼퓸 - 30ml향=스테이포에버 002 SOLID PERFUME, 세트 선택=best 2개 (28% 할인)"/>
    <n v="2"/>
    <x v="0"/>
    <s v="스테이포에버 2set"/>
    <n v="210101"/>
    <m/>
    <n v="117600"/>
    <n v="110720.4"/>
    <n v="10368"/>
    <n v="106909.0909090909"/>
    <s v="카페24고체향수유즈 솔리드퍼퓸 - 30ml향=스테이포에버 002 SOLID PERFUME, 세트 선택=best 2개 (28% 할인)210101"/>
  </r>
  <r>
    <x v="237"/>
    <s v="토"/>
    <x v="11"/>
    <s v="카페24"/>
    <s v="유즈 솔리드퍼퓸 - 30ml향=커플세트"/>
    <n v="6"/>
    <x v="0"/>
    <s v="이그나이트 + 스테이포에버"/>
    <n v="210101"/>
    <m/>
    <n v="352800"/>
    <n v="332161.2"/>
    <n v="32070"/>
    <n v="320727.2727272727"/>
    <s v="카페24고체향수유즈 솔리드퍼퓸 - 30ml향=커플세트210101"/>
  </r>
  <r>
    <x v="237"/>
    <s v="토"/>
    <x v="11"/>
    <s v="카페24"/>
    <s v="유즈 솔리드퍼퓸 - 30ml향=커플세트(이그나이트 + 스테이포에버), 세트 선택=1 SET"/>
    <n v="2"/>
    <x v="0"/>
    <s v="이그나이트 + 스테이포에버"/>
    <n v="210101"/>
    <m/>
    <n v="117600"/>
    <n v="110720.4"/>
    <n v="10690"/>
    <n v="106909.0909090909"/>
    <s v="카페24고체향수유즈 솔리드퍼퓸 - 30ml향=커플세트(이그나이트 + 스테이포에버), 세트 선택=1 SET210101"/>
  </r>
  <r>
    <x v="237"/>
    <s v="토"/>
    <x v="11"/>
    <s v="카페24"/>
    <s v="유즈 솔리드퍼퓸 - 30ml향=커플세트"/>
    <n v="1"/>
    <x v="0"/>
    <s v="이그나이트 + 스테이포에버"/>
    <n v="210101"/>
    <m/>
    <n v="58800"/>
    <n v="55360.2"/>
    <n v="5345"/>
    <n v="53454.54545454545"/>
    <s v="카페24고체향수유즈 솔리드퍼퓸 - 30ml향=커플세트210101"/>
  </r>
  <r>
    <x v="237"/>
    <s v="토"/>
    <x v="11"/>
    <s v="카페24"/>
    <s v="유즈 솔리드퍼퓸 - 스테이포에버 002제품선택=스테이포에버 1개"/>
    <n v="370"/>
    <x v="0"/>
    <s v="스테이포에버"/>
    <n v="210101"/>
    <m/>
    <n v="12580000"/>
    <n v="11844070"/>
    <n v="959040"/>
    <n v="11436363.63636363"/>
    <s v="카페24고체향수유즈 솔리드퍼퓸 - 스테이포에버 002제품선택=스테이포에버 1개210101"/>
  </r>
  <r>
    <x v="237"/>
    <s v="토"/>
    <x v="11"/>
    <s v="카페24"/>
    <s v="유즈 솔리드퍼퓸 - 스테이포에버 002제품선택=best"/>
    <n v="61"/>
    <x v="0"/>
    <s v="스테이포에버"/>
    <n v="210101"/>
    <m/>
    <n v="2074000"/>
    <n v="1952671"/>
    <n v="158112"/>
    <n v="1885454.545454545"/>
    <s v="카페24고체향수유즈 솔리드퍼퓸 - 스테이포에버 002제품선택=best210101"/>
  </r>
  <r>
    <x v="237"/>
    <s v="토"/>
    <x v="11"/>
    <s v="카페24"/>
    <s v="유즈 솔리드퍼퓸 - 스테이포에버 002제품선택=best스테이포에버 2개[28% 할인]"/>
    <n v="112"/>
    <x v="0"/>
    <s v="스테이포에버 2set"/>
    <n v="210101"/>
    <m/>
    <n v="6585600"/>
    <n v="6200342.4"/>
    <n v="580608"/>
    <n v="5986909.090909091"/>
    <s v="카페24고체향수유즈 솔리드퍼퓸 - 스테이포에버 002제품선택=best스테이포에버 2개[28% 할인]210101"/>
  </r>
  <r>
    <x v="237"/>
    <s v="토"/>
    <x v="11"/>
    <s v="카페24"/>
    <s v="유즈 솔리드퍼퓸 - 스테이포에버 002제품선택=커플추천"/>
    <n v="10"/>
    <x v="0"/>
    <s v="이그나이트 + 스테이포에버"/>
    <n v="210101"/>
    <m/>
    <n v="588000"/>
    <n v="553602"/>
    <n v="53450"/>
    <n v="534545.4545454545"/>
    <s v="카페24고체향수유즈 솔리드퍼퓸 - 스테이포에버 002제품선택=커플추천210101"/>
  </r>
  <r>
    <x v="237"/>
    <s v="토"/>
    <x v="11"/>
    <s v="카페24"/>
    <s v="유즈 솔리드퍼퓸 - 스테이포에버 002제품선택=커플추천스테이포에버 + 이그나이트 세트"/>
    <n v="18"/>
    <x v="0"/>
    <s v="이그나이트 + 스테이포에버"/>
    <n v="210101"/>
    <m/>
    <n v="1058400"/>
    <n v="996483.6"/>
    <n v="96210"/>
    <n v="962181.8181818181"/>
    <s v="카페24고체향수유즈 솔리드퍼퓸 - 스테이포에버 002제품선택=커플추천스테이포에버 + 이그나이트 세트210101"/>
  </r>
  <r>
    <x v="237"/>
    <s v="토"/>
    <x v="11"/>
    <s v="카페24"/>
    <s v="유즈 솔리드퍼퓸 - 스테이포에버 002쇼핑백=선물용 쇼핑백"/>
    <n v="13"/>
    <x v="2"/>
    <s v="쇼핑백"/>
    <n v="210101"/>
    <m/>
    <n v="26000"/>
    <n v="24479"/>
    <n v="10790"/>
    <n v="23636.36363636364"/>
    <s v="카페24쇼핑백유즈 솔리드퍼퓸 - 스테이포에버 002쇼핑백=선물용 쇼핑백210101"/>
  </r>
  <r>
    <x v="237"/>
    <s v="토"/>
    <x v="11"/>
    <s v="카페24"/>
    <s v="유즈 솔리드퍼퓸 - 이그나이트 001제품선택=이그나이트 솔리드퍼퓸 - 30ml"/>
    <n v="3"/>
    <x v="0"/>
    <s v="이그나이트"/>
    <n v="210101"/>
    <m/>
    <n v="102000"/>
    <n v="102000"/>
    <n v="8259"/>
    <n v="92727.27272727272"/>
    <s v="카페24고체향수유즈 솔리드퍼퓸 - 이그나이트 001제품선택=이그나이트 솔리드퍼퓸 - 30ml210101"/>
  </r>
  <r>
    <x v="237"/>
    <s v="토"/>
    <x v="11"/>
    <s v="카페24"/>
    <s v="유즈 솔리드퍼퓸 - 이그나이트 001제품선택=이그나이트 2개 세트"/>
    <n v="3"/>
    <x v="0"/>
    <s v="이그나이트 2set"/>
    <n v="210101"/>
    <m/>
    <n v="176400"/>
    <n v="166080.6"/>
    <n v="16518"/>
    <n v="160363.6363636364"/>
    <s v="카페24고체향수유즈 솔리드퍼퓸 - 이그나이트 001제품선택=이그나이트 2개 세트210101"/>
  </r>
  <r>
    <x v="237"/>
    <s v="토"/>
    <x v="11"/>
    <s v="카페24"/>
    <s v="유즈 스테이포에버 솔리드퍼퓸 002제품선택=스테이포에버 1개"/>
    <n v="4"/>
    <x v="0"/>
    <s v="스테이포에버"/>
    <n v="210101"/>
    <m/>
    <n v="136000"/>
    <n v="128044"/>
    <n v="10368"/>
    <n v="123636.3636363636"/>
    <s v="카페24고체향수유즈 스테이포에버 솔리드퍼퓸 002제품선택=스테이포에버 1개210101"/>
  </r>
  <r>
    <x v="238"/>
    <s v="일"/>
    <x v="11"/>
    <s v="카페24"/>
    <s v="SHOPPING BAG"/>
    <n v="1"/>
    <x v="2"/>
    <s v="쇼핑백"/>
    <n v="210101"/>
    <m/>
    <n v="2000"/>
    <n v="1883"/>
    <n v="830"/>
    <n v="1818.181818181818"/>
    <s v="카페24쇼핑백SHOPPING BAG210101"/>
  </r>
  <r>
    <x v="238"/>
    <s v="일"/>
    <x v="11"/>
    <s v="카페24"/>
    <s v="유즈 솔리드퍼퓸 - 30ml향=이그나이트 001 SOLID PERFUME, 세트 선택=1개"/>
    <n v="2"/>
    <x v="0"/>
    <s v="이그나이트"/>
    <n v="210101"/>
    <m/>
    <n v="68000"/>
    <n v="64022"/>
    <n v="5506"/>
    <n v="61818.18181818182"/>
    <s v="카페24고체향수유즈 솔리드퍼퓸 - 30ml향=이그나이트 001 SOLID PERFUME, 세트 선택=1개210101"/>
  </r>
  <r>
    <x v="238"/>
    <s v="일"/>
    <x v="11"/>
    <s v="카페24"/>
    <s v="유즈 솔리드퍼퓸 - 30ml향=스테이포에버 002 SOLID PERFUME, 세트 선택=1개"/>
    <n v="11"/>
    <x v="0"/>
    <s v="스테이포에버"/>
    <n v="210101"/>
    <m/>
    <n v="374000"/>
    <n v="352121"/>
    <n v="28512"/>
    <n v="340000"/>
    <s v="카페24고체향수유즈 솔리드퍼퓸 - 30ml향=스테이포에버 002 SOLID PERFUME, 세트 선택=1개210101"/>
  </r>
  <r>
    <x v="238"/>
    <s v="일"/>
    <x v="11"/>
    <s v="카페24"/>
    <s v="유즈 솔리드퍼퓸 - 30ml향=스테이포에버 002 SOLID PERFUME, 세트 선택=best"/>
    <n v="2"/>
    <x v="0"/>
    <s v="스테이포에버"/>
    <n v="210101"/>
    <m/>
    <n v="68000"/>
    <n v="64022"/>
    <n v="5184"/>
    <n v="61818.18181818182"/>
    <s v="카페24고체향수유즈 솔리드퍼퓸 - 30ml향=스테이포에버 002 SOLID PERFUME, 세트 선택=best210101"/>
  </r>
  <r>
    <x v="238"/>
    <s v="일"/>
    <x v="11"/>
    <s v="카페24"/>
    <s v="유즈 솔리드퍼퓸 - 30ml향=스테이포에버 002 SOLID PERFUME, 세트 선택=best 2개 (28% 할인)"/>
    <n v="4"/>
    <x v="0"/>
    <s v="스테이포에버 2set"/>
    <n v="210101"/>
    <m/>
    <n v="235200"/>
    <n v="221440.8"/>
    <n v="20736"/>
    <n v="213818.1818181818"/>
    <s v="카페24고체향수유즈 솔리드퍼퓸 - 30ml향=스테이포에버 002 SOLID PERFUME, 세트 선택=best 2개 (28% 할인)210101"/>
  </r>
  <r>
    <x v="238"/>
    <s v="일"/>
    <x v="11"/>
    <s v="카페24"/>
    <s v="유즈 솔리드퍼퓸 - 30ml향=커플세트"/>
    <n v="7"/>
    <x v="0"/>
    <s v="이그나이트 + 스테이포에버"/>
    <n v="210101"/>
    <m/>
    <n v="411600"/>
    <n v="387521.4"/>
    <n v="37415"/>
    <n v="374181.8181818182"/>
    <s v="카페24고체향수유즈 솔리드퍼퓸 - 30ml향=커플세트210101"/>
  </r>
  <r>
    <x v="238"/>
    <s v="일"/>
    <x v="11"/>
    <s v="카페24"/>
    <s v="유즈 솔리드퍼퓸 - 30ml향=커플세트(이그나이트 + 스테이포에버), 세트 선택=1 SET"/>
    <n v="5"/>
    <x v="0"/>
    <s v="이그나이트 + 스테이포에버"/>
    <n v="210101"/>
    <m/>
    <n v="294000"/>
    <n v="276801"/>
    <n v="26725"/>
    <n v="267272.7272727272"/>
    <s v="카페24고체향수유즈 솔리드퍼퓸 - 30ml향=커플세트(이그나이트 + 스테이포에버), 세트 선택=1 SET210101"/>
  </r>
  <r>
    <x v="238"/>
    <s v="일"/>
    <x v="11"/>
    <s v="카페24"/>
    <s v="유즈 솔리드퍼퓸 - 30ml향=커플세트(이그나이트 + 스테이포에버), 세트 선택=2 SET (42% 할인)"/>
    <n v="1"/>
    <x v="0"/>
    <s v="이그나이트 + 스테이포에버"/>
    <n v="210101"/>
    <m/>
    <n v="58800"/>
    <n v="55360.2"/>
    <n v="5345"/>
    <n v="53454.54545454545"/>
    <s v="카페24고체향수유즈 솔리드퍼퓸 - 30ml향=커플세트(이그나이트 + 스테이포에버), 세트 선택=2 SET (42% 할인)210101"/>
  </r>
  <r>
    <x v="238"/>
    <s v="일"/>
    <x v="11"/>
    <s v="카페24"/>
    <s v="유즈 솔리드퍼퓸 - 스테이포에버 002제품선택=스테이포에버 1개"/>
    <n v="421"/>
    <x v="0"/>
    <s v="스테이포에버"/>
    <n v="210101"/>
    <m/>
    <n v="14314000"/>
    <n v="13476631"/>
    <n v="1091232"/>
    <n v="13012727.27272727"/>
    <s v="카페24고체향수유즈 솔리드퍼퓸 - 스테이포에버 002제품선택=스테이포에버 1개210101"/>
  </r>
  <r>
    <x v="238"/>
    <s v="일"/>
    <x v="11"/>
    <s v="카페24"/>
    <s v="유즈 솔리드퍼퓸 - 스테이포에버 002제품선택=best"/>
    <n v="99"/>
    <x v="0"/>
    <s v="스테이포에버"/>
    <n v="210101"/>
    <m/>
    <n v="3366000"/>
    <n v="3169089"/>
    <n v="256608"/>
    <n v="3060000"/>
    <s v="카페24고체향수유즈 솔리드퍼퓸 - 스테이포에버 002제품선택=best210101"/>
  </r>
  <r>
    <x v="238"/>
    <s v="일"/>
    <x v="11"/>
    <s v="카페24"/>
    <s v="유즈 솔리드퍼퓸 - 스테이포에버 002제품선택=best스테이포에버 2개[28% 할인]"/>
    <n v="116"/>
    <x v="0"/>
    <s v="스테이포에버 2set"/>
    <n v="210101"/>
    <m/>
    <n v="6820800"/>
    <n v="6421783.2"/>
    <n v="601344"/>
    <n v="6200727.272727272"/>
    <s v="카페24고체향수유즈 솔리드퍼퓸 - 스테이포에버 002제품선택=best스테이포에버 2개[28% 할인]210101"/>
  </r>
  <r>
    <x v="238"/>
    <s v="일"/>
    <x v="11"/>
    <s v="카페24"/>
    <s v="유즈 솔리드퍼퓸 - 스테이포에버 002제품선택=커플추천"/>
    <n v="13"/>
    <x v="0"/>
    <s v="이그나이트 + 스테이포에버"/>
    <n v="210101"/>
    <m/>
    <n v="764400"/>
    <n v="719682.6"/>
    <n v="69485"/>
    <n v="694909.0909090908"/>
    <s v="카페24고체향수유즈 솔리드퍼퓸 - 스테이포에버 002제품선택=커플추천210101"/>
  </r>
  <r>
    <x v="238"/>
    <s v="일"/>
    <x v="11"/>
    <s v="카페24"/>
    <s v="유즈 솔리드퍼퓸 - 스테이포에버 002제품선택=커플추천스테이포에버 + 이그나이트 세트"/>
    <n v="17"/>
    <x v="0"/>
    <s v="이그나이트 + 스테이포에버"/>
    <n v="210101"/>
    <m/>
    <n v="999600"/>
    <n v="941123.4"/>
    <n v="90865"/>
    <n v="908727.2727272727"/>
    <s v="카페24고체향수유즈 솔리드퍼퓸 - 스테이포에버 002제품선택=커플추천스테이포에버 + 이그나이트 세트210101"/>
  </r>
  <r>
    <x v="238"/>
    <s v="일"/>
    <x v="11"/>
    <s v="카페24"/>
    <s v="유즈 솔리드퍼퓸 - 스테이포에버 002쇼핑백=선물용 쇼핑백"/>
    <n v="11"/>
    <x v="2"/>
    <s v="쇼핑백"/>
    <n v="210101"/>
    <m/>
    <n v="22000"/>
    <n v="20713"/>
    <n v="9130"/>
    <n v="20000"/>
    <s v="카페24쇼핑백유즈 솔리드퍼퓸 - 스테이포에버 002쇼핑백=선물용 쇼핑백210101"/>
  </r>
  <r>
    <x v="238"/>
    <s v="일"/>
    <x v="11"/>
    <s v="카페24"/>
    <s v="유즈 솔리드퍼퓸 - 이그나이트 001제품선택=이그나이트 솔리드퍼퓸 - 30ml"/>
    <n v="4"/>
    <x v="0"/>
    <s v="이그나이트"/>
    <n v="210101"/>
    <m/>
    <n v="136000"/>
    <n v="136000"/>
    <n v="11012"/>
    <n v="123636.3636363636"/>
    <s v="카페24고체향수유즈 솔리드퍼퓸 - 이그나이트 001제품선택=이그나이트 솔리드퍼퓸 - 30ml210101"/>
  </r>
  <r>
    <x v="238"/>
    <s v="일"/>
    <x v="11"/>
    <s v="카페24"/>
    <s v="유즈 솔리드퍼퓸 - 이그나이트 001제품선택=이그나이트 2개 세트"/>
    <n v="2"/>
    <x v="0"/>
    <s v="이그나이트 2set"/>
    <n v="210101"/>
    <m/>
    <n v="117600"/>
    <n v="110720.4"/>
    <n v="11012"/>
    <n v="106909.0909090909"/>
    <s v="카페24고체향수유즈 솔리드퍼퓸 - 이그나이트 001제품선택=이그나이트 2개 세트210101"/>
  </r>
  <r>
    <x v="238"/>
    <s v="일"/>
    <x v="11"/>
    <s v="카페24"/>
    <s v="유즈 스테이포에버 솔리드퍼퓸 002 (11차 예약구매 진행중)제품선택=스테이포에버 1개"/>
    <n v="2"/>
    <x v="0"/>
    <s v="스테이포에버"/>
    <n v="210101"/>
    <m/>
    <n v="68000"/>
    <n v="64022"/>
    <n v="5184"/>
    <n v="61818.18181818182"/>
    <s v="카페24고체향수유즈 스테이포에버 솔리드퍼퓸 002 (11차 예약구매 진행중)제품선택=스테이포에버 1개210101"/>
  </r>
  <r>
    <x v="239"/>
    <s v="월"/>
    <x v="11"/>
    <s v="카페24"/>
    <s v="솔리드퍼퓸 스테이포에버 002 30ml"/>
    <n v="2"/>
    <x v="0"/>
    <s v="스테이포에버"/>
    <n v="210101"/>
    <m/>
    <n v="76000"/>
    <n v="71554"/>
    <n v="5184"/>
    <n v="69090.90909090909"/>
    <s v="카페24고체향수솔리드퍼퓸 스테이포에버 002 30ml210101"/>
  </r>
  <r>
    <x v="239"/>
    <s v="월"/>
    <x v="11"/>
    <s v="카페24"/>
    <s v="유즈 솔리드퍼퓸 - 30ml향=이그나이트 001 SOLID PERFUME, 세트 선택=1개"/>
    <n v="3"/>
    <x v="0"/>
    <s v="이그나이트"/>
    <n v="210101"/>
    <m/>
    <n v="102000"/>
    <n v="96033"/>
    <n v="8259"/>
    <n v="92727.27272727272"/>
    <s v="카페24고체향수유즈 솔리드퍼퓸 - 30ml향=이그나이트 001 SOLID PERFUME, 세트 선택=1개210101"/>
  </r>
  <r>
    <x v="239"/>
    <s v="월"/>
    <x v="11"/>
    <s v="카페24"/>
    <s v="유즈 솔리드퍼퓸 - 30ml향=스테이포에버 002 SOLID PERFUME, 세트 선택=1개"/>
    <n v="14"/>
    <x v="0"/>
    <s v="스테이포에버"/>
    <n v="210101"/>
    <m/>
    <n v="476000"/>
    <n v="448154"/>
    <n v="36288"/>
    <n v="432727.2727272727"/>
    <s v="카페24고체향수유즈 솔리드퍼퓸 - 30ml향=스테이포에버 002 SOLID PERFUME, 세트 선택=1개210101"/>
  </r>
  <r>
    <x v="239"/>
    <s v="월"/>
    <x v="11"/>
    <s v="카페24"/>
    <s v="유즈 솔리드퍼퓸 - 30ml향=스테이포에버 002 SOLID PERFUME, 세트 선택=best 2개 (28% 할인)"/>
    <n v="3"/>
    <x v="0"/>
    <s v="스테이포에버 2set"/>
    <n v="210101"/>
    <m/>
    <n v="176400"/>
    <n v="166080.6"/>
    <n v="15552"/>
    <n v="160363.6363636364"/>
    <s v="카페24고체향수유즈 솔리드퍼퓸 - 30ml향=스테이포에버 002 SOLID PERFUME, 세트 선택=best 2개 (28% 할인)210101"/>
  </r>
  <r>
    <x v="239"/>
    <s v="월"/>
    <x v="11"/>
    <s v="카페24"/>
    <s v="유즈 솔리드퍼퓸 - 30ml향=커플세트"/>
    <n v="1"/>
    <x v="0"/>
    <s v="이그나이트 + 스테이포에버"/>
    <n v="210101"/>
    <m/>
    <n v="58800"/>
    <n v="55360.2"/>
    <n v="5345"/>
    <n v="53454.54545454545"/>
    <s v="카페24고체향수유즈 솔리드퍼퓸 - 30ml향=커플세트210101"/>
  </r>
  <r>
    <x v="239"/>
    <s v="월"/>
    <x v="11"/>
    <s v="카페24"/>
    <s v="유즈 솔리드퍼퓸 - 30ml향=커플세트(이그나이트 + 스테이포에버), 세트 선택=1 SET"/>
    <n v="5"/>
    <x v="0"/>
    <s v="이그나이트 + 스테이포에버"/>
    <n v="210101"/>
    <m/>
    <n v="294000"/>
    <n v="276801"/>
    <n v="26725"/>
    <n v="267272.7272727272"/>
    <s v="카페24고체향수유즈 솔리드퍼퓸 - 30ml향=커플세트(이그나이트 + 스테이포에버), 세트 선택=1 SET210101"/>
  </r>
  <r>
    <x v="239"/>
    <s v="월"/>
    <x v="11"/>
    <s v="카페24"/>
    <s v="유즈 솔리드퍼퓸 - 30ml향=커플세트"/>
    <n v="2"/>
    <x v="0"/>
    <s v="이그나이트 + 스테이포에버"/>
    <n v="210101"/>
    <m/>
    <n v="117600"/>
    <n v="110720.4"/>
    <n v="10690"/>
    <n v="106909.0909090909"/>
    <s v="카페24고체향수유즈 솔리드퍼퓸 - 30ml향=커플세트210101"/>
  </r>
  <r>
    <x v="239"/>
    <s v="월"/>
    <x v="11"/>
    <s v="카페24"/>
    <s v="유즈 솔리드퍼퓸 - 30ml향=커플세트(이그나이트 + 스테이포에버), 세트 선택=2 SET (42% 할인)"/>
    <n v="1"/>
    <x v="0"/>
    <s v="이그나이트 + 스테이포에버"/>
    <n v="210101"/>
    <m/>
    <n v="58800"/>
    <n v="55360.2"/>
    <n v="5345"/>
    <n v="53454.54545454545"/>
    <s v="카페24고체향수유즈 솔리드퍼퓸 - 30ml향=커플세트(이그나이트 + 스테이포에버), 세트 선택=2 SET (42% 할인)210101"/>
  </r>
  <r>
    <x v="239"/>
    <s v="월"/>
    <x v="11"/>
    <s v="카페24"/>
    <s v="유즈 솔리드퍼퓸 - 스테이포에버 002제품선택=스테이포에버 1개"/>
    <n v="323"/>
    <x v="0"/>
    <s v="스테이포에버"/>
    <n v="210101"/>
    <m/>
    <n v="10982000"/>
    <n v="10339553"/>
    <n v="837216"/>
    <n v="9983636.363636363"/>
    <s v="카페24고체향수유즈 솔리드퍼퓸 - 스테이포에버 002제품선택=스테이포에버 1개210101"/>
  </r>
  <r>
    <x v="239"/>
    <s v="월"/>
    <x v="11"/>
    <s v="카페24"/>
    <s v="유즈 솔리드퍼퓸 - 스테이포에버 002제품선택=best"/>
    <n v="62"/>
    <x v="0"/>
    <s v="스테이포에버"/>
    <n v="210101"/>
    <m/>
    <n v="2108000"/>
    <n v="1984682"/>
    <n v="160704"/>
    <n v="1916363.636363636"/>
    <s v="카페24고체향수유즈 솔리드퍼퓸 - 스테이포에버 002제품선택=best210101"/>
  </r>
  <r>
    <x v="239"/>
    <s v="월"/>
    <x v="11"/>
    <s v="카페24"/>
    <s v="유즈 솔리드퍼퓸 - 스테이포에버 002제품선택=best스테이포에버 2개[28% 할인]"/>
    <n v="90"/>
    <x v="0"/>
    <s v="스테이포에버 2set"/>
    <n v="210101"/>
    <m/>
    <n v="5292000"/>
    <n v="4982418"/>
    <n v="466560"/>
    <n v="4810909.090909091"/>
    <s v="카페24고체향수유즈 솔리드퍼퓸 - 스테이포에버 002제품선택=best스테이포에버 2개[28% 할인]210101"/>
  </r>
  <r>
    <x v="239"/>
    <s v="월"/>
    <x v="11"/>
    <s v="카페24"/>
    <s v="유즈 솔리드퍼퓸 - 스테이포에버 002제품선택=커플추천"/>
    <n v="5"/>
    <x v="0"/>
    <s v="이그나이트 + 스테이포에버"/>
    <n v="210101"/>
    <m/>
    <n v="294000"/>
    <n v="276801"/>
    <n v="26725"/>
    <n v="267272.7272727272"/>
    <s v="카페24고체향수유즈 솔리드퍼퓸 - 스테이포에버 002제품선택=커플추천210101"/>
  </r>
  <r>
    <x v="239"/>
    <s v="월"/>
    <x v="11"/>
    <s v="카페24"/>
    <s v="유즈 솔리드퍼퓸 - 스테이포에버 002제품선택=커플추천스테이포에버 + 이그나이트 세트"/>
    <n v="24"/>
    <x v="0"/>
    <s v="이그나이트 + 스테이포에버"/>
    <n v="210101"/>
    <m/>
    <n v="1411200"/>
    <n v="1328644.8"/>
    <n v="128280"/>
    <n v="1282909.090909091"/>
    <s v="카페24고체향수유즈 솔리드퍼퓸 - 스테이포에버 002제품선택=커플추천스테이포에버 + 이그나이트 세트210101"/>
  </r>
  <r>
    <x v="239"/>
    <s v="월"/>
    <x v="11"/>
    <s v="카페24"/>
    <s v="유즈 솔리드퍼퓸 - 스테이포에버 002쇼핑백=선물용 쇼핑백"/>
    <n v="19"/>
    <x v="2"/>
    <s v="쇼핑백"/>
    <n v="210101"/>
    <m/>
    <n v="38000"/>
    <n v="35777"/>
    <n v="15770"/>
    <n v="34545.45454545454"/>
    <s v="카페24쇼핑백유즈 솔리드퍼퓸 - 스테이포에버 002쇼핑백=선물용 쇼핑백210101"/>
  </r>
  <r>
    <x v="239"/>
    <s v="월"/>
    <x v="11"/>
    <s v="카페24"/>
    <s v="유즈 솔리드퍼퓸 - 이그나이트 001제품선택=이그나이트 솔리드퍼퓸 - 30ml"/>
    <n v="5"/>
    <x v="0"/>
    <s v="이그나이트"/>
    <n v="210101"/>
    <m/>
    <n v="170000"/>
    <n v="170000"/>
    <n v="13765"/>
    <n v="154545.4545454545"/>
    <s v="카페24고체향수유즈 솔리드퍼퓸 - 이그나이트 001제품선택=이그나이트 솔리드퍼퓸 - 30ml210101"/>
  </r>
  <r>
    <x v="239"/>
    <s v="월"/>
    <x v="11"/>
    <s v="카페24"/>
    <s v="유즈 스테이포에버 솔리드퍼퓸 002제품선택=스테이포에버 1개"/>
    <n v="2"/>
    <x v="0"/>
    <s v="스테이포에버"/>
    <n v="210101"/>
    <m/>
    <n v="68000"/>
    <n v="64022"/>
    <n v="5184"/>
    <n v="61818.18181818182"/>
    <s v="카페24고체향수유즈 스테이포에버 솔리드퍼퓸 002제품선택=스테이포에버 1개210101"/>
  </r>
  <r>
    <x v="239"/>
    <s v="월"/>
    <x v="11"/>
    <s v="카페24"/>
    <s v="유즈 스테이포에버 솔리드퍼퓸 002제품선택=best"/>
    <n v="1"/>
    <x v="0"/>
    <s v="스테이포에버"/>
    <n v="210101"/>
    <m/>
    <n v="34000"/>
    <n v="32011"/>
    <n v="2592"/>
    <n v="30909.09090909091"/>
    <s v="카페24고체향수유즈 스테이포에버 솔리드퍼퓸 002제품선택=best210101"/>
  </r>
  <r>
    <x v="240"/>
    <s v="화"/>
    <x v="11"/>
    <s v="카페24"/>
    <s v="유즈 솔리드퍼퓸 - 30ml향=이그나이트 001 SOLID PERFUME, 세트 선택=1개"/>
    <n v="2"/>
    <x v="0"/>
    <s v="이그나이트"/>
    <n v="210101"/>
    <m/>
    <n v="68000"/>
    <n v="64022"/>
    <n v="5506"/>
    <n v="61818.18181818182"/>
    <s v="카페24고체향수유즈 솔리드퍼퓸 - 30ml향=이그나이트 001 SOLID PERFUME, 세트 선택=1개210101"/>
  </r>
  <r>
    <x v="240"/>
    <s v="화"/>
    <x v="11"/>
    <s v="카페24"/>
    <s v="유즈 솔리드퍼퓸 - 30ml향=스테이포에버 002 SOLID PERFUME, 세트 선택=1개"/>
    <n v="15"/>
    <x v="0"/>
    <s v="스테이포에버"/>
    <n v="210101"/>
    <m/>
    <n v="510000"/>
    <n v="480165"/>
    <n v="38880"/>
    <n v="463636.3636363636"/>
    <s v="카페24고체향수유즈 솔리드퍼퓸 - 30ml향=스테이포에버 002 SOLID PERFUME, 세트 선택=1개210101"/>
  </r>
  <r>
    <x v="240"/>
    <s v="화"/>
    <x v="11"/>
    <s v="카페24"/>
    <s v="유즈 솔리드퍼퓸 - 30ml향=스테이포에버 002 SOLID PERFUME, 세트 선택=best"/>
    <n v="2"/>
    <x v="0"/>
    <s v="스테이포에버"/>
    <n v="210101"/>
    <m/>
    <n v="68000"/>
    <n v="64022"/>
    <n v="5184"/>
    <n v="61818.18181818182"/>
    <s v="카페24고체향수유즈 솔리드퍼퓸 - 30ml향=스테이포에버 002 SOLID PERFUME, 세트 선택=best210101"/>
  </r>
  <r>
    <x v="240"/>
    <s v="화"/>
    <x v="11"/>
    <s v="카페24"/>
    <s v="유즈 솔리드퍼퓸 - 30ml향=스테이포에버 002 SOLID PERFUME, 세트 선택=best 2개 (28% 할인)"/>
    <n v="4"/>
    <x v="0"/>
    <s v="스테이포에버 2set"/>
    <n v="210101"/>
    <m/>
    <n v="235200"/>
    <n v="221440.8"/>
    <n v="20736"/>
    <n v="213818.1818181818"/>
    <s v="카페24고체향수유즈 솔리드퍼퓸 - 30ml향=스테이포에버 002 SOLID PERFUME, 세트 선택=best 2개 (28% 할인)210101"/>
  </r>
  <r>
    <x v="240"/>
    <s v="화"/>
    <x v="11"/>
    <s v="카페24"/>
    <s v="유즈 솔리드퍼퓸 - 30ml향=커플세트(이그나이트 + 스테이포에버), 세트 선택=1 SET"/>
    <n v="9"/>
    <x v="0"/>
    <s v="이그나이트 + 스테이포에버"/>
    <n v="210101"/>
    <m/>
    <n v="529200"/>
    <n v="498241.8"/>
    <n v="48105"/>
    <n v="481090.9090909091"/>
    <s v="카페24고체향수유즈 솔리드퍼퓸 - 30ml향=커플세트(이그나이트 + 스테이포에버), 세트 선택=1 SET210101"/>
  </r>
  <r>
    <x v="240"/>
    <s v="화"/>
    <x v="11"/>
    <s v="카페24"/>
    <s v="유즈 솔리드퍼퓸 - 스테이포에버 002제품선택=스테이포에버 1개"/>
    <n v="282"/>
    <x v="0"/>
    <s v="스테이포에버"/>
    <n v="210101"/>
    <m/>
    <n v="9588000"/>
    <n v="9027102"/>
    <n v="730944"/>
    <n v="8716363.636363635"/>
    <s v="카페24고체향수유즈 솔리드퍼퓸 - 스테이포에버 002제품선택=스테이포에버 1개210101"/>
  </r>
  <r>
    <x v="240"/>
    <s v="화"/>
    <x v="11"/>
    <s v="카페24"/>
    <s v="유즈 솔리드퍼퓸 - 스테이포에버 002제품선택=best"/>
    <n v="23"/>
    <x v="0"/>
    <s v="스테이포에버"/>
    <n v="210101"/>
    <m/>
    <n v="782000"/>
    <n v="736253"/>
    <n v="59616"/>
    <n v="710909.0909090908"/>
    <s v="카페24고체향수유즈 솔리드퍼퓸 - 스테이포에버 002제품선택=best210101"/>
  </r>
  <r>
    <x v="240"/>
    <s v="화"/>
    <x v="11"/>
    <s v="카페24"/>
    <s v="유즈 솔리드퍼퓸 - 스테이포에버 002제품선택=best스테이포에버 2개[28% 할인]"/>
    <n v="102"/>
    <x v="0"/>
    <s v="스테이포에버 2set"/>
    <n v="210101"/>
    <m/>
    <n v="5997600"/>
    <n v="5646740.4"/>
    <n v="528768"/>
    <n v="5452363.636363636"/>
    <s v="카페24고체향수유즈 솔리드퍼퓸 - 스테이포에버 002제품선택=best스테이포에버 2개[28% 할인]210101"/>
  </r>
  <r>
    <x v="240"/>
    <s v="화"/>
    <x v="11"/>
    <s v="카페24"/>
    <s v="유즈 솔리드퍼퓸 - 스테이포에버 002제품선택=커플추천"/>
    <n v="1"/>
    <x v="0"/>
    <s v="이그나이트 + 스테이포에버"/>
    <n v="210101"/>
    <m/>
    <n v="58800"/>
    <n v="55360.2"/>
    <n v="5345"/>
    <n v="53454.54545454545"/>
    <s v="카페24고체향수유즈 솔리드퍼퓸 - 스테이포에버 002제품선택=커플추천210101"/>
  </r>
  <r>
    <x v="240"/>
    <s v="화"/>
    <x v="11"/>
    <s v="카페24"/>
    <s v="유즈 솔리드퍼퓸 - 스테이포에버 002제품선택=커플추천스테이포에버 + 이그나이트 세트"/>
    <n v="11"/>
    <x v="0"/>
    <s v="이그나이트 + 스테이포에버"/>
    <n v="210101"/>
    <m/>
    <n v="646800"/>
    <n v="608962.2"/>
    <n v="58795"/>
    <n v="588000"/>
    <s v="카페24고체향수유즈 솔리드퍼퓸 - 스테이포에버 002제품선택=커플추천스테이포에버 + 이그나이트 세트210101"/>
  </r>
  <r>
    <x v="240"/>
    <s v="화"/>
    <x v="11"/>
    <s v="카페24"/>
    <s v="유즈 솔리드퍼퓸 - 스테이포에버 002쇼핑백=선물용 쇼핑백"/>
    <n v="13"/>
    <x v="2"/>
    <s v="쇼핑백"/>
    <n v="210101"/>
    <m/>
    <n v="26000"/>
    <n v="24479"/>
    <n v="10790"/>
    <n v="23636.36363636364"/>
    <s v="카페24쇼핑백유즈 솔리드퍼퓸 - 스테이포에버 002쇼핑백=선물용 쇼핑백210101"/>
  </r>
  <r>
    <x v="240"/>
    <s v="화"/>
    <x v="11"/>
    <s v="카페24"/>
    <s v="유즈 솔리드퍼퓸 - 이그나이트 001제품선택=이그나이트 솔리드퍼퓸 - 30ml"/>
    <n v="2"/>
    <x v="0"/>
    <s v="이그나이트"/>
    <n v="210101"/>
    <m/>
    <n v="68000"/>
    <n v="68000"/>
    <n v="5506"/>
    <n v="61818.18181818182"/>
    <s v="카페24고체향수유즈 솔리드퍼퓸 - 이그나이트 001제품선택=이그나이트 솔리드퍼퓸 - 30ml210101"/>
  </r>
  <r>
    <x v="240"/>
    <s v="화"/>
    <x v="11"/>
    <s v="카페24"/>
    <s v="유즈 솔리드퍼퓸 - 이그나이트 001제품선택=이그나이트 2개 세트"/>
    <n v="1"/>
    <x v="0"/>
    <s v="이그나이트 2set"/>
    <n v="210101"/>
    <m/>
    <n v="58800"/>
    <n v="55360.2"/>
    <n v="5506"/>
    <n v="53454.54545454545"/>
    <s v="카페24고체향수유즈 솔리드퍼퓸 - 이그나이트 001제품선택=이그나이트 2개 세트210101"/>
  </r>
  <r>
    <x v="240"/>
    <s v="화"/>
    <x v="11"/>
    <s v="카페24"/>
    <s v="유즈 스테이포에버 솔리드퍼퓸 002제품선택=스테이포에버 1개"/>
    <n v="2"/>
    <x v="0"/>
    <s v="스테이포에버"/>
    <n v="210101"/>
    <m/>
    <n v="68000"/>
    <n v="64022"/>
    <n v="5184"/>
    <n v="61818.18181818182"/>
    <s v="카페24고체향수유즈 스테이포에버 솔리드퍼퓸 002제품선택=스테이포에버 1개210101"/>
  </r>
  <r>
    <x v="240"/>
    <s v="화"/>
    <x v="11"/>
    <s v="카페24"/>
    <s v="유즈 스테이포에버 솔리드퍼퓸 002제품선택=best스테이포에버 2개[28% 할인]"/>
    <n v="1"/>
    <x v="0"/>
    <s v="스테이포에버"/>
    <n v="210101"/>
    <m/>
    <n v="34000"/>
    <n v="32011"/>
    <n v="2592"/>
    <n v="30909.09090909091"/>
    <s v="카페24고체향수유즈 스테이포에버 솔리드퍼퓸 002제품선택=best스테이포에버 2개[28% 할인]210101"/>
  </r>
  <r>
    <x v="241"/>
    <s v="수"/>
    <x v="11"/>
    <s v="카페24"/>
    <s v="유즈 솔리드퍼퓸 - 30ml향=스테이포에버 002 SOLID PERFUME, 세트 선택=1개"/>
    <n v="15"/>
    <x v="0"/>
    <s v="스테이포에버"/>
    <n v="210101"/>
    <m/>
    <n v="510000"/>
    <n v="480165"/>
    <n v="38880"/>
    <n v="463636.3636363636"/>
    <s v="카페24고체향수유즈 솔리드퍼퓸 - 30ml향=스테이포에버 002 SOLID PERFUME, 세트 선택=1개210101"/>
  </r>
  <r>
    <x v="241"/>
    <s v="수"/>
    <x v="11"/>
    <s v="카페24"/>
    <s v="유즈 솔리드퍼퓸 - 30ml향=스테이포에버 002 SOLID PERFUME, 세트 선택=best 2개 (28% 할인)"/>
    <n v="5"/>
    <x v="0"/>
    <s v="스테이포에버 2set"/>
    <n v="210101"/>
    <m/>
    <n v="294000"/>
    <n v="276801"/>
    <n v="25920"/>
    <n v="267272.7272727272"/>
    <s v="카페24고체향수유즈 솔리드퍼퓸 - 30ml향=스테이포에버 002 SOLID PERFUME, 세트 선택=best 2개 (28% 할인)210101"/>
  </r>
  <r>
    <x v="241"/>
    <s v="수"/>
    <x v="11"/>
    <s v="카페24"/>
    <s v="유즈 솔리드퍼퓸 - 30ml향=커플세트(이그나이트 + 스테이포에버), 세트 선택=1 SET"/>
    <n v="12"/>
    <x v="0"/>
    <s v="이그나이트 + 스테이포에버"/>
    <n v="210101"/>
    <m/>
    <n v="705600"/>
    <n v="664322.4"/>
    <n v="64140"/>
    <n v="641454.5454545454"/>
    <s v="카페24고체향수유즈 솔리드퍼퓸 - 30ml향=커플세트(이그나이트 + 스테이포에버), 세트 선택=1 SET210101"/>
  </r>
  <r>
    <x v="241"/>
    <s v="수"/>
    <x v="11"/>
    <s v="카페24"/>
    <s v="유즈 솔리드퍼퓸 - 30ml향=커플세트(이그나이트 + 스테이포에버), 세트 선택=2 SET (42% 할인)"/>
    <n v="1"/>
    <x v="0"/>
    <s v="이그나이트 + 스테이포에버"/>
    <n v="210101"/>
    <m/>
    <n v="58800"/>
    <n v="55360.2"/>
    <n v="5345"/>
    <n v="53454.54545454545"/>
    <s v="카페24고체향수유즈 솔리드퍼퓸 - 30ml향=커플세트(이그나이트 + 스테이포에버), 세트 선택=2 SET (42% 할인)210101"/>
  </r>
  <r>
    <x v="241"/>
    <s v="수"/>
    <x v="11"/>
    <s v="카페24"/>
    <s v="유즈 솔리드퍼퓸 - 스테이포에버 002제품선택=스테이포에버 1개"/>
    <n v="283"/>
    <x v="0"/>
    <s v="스테이포에버"/>
    <n v="210101"/>
    <m/>
    <n v="9622000"/>
    <n v="9059113"/>
    <n v="733536"/>
    <n v="8747272.727272727"/>
    <s v="카페24고체향수유즈 솔리드퍼퓸 - 스테이포에버 002제품선택=스테이포에버 1개210101"/>
  </r>
  <r>
    <x v="241"/>
    <s v="수"/>
    <x v="11"/>
    <s v="카페24"/>
    <s v="유즈 솔리드퍼퓸 - 스테이포에버 002제품선택=best스테이포에버 2개[28% 할인]"/>
    <n v="126"/>
    <x v="0"/>
    <s v="스테이포에버 2set"/>
    <n v="210101"/>
    <m/>
    <n v="7408800"/>
    <n v="6975385.2"/>
    <n v="653184"/>
    <n v="6735272.727272727"/>
    <s v="카페24고체향수유즈 솔리드퍼퓸 - 스테이포에버 002제품선택=best스테이포에버 2개[28% 할인]210101"/>
  </r>
  <r>
    <x v="241"/>
    <s v="수"/>
    <x v="11"/>
    <s v="카페24"/>
    <s v="유즈 솔리드퍼퓸 - 스테이포에버 002제품선택=커플추천스테이포에버 + 이그나이트 세트"/>
    <n v="15"/>
    <x v="0"/>
    <s v="이그나이트 + 스테이포에버"/>
    <n v="210101"/>
    <m/>
    <n v="882000"/>
    <n v="830403"/>
    <n v="80175"/>
    <n v="801818.1818181818"/>
    <s v="카페24고체향수유즈 솔리드퍼퓸 - 스테이포에버 002제품선택=커플추천스테이포에버 + 이그나이트 세트210101"/>
  </r>
  <r>
    <x v="241"/>
    <s v="수"/>
    <x v="11"/>
    <s v="카페24"/>
    <s v="유즈 솔리드퍼퓸 - 스테이포에버 002쇼핑백=선물용 쇼핑백"/>
    <n v="12"/>
    <x v="2"/>
    <s v="쇼핑백"/>
    <n v="210101"/>
    <m/>
    <n v="24000"/>
    <n v="22596"/>
    <n v="9960"/>
    <n v="21818.18181818182"/>
    <s v="카페24쇼핑백유즈 솔리드퍼퓸 - 스테이포에버 002쇼핑백=선물용 쇼핑백210101"/>
  </r>
  <r>
    <x v="241"/>
    <s v="수"/>
    <x v="11"/>
    <s v="카페24"/>
    <s v="유즈 솔리드퍼퓸 - 이그나이트 001제품선택=이그나이트 솔리드퍼퓸 - 30ml"/>
    <n v="4"/>
    <x v="0"/>
    <s v="이그나이트"/>
    <n v="210101"/>
    <m/>
    <n v="136000"/>
    <n v="136000"/>
    <n v="11012"/>
    <n v="123636.3636363636"/>
    <s v="카페24고체향수유즈 솔리드퍼퓸 - 이그나이트 001제품선택=이그나이트 솔리드퍼퓸 - 30ml210101"/>
  </r>
  <r>
    <x v="241"/>
    <s v="수"/>
    <x v="11"/>
    <s v="카페24"/>
    <s v="유즈 솔리드퍼퓸 - 이그나이트 001제품선택=이그나이트 2개 세트"/>
    <n v="1"/>
    <x v="0"/>
    <s v="이그나이트 2set"/>
    <n v="210101"/>
    <m/>
    <n v="58800"/>
    <n v="55360.2"/>
    <n v="5506"/>
    <n v="53454.54545454545"/>
    <s v="카페24고체향수유즈 솔리드퍼퓸 - 이그나이트 001제품선택=이그나이트 2개 세트210101"/>
  </r>
  <r>
    <x v="241"/>
    <s v="수"/>
    <x v="11"/>
    <s v="카페24"/>
    <s v="유즈 솔리드퍼퓸 - 이그나이트 001쇼핑백=선물용 쇼핑백"/>
    <n v="1"/>
    <x v="2"/>
    <s v="쇼핑백"/>
    <n v="210101"/>
    <m/>
    <n v="2000"/>
    <n v="1883"/>
    <n v="830"/>
    <n v="1818.181818181818"/>
    <s v="카페24쇼핑백유즈 솔리드퍼퓸 - 이그나이트 001쇼핑백=선물용 쇼핑백210101"/>
  </r>
  <r>
    <x v="241"/>
    <s v="수"/>
    <x v="11"/>
    <s v="카페24"/>
    <s v="유즈 스테이포에버 솔리드퍼퓸 002제품선택=스테이포에버 1개"/>
    <n v="1"/>
    <x v="0"/>
    <s v="스테이포에버"/>
    <n v="210101"/>
    <m/>
    <n v="34000"/>
    <n v="32011"/>
    <n v="2592"/>
    <n v="30909.09090909091"/>
    <s v="카페24고체향수유즈 스테이포에버 솔리드퍼퓸 002제품선택=스테이포에버 1개210101"/>
  </r>
  <r>
    <x v="241"/>
    <s v="수"/>
    <x v="11"/>
    <s v="카페24"/>
    <s v="유즈 스테이포에버 솔리드퍼퓸 002제품선택=best스테이포에버 2개[28% 할인]"/>
    <n v="2"/>
    <x v="0"/>
    <s v="스테이포에버"/>
    <n v="210101"/>
    <m/>
    <n v="68000"/>
    <n v="64022"/>
    <n v="5184"/>
    <n v="61818.18181818182"/>
    <s v="카페24고체향수유즈 스테이포에버 솔리드퍼퓸 002제품선택=best스테이포에버 2개[28% 할인]210101"/>
  </r>
  <r>
    <x v="242"/>
    <s v="목"/>
    <x v="11"/>
    <s v="유즈 CS"/>
    <s v="솔리드퍼퓸 스테이포에버 002 30ml"/>
    <n v="1"/>
    <x v="0"/>
    <s v="스테이포에버"/>
    <n v="210101"/>
    <m/>
    <n v="0"/>
    <n v="0"/>
    <n v="2592"/>
    <n v="0"/>
    <s v="유즈 CS고체향수솔리드퍼퓸 스테이포에버 002 30ml210101"/>
  </r>
  <r>
    <x v="242"/>
    <s v="목"/>
    <x v="11"/>
    <s v="카페24"/>
    <s v="솔리드퍼퓸 스테이포에버 002 30ml"/>
    <n v="1"/>
    <x v="0"/>
    <s v="스테이포에버"/>
    <n v="210101"/>
    <m/>
    <n v="38000"/>
    <n v="35777"/>
    <n v="2592"/>
    <n v="34545.45454545454"/>
    <s v="카페24고체향수솔리드퍼퓸 스테이포에버 002 30ml210101"/>
  </r>
  <r>
    <x v="242"/>
    <s v="목"/>
    <x v="11"/>
    <s v="카페24"/>
    <s v="유즈 솔리드퍼퓸 - 30ml향=이그나이트 001 SOLID PERFUME, 세트 선택=1개"/>
    <n v="1"/>
    <x v="0"/>
    <s v="이그나이트"/>
    <n v="210101"/>
    <m/>
    <n v="34000"/>
    <n v="32011"/>
    <n v="2753"/>
    <n v="30909.09090909091"/>
    <s v="카페24고체향수유즈 솔리드퍼퓸 - 30ml향=이그나이트 001 SOLID PERFUME, 세트 선택=1개210101"/>
  </r>
  <r>
    <x v="242"/>
    <s v="목"/>
    <x v="11"/>
    <s v="카페24"/>
    <s v="유즈 솔리드퍼퓸 - 30ml향=스테이포에버 002 SOLID PERFUME, 세트 선택=1개"/>
    <n v="14"/>
    <x v="0"/>
    <s v="스테이포에버"/>
    <n v="210101"/>
    <m/>
    <n v="476000"/>
    <n v="448154"/>
    <n v="36288"/>
    <n v="432727.2727272727"/>
    <s v="카페24고체향수유즈 솔리드퍼퓸 - 30ml향=스테이포에버 002 SOLID PERFUME, 세트 선택=1개210101"/>
  </r>
  <r>
    <x v="242"/>
    <s v="목"/>
    <x v="11"/>
    <s v="카페24"/>
    <s v="유즈 솔리드퍼퓸 - 30ml향=스테이포에버 002 SOLID PERFUME, 세트 선택=best 2개 (28% 할인)"/>
    <n v="6"/>
    <x v="0"/>
    <s v="스테이포에버 2set"/>
    <n v="210101"/>
    <m/>
    <n v="352800"/>
    <n v="332161.2"/>
    <n v="31104"/>
    <n v="320727.2727272727"/>
    <s v="카페24고체향수유즈 솔리드퍼퓸 - 30ml향=스테이포에버 002 SOLID PERFUME, 세트 선택=best 2개 (28% 할인)210101"/>
  </r>
  <r>
    <x v="242"/>
    <s v="목"/>
    <x v="11"/>
    <s v="카페24"/>
    <s v="유즈 솔리드퍼퓸 - 30ml향=커플세트(이그나이트 + 스테이포에버), 세트 선택=1 SET"/>
    <n v="7"/>
    <x v="0"/>
    <s v="이그나이트 + 스테이포에버"/>
    <n v="210101"/>
    <m/>
    <n v="411600"/>
    <n v="387521.4"/>
    <n v="37415"/>
    <n v="374181.8181818182"/>
    <s v="카페24고체향수유즈 솔리드퍼퓸 - 30ml향=커플세트(이그나이트 + 스테이포에버), 세트 선택=1 SET210101"/>
  </r>
  <r>
    <x v="242"/>
    <s v="목"/>
    <x v="11"/>
    <s v="카페24"/>
    <s v="유즈 솔리드퍼퓸 - 스테이포에버 002제품선택=스테이포에버 1개"/>
    <n v="290"/>
    <x v="0"/>
    <s v="스테이포에버"/>
    <n v="210101"/>
    <m/>
    <n v="9860000"/>
    <n v="9283190"/>
    <n v="751680"/>
    <n v="8963636.363636363"/>
    <s v="카페24고체향수유즈 솔리드퍼퓸 - 스테이포에버 002제품선택=스테이포에버 1개210101"/>
  </r>
  <r>
    <x v="242"/>
    <s v="목"/>
    <x v="11"/>
    <s v="카페24"/>
    <s v="유즈 솔리드퍼퓸 - 스테이포에버 002제품선택=best스테이포에버 2개[28% 할인]"/>
    <n v="139"/>
    <x v="0"/>
    <s v="스테이포에버 2set"/>
    <n v="210101"/>
    <m/>
    <n v="8173200"/>
    <n v="7695067.8"/>
    <n v="720576"/>
    <n v="7430181.818181817"/>
    <s v="카페24고체향수유즈 솔리드퍼퓸 - 스테이포에버 002제품선택=best스테이포에버 2개[28% 할인]210101"/>
  </r>
  <r>
    <x v="242"/>
    <s v="목"/>
    <x v="11"/>
    <s v="카페24"/>
    <s v="유즈 솔리드퍼퓸 - 스테이포에버 002제품선택=커플추천스테이포에버 + 이그나이트 세트"/>
    <n v="20"/>
    <x v="0"/>
    <s v="이그나이트 + 스테이포에버"/>
    <n v="210101"/>
    <m/>
    <n v="1176000"/>
    <n v="1107204"/>
    <n v="106900"/>
    <n v="1069090.909090909"/>
    <s v="카페24고체향수유즈 솔리드퍼퓸 - 스테이포에버 002제품선택=커플추천스테이포에버 + 이그나이트 세트210101"/>
  </r>
  <r>
    <x v="242"/>
    <s v="목"/>
    <x v="11"/>
    <s v="카페24"/>
    <s v="유즈 솔리드퍼퓸 - 스테이포에버 002쇼핑백=선물용 쇼핑백"/>
    <n v="16"/>
    <x v="2"/>
    <s v="쇼핑백"/>
    <n v="210101"/>
    <m/>
    <n v="32000"/>
    <n v="30128"/>
    <n v="13280"/>
    <n v="29090.90909090909"/>
    <s v="카페24쇼핑백유즈 솔리드퍼퓸 - 스테이포에버 002쇼핑백=선물용 쇼핑백210101"/>
  </r>
  <r>
    <x v="242"/>
    <s v="목"/>
    <x v="11"/>
    <s v="카페24"/>
    <s v="유즈 솔리드퍼퓸 - 이그나이트 001제품선택=이그나이트 솔리드퍼퓸 - 30ml"/>
    <n v="1"/>
    <x v="0"/>
    <s v="이그나이트"/>
    <n v="210101"/>
    <m/>
    <n v="34000"/>
    <n v="34000"/>
    <n v="2753"/>
    <n v="30909.09090909091"/>
    <s v="카페24고체향수유즈 솔리드퍼퓸 - 이그나이트 001제품선택=이그나이트 솔리드퍼퓸 - 30ml210101"/>
  </r>
  <r>
    <x v="242"/>
    <s v="목"/>
    <x v="11"/>
    <s v="카페24"/>
    <s v="유즈 솔리드퍼퓸 - 이그나이트 001제품선택=이그나이트 2개 세트"/>
    <n v="1"/>
    <x v="0"/>
    <s v="이그나이트 2set"/>
    <n v="210101"/>
    <m/>
    <n v="58800"/>
    <n v="55360.2"/>
    <n v="5506"/>
    <n v="53454.54545454545"/>
    <s v="카페24고체향수유즈 솔리드퍼퓸 - 이그나이트 001제품선택=이그나이트 2개 세트210101"/>
  </r>
  <r>
    <x v="243"/>
    <s v="금"/>
    <x v="11"/>
    <s v="카페24"/>
    <s v="솔리드퍼퓸 스테이포에버 002 30ml"/>
    <n v="4"/>
    <x v="0"/>
    <s v="스테이포에버"/>
    <n v="210101"/>
    <m/>
    <n v="152000"/>
    <n v="143108"/>
    <n v="10368"/>
    <n v="138181.8181818182"/>
    <s v="카페24고체향수솔리드퍼퓸 스테이포에버 002 30ml210101"/>
  </r>
  <r>
    <x v="243"/>
    <s v="금"/>
    <x v="11"/>
    <s v="카페24"/>
    <s v="유즈 솔리드퍼퓸 - 30ml향=스테이포에버 002 SOLID PERFUME, 세트 선택=1개"/>
    <n v="13"/>
    <x v="0"/>
    <s v="스테이포에버"/>
    <n v="210101"/>
    <m/>
    <n v="442000"/>
    <n v="416143"/>
    <n v="33696"/>
    <n v="401818.1818181818"/>
    <s v="카페24고체향수유즈 솔리드퍼퓸 - 30ml향=스테이포에버 002 SOLID PERFUME, 세트 선택=1개210101"/>
  </r>
  <r>
    <x v="243"/>
    <s v="금"/>
    <x v="11"/>
    <s v="카페24"/>
    <s v="유즈 솔리드퍼퓸 - 30ml향=스테이포에버 002 SOLID PERFUME, 세트 선택=best 2개 (28% 할인)"/>
    <n v="6"/>
    <x v="0"/>
    <s v="스테이포에버 2set"/>
    <n v="210101"/>
    <m/>
    <n v="352800"/>
    <n v="332161.2"/>
    <n v="31104"/>
    <n v="320727.2727272727"/>
    <s v="카페24고체향수유즈 솔리드퍼퓸 - 30ml향=스테이포에버 002 SOLID PERFUME, 세트 선택=best 2개 (28% 할인)210101"/>
  </r>
  <r>
    <x v="243"/>
    <s v="금"/>
    <x v="11"/>
    <s v="카페24"/>
    <s v="유즈 솔리드퍼퓸 - 30ml향=커플세트(이그나이트 + 스테이포에버), 세트 선택=1 SET"/>
    <n v="10"/>
    <x v="0"/>
    <s v="이그나이트 + 스테이포에버"/>
    <n v="210101"/>
    <m/>
    <n v="588000"/>
    <n v="553602"/>
    <n v="53450"/>
    <n v="534545.4545454545"/>
    <s v="카페24고체향수유즈 솔리드퍼퓸 - 30ml향=커플세트(이그나이트 + 스테이포에버), 세트 선택=1 SET210101"/>
  </r>
  <r>
    <x v="243"/>
    <s v="금"/>
    <x v="11"/>
    <s v="카페24"/>
    <s v="유즈 솔리드퍼퓸 - 30ml향=커플세트(이그나이트 + 스테이포에버), 세트 선택=2 SET (42% 할인)"/>
    <n v="1"/>
    <x v="0"/>
    <s v="이그나이트 + 스테이포에버"/>
    <n v="210101"/>
    <m/>
    <n v="58800"/>
    <n v="55360.2"/>
    <n v="5345"/>
    <n v="53454.54545454545"/>
    <s v="카페24고체향수유즈 솔리드퍼퓸 - 30ml향=커플세트(이그나이트 + 스테이포에버), 세트 선택=2 SET (42% 할인)210101"/>
  </r>
  <r>
    <x v="243"/>
    <s v="금"/>
    <x v="11"/>
    <s v="카페24"/>
    <s v="유즈 솔리드퍼퓸 - 스테이포에버 002제품선택=스테이포에버 1개"/>
    <n v="242"/>
    <x v="0"/>
    <s v="스테이포에버"/>
    <n v="210101"/>
    <m/>
    <n v="8228000"/>
    <n v="7746662"/>
    <n v="627264"/>
    <n v="7479999.999999999"/>
    <s v="카페24고체향수유즈 솔리드퍼퓸 - 스테이포에버 002제품선택=스테이포에버 1개210101"/>
  </r>
  <r>
    <x v="243"/>
    <s v="금"/>
    <x v="11"/>
    <s v="카페24"/>
    <s v="유즈 솔리드퍼퓸 - 스테이포에버 002제품선택=best스테이포에버 2개[28% 할인]"/>
    <n v="105"/>
    <x v="0"/>
    <s v="스테이포에버 2set"/>
    <n v="210101"/>
    <m/>
    <n v="6174000"/>
    <n v="5812821"/>
    <n v="544320"/>
    <n v="5612727.272727272"/>
    <s v="카페24고체향수유즈 솔리드퍼퓸 - 스테이포에버 002제품선택=best스테이포에버 2개[28% 할인]210101"/>
  </r>
  <r>
    <x v="243"/>
    <s v="금"/>
    <x v="11"/>
    <s v="카페24"/>
    <s v="유즈 솔리드퍼퓸 - 스테이포에버 002제품선택=커플추천스테이포에버 + 이그나이트 세트"/>
    <n v="13"/>
    <x v="0"/>
    <s v="이그나이트 + 스테이포에버"/>
    <n v="210101"/>
    <m/>
    <n v="764400"/>
    <n v="719682.6"/>
    <n v="69485"/>
    <n v="694909.0909090908"/>
    <s v="카페24고체향수유즈 솔리드퍼퓸 - 스테이포에버 002제품선택=커플추천스테이포에버 + 이그나이트 세트210101"/>
  </r>
  <r>
    <x v="243"/>
    <s v="금"/>
    <x v="11"/>
    <s v="카페24"/>
    <s v="유즈 솔리드퍼퓸 - 스테이포에버 002쇼핑백=선물용 쇼핑백"/>
    <n v="6"/>
    <x v="2"/>
    <s v="쇼핑백"/>
    <n v="210101"/>
    <m/>
    <n v="12000"/>
    <n v="11298"/>
    <n v="4980"/>
    <n v="10909.09090909091"/>
    <s v="카페24쇼핑백유즈 솔리드퍼퓸 - 스테이포에버 002쇼핑백=선물용 쇼핑백210101"/>
  </r>
  <r>
    <x v="243"/>
    <s v="금"/>
    <x v="11"/>
    <s v="카페24"/>
    <s v="유즈 솔리드퍼퓸 - 이그나이트 001제품선택=이그나이트 솔리드퍼퓸 - 30ml"/>
    <n v="2"/>
    <x v="0"/>
    <s v="이그나이트"/>
    <n v="210101"/>
    <m/>
    <n v="68000"/>
    <n v="68000"/>
    <n v="5506"/>
    <n v="61818.18181818182"/>
    <s v="카페24고체향수유즈 솔리드퍼퓸 - 이그나이트 001제품선택=이그나이트 솔리드퍼퓸 - 30ml210101"/>
  </r>
  <r>
    <x v="243"/>
    <s v="금"/>
    <x v="11"/>
    <s v="카페24"/>
    <s v="유즈 솔리드퍼퓸 - 이그나이트 001제품선택=이그나이트 2개 세트"/>
    <n v="3"/>
    <x v="0"/>
    <s v="이그나이트 2set"/>
    <n v="210101"/>
    <m/>
    <n v="176400"/>
    <n v="166080.6"/>
    <n v="16518"/>
    <n v="160363.6363636364"/>
    <s v="카페24고체향수유즈 솔리드퍼퓸 - 이그나이트 001제품선택=이그나이트 2개 세트210101"/>
  </r>
  <r>
    <x v="243"/>
    <s v="금"/>
    <x v="11"/>
    <s v="카페24"/>
    <s v="유즈 스테이포에버 솔리드퍼퓸 002 (11차 예약구매 진행중)제품선택=best스테이포에버 2개[28% 할인]"/>
    <n v="1"/>
    <x v="0"/>
    <s v="스테이포에버 2set"/>
    <n v="210101"/>
    <m/>
    <n v="58800"/>
    <n v="55360.2"/>
    <n v="5184"/>
    <n v="53454.54545454545"/>
    <s v="카페24고체향수유즈 스테이포에버 솔리드퍼퓸 002 (11차 예약구매 진행중)제품선택=best스테이포에버 2개[28% 할인]210101"/>
  </r>
  <r>
    <x v="244"/>
    <s v="토"/>
    <x v="11"/>
    <s v="카페24"/>
    <s v="유즈 솔리드퍼퓸 - 30ml향=이그나이트 001 SOLID PERFUME, 세트 선택=1개"/>
    <n v="2"/>
    <x v="0"/>
    <s v="이그나이트"/>
    <n v="210101"/>
    <m/>
    <n v="68000"/>
    <n v="64022"/>
    <n v="5506"/>
    <n v="61818.18181818182"/>
    <s v="카페24고체향수유즈 솔리드퍼퓸 - 30ml향=이그나이트 001 SOLID PERFUME, 세트 선택=1개210101"/>
  </r>
  <r>
    <x v="244"/>
    <s v="토"/>
    <x v="11"/>
    <s v="카페24"/>
    <s v="유즈 솔리드퍼퓸 - 30ml향=스테이포에버 002 SOLID PERFUME, 세트 선택=1개"/>
    <n v="16"/>
    <x v="0"/>
    <s v="스테이포에버"/>
    <n v="210101"/>
    <m/>
    <n v="544000"/>
    <n v="512176"/>
    <n v="41472"/>
    <n v="494545.4545454545"/>
    <s v="카페24고체향수유즈 솔리드퍼퓸 - 30ml향=스테이포에버 002 SOLID PERFUME, 세트 선택=1개210101"/>
  </r>
  <r>
    <x v="244"/>
    <s v="토"/>
    <x v="11"/>
    <s v="카페24"/>
    <s v="유즈 솔리드퍼퓸 - 30ml향=스테이포에버 002 SOLID PERFUME, 세트 선택=best 2개 (28% 할인)"/>
    <n v="10"/>
    <x v="0"/>
    <s v="스테이포에버 2set"/>
    <n v="210101"/>
    <m/>
    <n v="588000"/>
    <n v="553602"/>
    <n v="51840"/>
    <n v="534545.4545454545"/>
    <s v="카페24고체향수유즈 솔리드퍼퓸 - 30ml향=스테이포에버 002 SOLID PERFUME, 세트 선택=best 2개 (28% 할인)210101"/>
  </r>
  <r>
    <x v="244"/>
    <s v="토"/>
    <x v="11"/>
    <s v="카페24"/>
    <s v="유즈 솔리드퍼퓸 - 30ml향=커플세트(이그나이트 + 스테이포에버), 세트 선택=1 SET"/>
    <n v="7"/>
    <x v="0"/>
    <s v="이그나이트 + 스테이포에버"/>
    <n v="210101"/>
    <m/>
    <n v="411600"/>
    <n v="387521.4"/>
    <n v="37415"/>
    <n v="374181.8181818182"/>
    <s v="카페24고체향수유즈 솔리드퍼퓸 - 30ml향=커플세트(이그나이트 + 스테이포에버), 세트 선택=1 SET210101"/>
  </r>
  <r>
    <x v="244"/>
    <s v="토"/>
    <x v="11"/>
    <s v="카페24"/>
    <s v="유즈 솔리드퍼퓸 - 스테이포에버 002제품선택=스테이포에버 1개"/>
    <n v="387"/>
    <x v="0"/>
    <s v="스테이포에버"/>
    <n v="210101"/>
    <m/>
    <n v="13158000"/>
    <n v="12388257"/>
    <n v="1003104"/>
    <n v="11961818.18181818"/>
    <s v="카페24고체향수유즈 솔리드퍼퓸 - 스테이포에버 002제품선택=스테이포에버 1개210101"/>
  </r>
  <r>
    <x v="244"/>
    <s v="토"/>
    <x v="11"/>
    <s v="카페24"/>
    <s v="유즈 솔리드퍼퓸 - 스테이포에버 002제품선택=best스테이포에버 2개[28% 할인]"/>
    <n v="165"/>
    <x v="0"/>
    <s v="스테이포에버 2set"/>
    <n v="210101"/>
    <m/>
    <n v="9702000"/>
    <n v="9134433"/>
    <n v="855360"/>
    <n v="8820000"/>
    <s v="카페24고체향수유즈 솔리드퍼퓸 - 스테이포에버 002제품선택=best스테이포에버 2개[28% 할인]210101"/>
  </r>
  <r>
    <x v="244"/>
    <s v="토"/>
    <x v="11"/>
    <s v="카페24"/>
    <s v="유즈 솔리드퍼퓸 - 스테이포에버 002제품선택=커플추천스테이포에버 + 이그나이트 세트"/>
    <n v="18"/>
    <x v="0"/>
    <s v="이그나이트 + 스테이포에버"/>
    <n v="210101"/>
    <m/>
    <n v="1058400"/>
    <n v="996483.6"/>
    <n v="96210"/>
    <n v="962181.8181818181"/>
    <s v="카페24고체향수유즈 솔리드퍼퓸 - 스테이포에버 002제품선택=커플추천스테이포에버 + 이그나이트 세트210101"/>
  </r>
  <r>
    <x v="244"/>
    <s v="토"/>
    <x v="11"/>
    <s v="카페24"/>
    <s v="유즈 솔리드퍼퓸 - 스테이포에버 002쇼핑백=선물용 쇼핑백"/>
    <n v="18"/>
    <x v="2"/>
    <s v="쇼핑백"/>
    <n v="210101"/>
    <m/>
    <n v="36000"/>
    <n v="33894"/>
    <n v="14940"/>
    <n v="32727.27272727272"/>
    <s v="카페24쇼핑백유즈 솔리드퍼퓸 - 스테이포에버 002쇼핑백=선물용 쇼핑백210101"/>
  </r>
  <r>
    <x v="244"/>
    <s v="토"/>
    <x v="11"/>
    <s v="카페24"/>
    <s v="유즈 솔리드퍼퓸 - 이그나이트 001제품선택=이그나이트 솔리드퍼퓸 - 30ml"/>
    <n v="5"/>
    <x v="0"/>
    <s v="이그나이트"/>
    <n v="210101"/>
    <m/>
    <n v="170000"/>
    <n v="170000"/>
    <n v="13765"/>
    <n v="154545.4545454545"/>
    <s v="카페24고체향수유즈 솔리드퍼퓸 - 이그나이트 001제품선택=이그나이트 솔리드퍼퓸 - 30ml210101"/>
  </r>
  <r>
    <x v="244"/>
    <s v="토"/>
    <x v="11"/>
    <s v="카페24"/>
    <s v="유즈 솔리드퍼퓸 - 이그나이트 001제품선택=이그나이트 2개 세트"/>
    <n v="5"/>
    <x v="0"/>
    <s v="이그나이트 2set"/>
    <n v="210101"/>
    <m/>
    <n v="294000"/>
    <n v="276801"/>
    <n v="27530"/>
    <n v="267272.7272727272"/>
    <s v="카페24고체향수유즈 솔리드퍼퓸 - 이그나이트 001제품선택=이그나이트 2개 세트210101"/>
  </r>
  <r>
    <x v="245"/>
    <s v="일"/>
    <x v="11"/>
    <s v="카페24"/>
    <s v="유즈 솔리드퍼퓸 - 30ml향=스테이포에버 002 SOLID PERFUME, 세트 선택=1개"/>
    <n v="12"/>
    <x v="0"/>
    <s v="스테이포에버"/>
    <n v="210101"/>
    <m/>
    <n v="408000"/>
    <n v="384132"/>
    <n v="31104"/>
    <n v="370909.0909090909"/>
    <s v="카페24고체향수유즈 솔리드퍼퓸 - 30ml향=스테이포에버 002 SOLID PERFUME, 세트 선택=1개210101"/>
  </r>
  <r>
    <x v="245"/>
    <s v="일"/>
    <x v="11"/>
    <s v="카페24"/>
    <s v="유즈 솔리드퍼퓸 - 30ml향=스테이포에버 002 SOLID PERFUME, 세트 선택=best 2개 (28% 할인)"/>
    <n v="10"/>
    <x v="0"/>
    <s v="스테이포에버 2set"/>
    <n v="210101"/>
    <m/>
    <n v="588000"/>
    <n v="553602"/>
    <n v="51840"/>
    <n v="534545.4545454545"/>
    <s v="카페24고체향수유즈 솔리드퍼퓸 - 30ml향=스테이포에버 002 SOLID PERFUME, 세트 선택=best 2개 (28% 할인)210101"/>
  </r>
  <r>
    <x v="245"/>
    <s v="일"/>
    <x v="11"/>
    <s v="카페24"/>
    <s v="유즈 솔리드퍼퓸 - 30ml향=커플세트(이그나이트 + 스테이포에버), 세트 선택=1 SET"/>
    <n v="5"/>
    <x v="0"/>
    <s v="이그나이트 + 스테이포에버"/>
    <n v="210101"/>
    <m/>
    <n v="294000"/>
    <n v="276801"/>
    <n v="26725"/>
    <n v="267272.7272727272"/>
    <s v="카페24고체향수유즈 솔리드퍼퓸 - 30ml향=커플세트(이그나이트 + 스테이포에버), 세트 선택=1 SET210101"/>
  </r>
  <r>
    <x v="245"/>
    <s v="일"/>
    <x v="11"/>
    <s v="카페24"/>
    <s v="유즈 솔리드퍼퓸 - 30ml향=커플세트(이그나이트 + 스테이포에버), 세트 선택=2 SET (42% 할인)"/>
    <n v="4"/>
    <x v="0"/>
    <s v="이그나이트 + 스테이포에버"/>
    <n v="210101"/>
    <m/>
    <n v="235200"/>
    <n v="221440.8"/>
    <n v="21380"/>
    <n v="213818.1818181818"/>
    <s v="카페24고체향수유즈 솔리드퍼퓸 - 30ml향=커플세트(이그나이트 + 스테이포에버), 세트 선택=2 SET (42% 할인)210101"/>
  </r>
  <r>
    <x v="245"/>
    <s v="일"/>
    <x v="11"/>
    <s v="카페24"/>
    <s v="유즈 솔리드퍼퓸 - 스테이포에버 002제품선택=스테이포에버 1개"/>
    <n v="415"/>
    <x v="0"/>
    <s v="스테이포에버"/>
    <n v="210101"/>
    <m/>
    <n v="14110000"/>
    <n v="13284565"/>
    <n v="1075680"/>
    <n v="12827272.72727273"/>
    <s v="카페24고체향수유즈 솔리드퍼퓸 - 스테이포에버 002제품선택=스테이포에버 1개210101"/>
  </r>
  <r>
    <x v="245"/>
    <s v="일"/>
    <x v="11"/>
    <s v="카페24"/>
    <s v="유즈 솔리드퍼퓸 - 스테이포에버 002제품선택=best스테이포에버 2개[28% 할인]"/>
    <n v="172"/>
    <x v="0"/>
    <s v="스테이포에버 2set"/>
    <n v="210101"/>
    <m/>
    <n v="10113600"/>
    <n v="9521954.4"/>
    <n v="891648"/>
    <n v="9194181.818181818"/>
    <s v="카페24고체향수유즈 솔리드퍼퓸 - 스테이포에버 002제품선택=best스테이포에버 2개[28% 할인]210101"/>
  </r>
  <r>
    <x v="245"/>
    <s v="일"/>
    <x v="11"/>
    <s v="카페24"/>
    <s v="유즈 솔리드퍼퓸 - 스테이포에버 002제품선택=커플추천스테이포에버 + 이그나이트 세트"/>
    <n v="32"/>
    <x v="0"/>
    <s v="이그나이트 + 스테이포에버"/>
    <n v="210101"/>
    <m/>
    <n v="1881600"/>
    <n v="1771526.4"/>
    <n v="171040"/>
    <n v="1710545.454545454"/>
    <s v="카페24고체향수유즈 솔리드퍼퓸 - 스테이포에버 002제품선택=커플추천스테이포에버 + 이그나이트 세트210101"/>
  </r>
  <r>
    <x v="245"/>
    <s v="일"/>
    <x v="11"/>
    <s v="카페24"/>
    <s v="유즈 솔리드퍼퓸 - 스테이포에버 002쇼핑백=선물용 쇼핑백"/>
    <n v="18"/>
    <x v="2"/>
    <s v="쇼핑백"/>
    <n v="210101"/>
    <m/>
    <n v="36000"/>
    <n v="33894"/>
    <n v="14940"/>
    <n v="32727.27272727272"/>
    <s v="카페24쇼핑백유즈 솔리드퍼퓸 - 스테이포에버 002쇼핑백=선물용 쇼핑백210101"/>
  </r>
  <r>
    <x v="245"/>
    <s v="일"/>
    <x v="11"/>
    <s v="카페24"/>
    <s v="유즈 솔리드퍼퓸 - 이그나이트 001제품선택=이그나이트 솔리드퍼퓸 - 30ml"/>
    <n v="8"/>
    <x v="0"/>
    <s v="이그나이트"/>
    <n v="210101"/>
    <m/>
    <n v="272000"/>
    <n v="272000"/>
    <n v="22024"/>
    <n v="247272.7272727273"/>
    <s v="카페24고체향수유즈 솔리드퍼퓸 - 이그나이트 001제품선택=이그나이트 솔리드퍼퓸 - 30ml210101"/>
  </r>
  <r>
    <x v="245"/>
    <s v="일"/>
    <x v="11"/>
    <s v="카페24"/>
    <s v="유즈 솔리드퍼퓸 - 이그나이트 001제품선택=이그나이트 2개 세트"/>
    <n v="1"/>
    <x v="0"/>
    <s v="이그나이트 2set"/>
    <n v="210101"/>
    <m/>
    <n v="58800"/>
    <n v="55360.2"/>
    <n v="5506"/>
    <n v="53454.54545454545"/>
    <s v="카페24고체향수유즈 솔리드퍼퓸 - 이그나이트 001제품선택=이그나이트 2개 세트210101"/>
  </r>
  <r>
    <x v="246"/>
    <s v="월"/>
    <x v="11"/>
    <s v="카페24"/>
    <s v="솔리드퍼퓸 스테이포에버 002 30ml"/>
    <n v="2"/>
    <x v="0"/>
    <s v="스테이포에버"/>
    <n v="210101"/>
    <m/>
    <n v="76000"/>
    <n v="71554"/>
    <n v="5184"/>
    <n v="69090.90909090909"/>
    <s v="카페24고체향수솔리드퍼퓸 스테이포에버 002 30ml210101"/>
  </r>
  <r>
    <x v="246"/>
    <s v="월"/>
    <x v="11"/>
    <s v="카페24"/>
    <s v="유즈 솔리드퍼퓸 - 30ml향=이그나이트 001 SOLID PERFUME, 세트 선택=1개"/>
    <n v="2"/>
    <x v="0"/>
    <s v="이그나이트"/>
    <n v="210101"/>
    <m/>
    <n v="68000"/>
    <n v="64022"/>
    <n v="5506"/>
    <n v="61818.18181818182"/>
    <s v="카페24고체향수유즈 솔리드퍼퓸 - 30ml향=이그나이트 001 SOLID PERFUME, 세트 선택=1개210101"/>
  </r>
  <r>
    <x v="246"/>
    <s v="월"/>
    <x v="11"/>
    <s v="카페24"/>
    <s v="유즈 솔리드퍼퓸 - 30ml향=스테이포에버 002 SOLID PERFUME, 세트 선택=1개"/>
    <n v="10"/>
    <x v="0"/>
    <s v="스테이포에버"/>
    <n v="210101"/>
    <m/>
    <n v="340000"/>
    <n v="320110"/>
    <n v="25920"/>
    <n v="309090.9090909091"/>
    <s v="카페24고체향수유즈 솔리드퍼퓸 - 30ml향=스테이포에버 002 SOLID PERFUME, 세트 선택=1개210101"/>
  </r>
  <r>
    <x v="246"/>
    <s v="월"/>
    <x v="11"/>
    <s v="카페24"/>
    <s v="유즈 솔리드퍼퓸 - 30ml향=스테이포에버 002 SOLID PERFUME, 세트 선택=best 2개 (28% 할인)"/>
    <n v="10"/>
    <x v="0"/>
    <s v="스테이포에버 2set"/>
    <n v="210101"/>
    <m/>
    <n v="588000"/>
    <n v="553602"/>
    <n v="51840"/>
    <n v="534545.4545454545"/>
    <s v="카페24고체향수유즈 솔리드퍼퓸 - 30ml향=스테이포에버 002 SOLID PERFUME, 세트 선택=best 2개 (28% 할인)210101"/>
  </r>
  <r>
    <x v="246"/>
    <s v="월"/>
    <x v="11"/>
    <s v="카페24"/>
    <s v="유즈 솔리드퍼퓸 - 30ml향=커플세트(이그나이트 + 스테이포에버), 세트 선택=1 SET"/>
    <n v="11"/>
    <x v="0"/>
    <s v="이그나이트 + 스테이포에버"/>
    <n v="210101"/>
    <m/>
    <n v="646800"/>
    <n v="608962.2"/>
    <n v="58795"/>
    <n v="588000"/>
    <s v="카페24고체향수유즈 솔리드퍼퓸 - 30ml향=커플세트(이그나이트 + 스테이포에버), 세트 선택=1 SET210101"/>
  </r>
  <r>
    <x v="246"/>
    <s v="월"/>
    <x v="11"/>
    <s v="카페24"/>
    <s v="유즈 솔리드퍼퓸 - 30ml향=커플세트(이그나이트 + 스테이포에버), 세트 선택=2 SET (42% 할인)"/>
    <n v="1"/>
    <x v="0"/>
    <s v="이그나이트 + 스테이포에버"/>
    <n v="210101"/>
    <m/>
    <n v="58800"/>
    <n v="55360.2"/>
    <n v="5345"/>
    <n v="53454.54545454545"/>
    <s v="카페24고체향수유즈 솔리드퍼퓸 - 30ml향=커플세트(이그나이트 + 스테이포에버), 세트 선택=2 SET (42% 할인)210101"/>
  </r>
  <r>
    <x v="246"/>
    <s v="월"/>
    <x v="11"/>
    <s v="카페24"/>
    <s v="유즈 솔리드퍼퓸 - 스테이포에버 002제품선택=스테이포에버 1개"/>
    <n v="296"/>
    <x v="0"/>
    <s v="스테이포에버"/>
    <n v="210101"/>
    <m/>
    <n v="10064000"/>
    <n v="9475256"/>
    <n v="767232"/>
    <n v="9149090.909090908"/>
    <s v="카페24고체향수유즈 솔리드퍼퓸 - 스테이포에버 002제품선택=스테이포에버 1개210101"/>
  </r>
  <r>
    <x v="246"/>
    <s v="월"/>
    <x v="11"/>
    <s v="카페24"/>
    <s v="유즈 솔리드퍼퓸 - 스테이포에버 002제품선택=best스테이포에버 2개[28% 할인]"/>
    <n v="120"/>
    <x v="0"/>
    <s v="스테이포에버 2set"/>
    <n v="210101"/>
    <m/>
    <n v="7056000"/>
    <n v="6643224"/>
    <n v="622080"/>
    <n v="6414545.454545454"/>
    <s v="카페24고체향수유즈 솔리드퍼퓸 - 스테이포에버 002제품선택=best스테이포에버 2개[28% 할인]210101"/>
  </r>
  <r>
    <x v="246"/>
    <s v="월"/>
    <x v="11"/>
    <s v="카페24"/>
    <s v="유즈 솔리드퍼퓸 - 스테이포에버 002제품선택=커플추천스테이포에버 + 이그나이트 세트"/>
    <n v="24"/>
    <x v="0"/>
    <s v="이그나이트 + 스테이포에버"/>
    <n v="210101"/>
    <m/>
    <n v="1411200"/>
    <n v="1328644.8"/>
    <n v="128280"/>
    <n v="1282909.090909091"/>
    <s v="카페24고체향수유즈 솔리드퍼퓸 - 스테이포에버 002제품선택=커플추천스테이포에버 + 이그나이트 세트210101"/>
  </r>
  <r>
    <x v="246"/>
    <s v="월"/>
    <x v="11"/>
    <s v="카페24"/>
    <s v="유즈 솔리드퍼퓸 - 스테이포에버 002쇼핑백=선물용 쇼핑백"/>
    <n v="8"/>
    <x v="2"/>
    <s v="쇼핑백"/>
    <n v="210101"/>
    <m/>
    <n v="16000"/>
    <n v="15064"/>
    <n v="6640"/>
    <n v="14545.45454545454"/>
    <s v="카페24쇼핑백유즈 솔리드퍼퓸 - 스테이포에버 002쇼핑백=선물용 쇼핑백210101"/>
  </r>
  <r>
    <x v="246"/>
    <s v="월"/>
    <x v="11"/>
    <s v="카페24"/>
    <s v="유즈 솔리드퍼퓸 - 이그나이트 001제품선택=이그나이트 솔리드퍼퓸 - 30ml"/>
    <n v="11"/>
    <x v="0"/>
    <s v="이그나이트"/>
    <n v="210101"/>
    <m/>
    <n v="374000"/>
    <n v="374000"/>
    <n v="30283"/>
    <n v="340000"/>
    <s v="카페24고체향수유즈 솔리드퍼퓸 - 이그나이트 001제품선택=이그나이트 솔리드퍼퓸 - 30ml210101"/>
  </r>
  <r>
    <x v="247"/>
    <s v="화"/>
    <x v="11"/>
    <s v="카페24"/>
    <s v="솔리드퍼퓸 스테이포에버 002 30ml"/>
    <n v="1"/>
    <x v="0"/>
    <s v="스테이포에버"/>
    <n v="210101"/>
    <m/>
    <n v="38000"/>
    <n v="35777"/>
    <n v="2592"/>
    <n v="34545.45454545454"/>
    <s v="카페24고체향수솔리드퍼퓸 스테이포에버 002 30ml210101"/>
  </r>
  <r>
    <x v="247"/>
    <s v="화"/>
    <x v="11"/>
    <s v="카페24"/>
    <s v="유즈 솔리드퍼퓸 - 30ml향=이그나이트 001 SOLID PERFUME, 세트 선택=1개"/>
    <n v="1"/>
    <x v="0"/>
    <s v="이그나이트"/>
    <n v="210101"/>
    <m/>
    <n v="34000"/>
    <n v="32011"/>
    <n v="2753"/>
    <n v="30909.09090909091"/>
    <s v="카페24고체향수유즈 솔리드퍼퓸 - 30ml향=이그나이트 001 SOLID PERFUME, 세트 선택=1개210101"/>
  </r>
  <r>
    <x v="247"/>
    <s v="화"/>
    <x v="11"/>
    <s v="카페24"/>
    <s v="유즈 솔리드퍼퓸 - 30ml향=스테이포에버 002 SOLID PERFUME, 세트 선택=1개"/>
    <n v="10"/>
    <x v="0"/>
    <s v="스테이포에버"/>
    <n v="210101"/>
    <m/>
    <n v="340000"/>
    <n v="320110"/>
    <n v="25920"/>
    <n v="309090.9090909091"/>
    <s v="카페24고체향수유즈 솔리드퍼퓸 - 30ml향=스테이포에버 002 SOLID PERFUME, 세트 선택=1개210101"/>
  </r>
  <r>
    <x v="247"/>
    <s v="화"/>
    <x v="11"/>
    <s v="카페24"/>
    <s v="유즈 솔리드퍼퓸 - 30ml향=스테이포에버 002 SOLID PERFUME, 세트 선택=best 2개 (28% 할인)"/>
    <n v="7"/>
    <x v="0"/>
    <s v="스테이포에버 2set"/>
    <n v="210101"/>
    <m/>
    <n v="411600"/>
    <n v="387521.4"/>
    <n v="36288"/>
    <n v="374181.8181818182"/>
    <s v="카페24고체향수유즈 솔리드퍼퓸 - 30ml향=스테이포에버 002 SOLID PERFUME, 세트 선택=best 2개 (28% 할인)210101"/>
  </r>
  <r>
    <x v="247"/>
    <s v="화"/>
    <x v="11"/>
    <s v="카페24"/>
    <s v="유즈 솔리드퍼퓸 - 30ml향=커플세트(이그나이트 + 스테이포에버), 세트 선택=1 SET"/>
    <n v="11"/>
    <x v="0"/>
    <s v="이그나이트 + 스테이포에버"/>
    <n v="210101"/>
    <m/>
    <n v="646800"/>
    <n v="608962.2"/>
    <n v="58795"/>
    <n v="588000"/>
    <s v="카페24고체향수유즈 솔리드퍼퓸 - 30ml향=커플세트(이그나이트 + 스테이포에버), 세트 선택=1 SET210101"/>
  </r>
  <r>
    <x v="247"/>
    <s v="화"/>
    <x v="11"/>
    <s v="카페24"/>
    <s v="유즈 솔리드퍼퓸 - 30ml향=커플세트(이그나이트 + 스테이포에버), 세트 선택=2 SET (42% 할인)"/>
    <n v="2"/>
    <x v="0"/>
    <s v="이그나이트 + 스테이포에버"/>
    <n v="210101"/>
    <m/>
    <n v="117600"/>
    <n v="110720.4"/>
    <n v="10690"/>
    <n v="106909.0909090909"/>
    <s v="카페24고체향수유즈 솔리드퍼퓸 - 30ml향=커플세트(이그나이트 + 스테이포에버), 세트 선택=2 SET (42% 할인)210101"/>
  </r>
  <r>
    <x v="247"/>
    <s v="화"/>
    <x v="11"/>
    <s v="카페24"/>
    <s v="유즈 솔리드퍼퓸 - 스테이포에버 002제품선택=스테이포에버 1개"/>
    <n v="224"/>
    <x v="0"/>
    <s v="스테이포에버"/>
    <n v="210101"/>
    <m/>
    <n v="7616000"/>
    <n v="7170464"/>
    <n v="580608"/>
    <n v="6923636.363636363"/>
    <s v="카페24고체향수유즈 솔리드퍼퓸 - 스테이포에버 002제품선택=스테이포에버 1개210101"/>
  </r>
  <r>
    <x v="247"/>
    <s v="화"/>
    <x v="11"/>
    <s v="카페24"/>
    <s v="유즈 솔리드퍼퓸 - 스테이포에버 002제품선택=best스테이포에버 2개[28% 할인]"/>
    <n v="123"/>
    <x v="0"/>
    <s v="스테이포에버 2set"/>
    <n v="210101"/>
    <m/>
    <n v="7232400"/>
    <n v="6809304.6"/>
    <n v="637632"/>
    <n v="6574909.090909091"/>
    <s v="카페24고체향수유즈 솔리드퍼퓸 - 스테이포에버 002제품선택=best스테이포에버 2개[28% 할인]210101"/>
  </r>
  <r>
    <x v="247"/>
    <s v="화"/>
    <x v="11"/>
    <s v="카페24"/>
    <s v="유즈 솔리드퍼퓸 - 스테이포에버 002제품선택=커플추천스테이포에버 + 이그나이트 세트"/>
    <n v="18"/>
    <x v="0"/>
    <s v="이그나이트 + 스테이포에버"/>
    <n v="210101"/>
    <m/>
    <n v="1058400"/>
    <n v="996483.6"/>
    <n v="96210"/>
    <n v="962181.8181818181"/>
    <s v="카페24고체향수유즈 솔리드퍼퓸 - 스테이포에버 002제품선택=커플추천스테이포에버 + 이그나이트 세트210101"/>
  </r>
  <r>
    <x v="247"/>
    <s v="화"/>
    <x v="11"/>
    <s v="카페24"/>
    <s v="유즈 솔리드퍼퓸 - 스테이포에버 002쇼핑백=선물용 쇼핑백"/>
    <n v="13"/>
    <x v="2"/>
    <s v="쇼핑백"/>
    <n v="210101"/>
    <m/>
    <n v="26000"/>
    <n v="24479"/>
    <n v="10790"/>
    <n v="23636.36363636364"/>
    <s v="카페24쇼핑백유즈 솔리드퍼퓸 - 스테이포에버 002쇼핑백=선물용 쇼핑백210101"/>
  </r>
  <r>
    <x v="247"/>
    <s v="화"/>
    <x v="11"/>
    <s v="카페24"/>
    <s v="유즈 솔리드퍼퓸 - 이그나이트 001제품선택=이그나이트 솔리드퍼퓸 - 30ml"/>
    <n v="3"/>
    <x v="0"/>
    <s v="이그나이트"/>
    <n v="210101"/>
    <m/>
    <n v="102000"/>
    <n v="102000"/>
    <n v="8259"/>
    <n v="92727.27272727272"/>
    <s v="카페24고체향수유즈 솔리드퍼퓸 - 이그나이트 001제품선택=이그나이트 솔리드퍼퓸 - 30ml210101"/>
  </r>
  <r>
    <x v="248"/>
    <s v="수"/>
    <x v="11"/>
    <s v="카페24"/>
    <s v="유즈 솔리드퍼퓸 - 30ml향=이그나이트 001 SOLID PERFUME, 세트 선택=best 2개 (28% 할인)"/>
    <n v="1"/>
    <x v="0"/>
    <s v="이그나이트 2set"/>
    <n v="210101"/>
    <m/>
    <n v="58800"/>
    <n v="55360.2"/>
    <n v="5506"/>
    <n v="53454.54545454545"/>
    <s v="카페24고체향수유즈 솔리드퍼퓸 - 30ml향=이그나이트 001 SOLID PERFUME, 세트 선택=best 2개 (28% 할인)210101"/>
  </r>
  <r>
    <x v="248"/>
    <s v="수"/>
    <x v="11"/>
    <s v="카페24"/>
    <s v="유즈 솔리드퍼퓸 - 30ml향=스테이포에버 002 SOLID PERFUME, 세트 선택=1개"/>
    <n v="9"/>
    <x v="0"/>
    <s v="스테이포에버"/>
    <n v="210101"/>
    <m/>
    <n v="306000"/>
    <n v="288099"/>
    <n v="23328"/>
    <n v="278181.8181818182"/>
    <s v="카페24고체향수유즈 솔리드퍼퓸 - 30ml향=스테이포에버 002 SOLID PERFUME, 세트 선택=1개210101"/>
  </r>
  <r>
    <x v="248"/>
    <s v="수"/>
    <x v="11"/>
    <s v="카페24"/>
    <s v="유즈 솔리드퍼퓸 - 30ml향=스테이포에버 002 SOLID PERFUME, 세트 선택=best 2개 (28% 할인)"/>
    <n v="5"/>
    <x v="0"/>
    <s v="스테이포에버 2set"/>
    <n v="210101"/>
    <m/>
    <n v="294000"/>
    <n v="276801"/>
    <n v="25920"/>
    <n v="267272.7272727272"/>
    <s v="카페24고체향수유즈 솔리드퍼퓸 - 30ml향=스테이포에버 002 SOLID PERFUME, 세트 선택=best 2개 (28% 할인)210101"/>
  </r>
  <r>
    <x v="248"/>
    <s v="수"/>
    <x v="11"/>
    <s v="카페24"/>
    <s v="유즈 솔리드퍼퓸 - 30ml향=커플세트(이그나이트 + 스테이포에버), 세트 선택=1 SET"/>
    <n v="8"/>
    <x v="0"/>
    <s v="이그나이트 + 스테이포에버"/>
    <n v="210101"/>
    <m/>
    <n v="470400"/>
    <n v="442881.6"/>
    <n v="42760"/>
    <n v="427636.3636363636"/>
    <s v="카페24고체향수유즈 솔리드퍼퓸 - 30ml향=커플세트(이그나이트 + 스테이포에버), 세트 선택=1 SET210101"/>
  </r>
  <r>
    <x v="248"/>
    <s v="수"/>
    <x v="11"/>
    <s v="카페24"/>
    <s v="유즈 솔리드퍼퓸 - 30ml향=커플세트(이그나이트 + 스테이포에버), 세트 선택=2 SET (42% 할인)"/>
    <n v="2"/>
    <x v="0"/>
    <s v="이그나이트 + 스테이포에버"/>
    <n v="210101"/>
    <m/>
    <n v="117600"/>
    <n v="110720.4"/>
    <n v="10690"/>
    <n v="106909.0909090909"/>
    <s v="카페24고체향수유즈 솔리드퍼퓸 - 30ml향=커플세트(이그나이트 + 스테이포에버), 세트 선택=2 SET (42% 할인)210101"/>
  </r>
  <r>
    <x v="248"/>
    <s v="수"/>
    <x v="11"/>
    <s v="카페24"/>
    <s v="유즈 솔리드퍼퓸 - 스테이포에버 002제품선택=스테이포에버 1개"/>
    <n v="274"/>
    <x v="0"/>
    <s v="스테이포에버"/>
    <n v="210101"/>
    <m/>
    <n v="9316000"/>
    <n v="8771014"/>
    <n v="710208"/>
    <n v="8469090.909090908"/>
    <s v="카페24고체향수유즈 솔리드퍼퓸 - 스테이포에버 002제품선택=스테이포에버 1개210101"/>
  </r>
  <r>
    <x v="248"/>
    <s v="수"/>
    <x v="11"/>
    <s v="카페24"/>
    <s v="유즈 솔리드퍼퓸 - 스테이포에버 002제품선택=best스테이포에버 2개[28% 할인]"/>
    <n v="138"/>
    <x v="0"/>
    <s v="스테이포에버 2set"/>
    <n v="210101"/>
    <m/>
    <n v="8114400"/>
    <n v="7639707.6"/>
    <n v="715392"/>
    <n v="7376727.272727272"/>
    <s v="카페24고체향수유즈 솔리드퍼퓸 - 스테이포에버 002제품선택=best스테이포에버 2개[28% 할인]210101"/>
  </r>
  <r>
    <x v="248"/>
    <s v="수"/>
    <x v="11"/>
    <s v="카페24"/>
    <s v="유즈 솔리드퍼퓸 - 스테이포에버 002제품선택=커플추천스테이포에버 + 이그나이트 세트"/>
    <n v="17"/>
    <x v="0"/>
    <s v="이그나이트 + 스테이포에버"/>
    <n v="210101"/>
    <m/>
    <n v="999600"/>
    <n v="941123.4"/>
    <n v="90865"/>
    <n v="908727.2727272727"/>
    <s v="카페24고체향수유즈 솔리드퍼퓸 - 스테이포에버 002제품선택=커플추천스테이포에버 + 이그나이트 세트210101"/>
  </r>
  <r>
    <x v="248"/>
    <s v="수"/>
    <x v="11"/>
    <s v="카페24"/>
    <s v="유즈 솔리드퍼퓸 - 스테이포에버 002쇼핑백=선물용 쇼핑백"/>
    <n v="10"/>
    <x v="2"/>
    <s v="쇼핑백"/>
    <n v="210101"/>
    <m/>
    <n v="20000"/>
    <n v="18830"/>
    <n v="8300"/>
    <n v="18181.81818181818"/>
    <s v="카페24쇼핑백유즈 솔리드퍼퓸 - 스테이포에버 002쇼핑백=선물용 쇼핑백210101"/>
  </r>
  <r>
    <x v="248"/>
    <s v="수"/>
    <x v="11"/>
    <s v="카페24"/>
    <s v="유즈 솔리드퍼퓸 - 이그나이트 001제품선택=이그나이트 솔리드퍼퓸 - 30ml"/>
    <n v="1"/>
    <x v="0"/>
    <s v="이그나이트"/>
    <n v="210101"/>
    <m/>
    <n v="34000"/>
    <n v="34000"/>
    <n v="2753"/>
    <n v="30909.09090909091"/>
    <s v="카페24고체향수유즈 솔리드퍼퓸 - 이그나이트 001제품선택=이그나이트 솔리드퍼퓸 - 30ml210101"/>
  </r>
  <r>
    <x v="248"/>
    <s v="수"/>
    <x v="11"/>
    <s v="카페24"/>
    <s v="유즈 솔리드퍼퓸 - 이그나이트 001제품선택=이그나이트 2개 세트"/>
    <n v="1"/>
    <x v="0"/>
    <s v="이그나이트 2set"/>
    <n v="210101"/>
    <m/>
    <n v="58800"/>
    <n v="55360.2"/>
    <n v="5506"/>
    <n v="53454.54545454545"/>
    <s v="카페24고체향수유즈 솔리드퍼퓸 - 이그나이트 001제품선택=이그나이트 2개 세트210101"/>
  </r>
  <r>
    <x v="249"/>
    <s v="목"/>
    <x v="11"/>
    <s v="카페24"/>
    <s v="솔리드퍼퓸 세트향=이그나이트 001 SOLID PERFUME, 세트 선택=1개"/>
    <n v="1"/>
    <x v="0"/>
    <s v="이그나이트"/>
    <n v="210101"/>
    <m/>
    <n v="34000"/>
    <n v="32011"/>
    <n v="2753"/>
    <n v="30909.09090909091"/>
    <s v="카페24고체향수솔리드퍼퓸 세트향=이그나이트 001 SOLID PERFUME, 세트 선택=1개210101"/>
  </r>
  <r>
    <x v="249"/>
    <s v="목"/>
    <x v="11"/>
    <s v="카페24"/>
    <s v="솔리드퍼퓸 세트향=스테이포에버 002 SOLID PERFUME, 세트 선택=1개"/>
    <n v="9"/>
    <x v="0"/>
    <s v="스테이포에버"/>
    <n v="210101"/>
    <m/>
    <n v="306000"/>
    <n v="288099"/>
    <n v="23328"/>
    <n v="278181.8181818182"/>
    <s v="카페24고체향수솔리드퍼퓸 세트향=스테이포에버 002 SOLID PERFUME, 세트 선택=1개210101"/>
  </r>
  <r>
    <x v="249"/>
    <s v="목"/>
    <x v="11"/>
    <s v="카페24"/>
    <s v="솔리드퍼퓸 세트향=스테이포에버 002 SOLID PERFUME, 세트 선택=best 2개 (28% 할인)"/>
    <n v="4"/>
    <x v="0"/>
    <s v="스테이포에버 2set"/>
    <n v="210101"/>
    <m/>
    <n v="235200"/>
    <n v="221440.8"/>
    <n v="20736"/>
    <n v="213818.1818181818"/>
    <s v="카페24고체향수솔리드퍼퓸 세트향=스테이포에버 002 SOLID PERFUME, 세트 선택=best 2개 (28% 할인)210101"/>
  </r>
  <r>
    <x v="249"/>
    <s v="목"/>
    <x v="11"/>
    <s v="카페24"/>
    <s v="솔리드퍼퓸 세트향=커플세트(이그나이트 + 스테이포에버), 세트 선택=1 SET"/>
    <n v="12"/>
    <x v="0"/>
    <s v="이그나이트 + 스테이포에버"/>
    <n v="210101"/>
    <m/>
    <n v="705600"/>
    <n v="664322.4"/>
    <n v="64140"/>
    <n v="641454.5454545454"/>
    <s v="카페24고체향수솔리드퍼퓸 세트향=커플세트(이그나이트 + 스테이포에버), 세트 선택=1 SET210101"/>
  </r>
  <r>
    <x v="249"/>
    <s v="목"/>
    <x v="11"/>
    <s v="카페24"/>
    <s v="솔리드퍼퓸 스테이포에버 002제품선택=스테이포에버 1개"/>
    <n v="181"/>
    <x v="0"/>
    <s v="스테이포에버"/>
    <n v="210101"/>
    <m/>
    <n v="6154000"/>
    <n v="5793991"/>
    <n v="469152"/>
    <n v="5594545.454545454"/>
    <s v="카페24고체향수솔리드퍼퓸 스테이포에버 002제품선택=스테이포에버 1개210101"/>
  </r>
  <r>
    <x v="249"/>
    <s v="목"/>
    <x v="11"/>
    <s v="카페24"/>
    <s v="솔리드퍼퓸 스테이포에버 002제품선택=best스테이포에버 2개[28% 할인]"/>
    <n v="79"/>
    <x v="0"/>
    <s v="스테이포에버 2set"/>
    <n v="210101"/>
    <m/>
    <n v="4645200"/>
    <n v="4373455.8"/>
    <n v="409536"/>
    <n v="4222909.090909091"/>
    <s v="카페24고체향수솔리드퍼퓸 스테이포에버 002제품선택=best스테이포에버 2개[28% 할인]210101"/>
  </r>
  <r>
    <x v="249"/>
    <s v="목"/>
    <x v="11"/>
    <s v="카페24"/>
    <s v="솔리드퍼퓸 스테이포에버 002제품선택=커플추천스테이포에버 + 이그나이트 세트"/>
    <n v="16"/>
    <x v="0"/>
    <s v="이그나이트 + 스테이포에버"/>
    <n v="210101"/>
    <m/>
    <n v="940800"/>
    <n v="885763.2"/>
    <n v="85520"/>
    <n v="855272.7272727272"/>
    <s v="카페24고체향수솔리드퍼퓸 스테이포에버 002제품선택=커플추천스테이포에버 + 이그나이트 세트210101"/>
  </r>
  <r>
    <x v="249"/>
    <s v="목"/>
    <x v="11"/>
    <s v="카페24"/>
    <s v="솔리드퍼퓸 스테이포에버 002쇼핑백=선물용 쇼핑백"/>
    <n v="7"/>
    <x v="2"/>
    <s v="쇼핑백"/>
    <n v="210101"/>
    <m/>
    <n v="14000"/>
    <n v="13181"/>
    <n v="5810"/>
    <n v="12727.27272727273"/>
    <s v="카페24쇼핑백솔리드퍼퓸 스테이포에버 002쇼핑백=선물용 쇼핑백210101"/>
  </r>
  <r>
    <x v="249"/>
    <s v="목"/>
    <x v="11"/>
    <s v="카페24"/>
    <s v="솔리드퍼퓸 스테이포에버 002 30ml"/>
    <n v="1"/>
    <x v="0"/>
    <s v="스테이포에버"/>
    <n v="210101"/>
    <m/>
    <n v="38000"/>
    <n v="35777"/>
    <n v="2592"/>
    <n v="34545.45454545454"/>
    <s v="카페24고체향수솔리드퍼퓸 스테이포에버 002 30ml210101"/>
  </r>
  <r>
    <x v="249"/>
    <s v="목"/>
    <x v="11"/>
    <s v="카페24"/>
    <s v="솔리드퍼퓸 이그나이트 001제품선택=이그나이트 솔리드퍼퓸 - 30ml"/>
    <n v="1"/>
    <x v="0"/>
    <s v="이그나이트"/>
    <n v="210101"/>
    <m/>
    <n v="34000"/>
    <n v="32011"/>
    <n v="2753"/>
    <n v="30909.09090909091"/>
    <s v="카페24고체향수솔리드퍼퓸 이그나이트 001제품선택=이그나이트 솔리드퍼퓸 - 30ml210101"/>
  </r>
  <r>
    <x v="249"/>
    <s v="목"/>
    <x v="11"/>
    <s v="카페24"/>
    <s v="유즈 솔리드퍼퓸 - 30ml향=스테이포에버 002 SOLID PERFUME, 세트 선택=1개"/>
    <n v="6"/>
    <x v="0"/>
    <s v="스테이포에버"/>
    <n v="210101"/>
    <m/>
    <n v="204000"/>
    <n v="192066"/>
    <n v="15552"/>
    <n v="185454.5454545454"/>
    <s v="카페24고체향수유즈 솔리드퍼퓸 - 30ml향=스테이포에버 002 SOLID PERFUME, 세트 선택=1개210101"/>
  </r>
  <r>
    <x v="249"/>
    <s v="목"/>
    <x v="11"/>
    <s v="카페24"/>
    <s v="유즈 솔리드퍼퓸 - 30ml향=커플세트(이그나이트 + 스테이포에버), 세트 선택=1 SET"/>
    <n v="2"/>
    <x v="0"/>
    <s v="이그나이트 + 스테이포에버"/>
    <n v="210101"/>
    <m/>
    <n v="117600"/>
    <n v="110720.4"/>
    <n v="10690"/>
    <n v="106909.0909090909"/>
    <s v="카페24고체향수유즈 솔리드퍼퓸 - 30ml향=커플세트(이그나이트 + 스테이포에버), 세트 선택=1 SET210101"/>
  </r>
  <r>
    <x v="249"/>
    <s v="목"/>
    <x v="11"/>
    <s v="카페24"/>
    <s v="유즈 솔리드퍼퓸 - 스테이포에버 002제품선택=스테이포에버 1개"/>
    <n v="75"/>
    <x v="0"/>
    <s v="스테이포에버"/>
    <n v="210101"/>
    <m/>
    <n v="2550000"/>
    <n v="2400825"/>
    <n v="194400"/>
    <n v="2318181.818181818"/>
    <s v="카페24고체향수유즈 솔리드퍼퓸 - 스테이포에버 002제품선택=스테이포에버 1개210101"/>
  </r>
  <r>
    <x v="249"/>
    <s v="목"/>
    <x v="11"/>
    <s v="카페24"/>
    <s v="유즈 솔리드퍼퓸 - 스테이포에버 002제품선택=best스테이포에버 2개[28% 할인]"/>
    <n v="28"/>
    <x v="0"/>
    <s v="스테이포에버 2set"/>
    <n v="210101"/>
    <m/>
    <n v="1646400"/>
    <n v="1550085.6"/>
    <n v="145152"/>
    <n v="1496727.272727273"/>
    <s v="카페24고체향수유즈 솔리드퍼퓸 - 스테이포에버 002제품선택=best스테이포에버 2개[28% 할인]210101"/>
  </r>
  <r>
    <x v="249"/>
    <s v="목"/>
    <x v="11"/>
    <s v="카페24"/>
    <s v="유즈 솔리드퍼퓸 - 스테이포에버 002제품선택=커플추천스테이포에버 + 이그나이트 세트"/>
    <n v="7"/>
    <x v="0"/>
    <s v="이그나이트 + 스테이포에버"/>
    <n v="210101"/>
    <m/>
    <n v="411600"/>
    <n v="387521.4"/>
    <n v="37415"/>
    <n v="374181.8181818182"/>
    <s v="카페24고체향수유즈 솔리드퍼퓸 - 스테이포에버 002제품선택=커플추천스테이포에버 + 이그나이트 세트210101"/>
  </r>
  <r>
    <x v="249"/>
    <s v="목"/>
    <x v="11"/>
    <s v="카페24"/>
    <s v="유즈 솔리드퍼퓸 - 스테이포에버 002쇼핑백=선물용 쇼핑백"/>
    <n v="1"/>
    <x v="2"/>
    <s v="쇼핑백"/>
    <n v="210101"/>
    <m/>
    <n v="2000"/>
    <n v="1883"/>
    <n v="830"/>
    <n v="1818.181818181818"/>
    <s v="카페24쇼핑백유즈 솔리드퍼퓸 - 스테이포에버 002쇼핑백=선물용 쇼핑백210101"/>
  </r>
  <r>
    <x v="249"/>
    <s v="목"/>
    <x v="11"/>
    <s v="카페24"/>
    <s v="유즈 솔리드퍼퓸 - 이그나이트 001제품선택=이그나이트 솔리드퍼퓸 - 30ml"/>
    <n v="1"/>
    <x v="0"/>
    <s v="이그나이트"/>
    <n v="210101"/>
    <m/>
    <n v="34000"/>
    <n v="34000"/>
    <n v="2753"/>
    <n v="30909.09090909091"/>
    <s v="카페24고체향수유즈 솔리드퍼퓸 - 이그나이트 001제품선택=이그나이트 솔리드퍼퓸 - 30ml210101"/>
  </r>
  <r>
    <x v="249"/>
    <s v="목"/>
    <x v="11"/>
    <s v="카페24"/>
    <s v="유즈 솔리드퍼퓸 - 이그나이트 001제품선택=이그나이트 2개 세트"/>
    <n v="1"/>
    <x v="0"/>
    <s v="이그나이트 2set"/>
    <n v="210101"/>
    <m/>
    <n v="58800"/>
    <n v="55360.2"/>
    <n v="5506"/>
    <n v="53454.54545454545"/>
    <s v="카페24고체향수유즈 솔리드퍼퓸 - 이그나이트 001제품선택=이그나이트 2개 세트210101"/>
  </r>
  <r>
    <x v="250"/>
    <s v="금"/>
    <x v="11"/>
    <s v="유즈 CS"/>
    <s v="솔리드퍼퓸 스테이포에버 002 30ml"/>
    <n v="1"/>
    <x v="0"/>
    <s v="스테이포에버"/>
    <n v="210101"/>
    <m/>
    <n v="0"/>
    <n v="0"/>
    <n v="2592"/>
    <n v="0"/>
    <s v="유즈 CS고체향수솔리드퍼퓸 스테이포에버 002 30ml210101"/>
  </r>
  <r>
    <x v="250"/>
    <s v="금"/>
    <x v="11"/>
    <s v="카페24"/>
    <s v="솔리드퍼퓸 세트향=이그나이트 001 SOLID PERFUME, 세트 선택=1개"/>
    <n v="3"/>
    <x v="0"/>
    <s v="이그나이트"/>
    <n v="210101"/>
    <m/>
    <n v="102000"/>
    <n v="96033"/>
    <n v="8259"/>
    <n v="92727.27272727272"/>
    <s v="카페24고체향수솔리드퍼퓸 세트향=이그나이트 001 SOLID PERFUME, 세트 선택=1개210101"/>
  </r>
  <r>
    <x v="250"/>
    <s v="금"/>
    <x v="11"/>
    <s v="카페24"/>
    <s v="솔리드퍼퓸 세트향=스테이포에버 002 SOLID PERFUME, 세트 선택=1개"/>
    <n v="12"/>
    <x v="0"/>
    <s v="스테이포에버"/>
    <n v="210101"/>
    <m/>
    <n v="408000"/>
    <n v="384132"/>
    <n v="31104"/>
    <n v="370909.0909090909"/>
    <s v="카페24고체향수솔리드퍼퓸 세트향=스테이포에버 002 SOLID PERFUME, 세트 선택=1개210101"/>
  </r>
  <r>
    <x v="250"/>
    <s v="금"/>
    <x v="11"/>
    <s v="카페24"/>
    <s v="솔리드퍼퓸 세트향=스테이포에버 002 SOLID PERFUME, 세트 선택=best 2개 (28% 할인)"/>
    <n v="4"/>
    <x v="0"/>
    <s v="스테이포에버 2set"/>
    <n v="210101"/>
    <m/>
    <n v="235200"/>
    <n v="221440.8"/>
    <n v="20736"/>
    <n v="213818.1818181818"/>
    <s v="카페24고체향수솔리드퍼퓸 세트향=스테이포에버 002 SOLID PERFUME, 세트 선택=best 2개 (28% 할인)210101"/>
  </r>
  <r>
    <x v="250"/>
    <s v="금"/>
    <x v="11"/>
    <s v="카페24"/>
    <s v="솔리드퍼퓸 세트향=커플세트(이그나이트 + 스테이포에버), 세트 선택=1 SET"/>
    <n v="8"/>
    <x v="0"/>
    <s v="이그나이트 + 스테이포에버"/>
    <n v="210101"/>
    <m/>
    <n v="470400"/>
    <n v="442881.6"/>
    <n v="42760"/>
    <n v="427636.3636363636"/>
    <s v="카페24고체향수솔리드퍼퓸 세트향=커플세트(이그나이트 + 스테이포에버), 세트 선택=1 SET210101"/>
  </r>
  <r>
    <x v="250"/>
    <s v="금"/>
    <x v="11"/>
    <s v="카페24"/>
    <s v="솔리드퍼퓸 스테이포에버 002제품선택=스테이포에버 1개"/>
    <n v="214"/>
    <x v="0"/>
    <s v="스테이포에버"/>
    <n v="210101"/>
    <m/>
    <n v="7276000"/>
    <n v="6850354"/>
    <n v="554688"/>
    <n v="6614545.454545454"/>
    <s v="카페24고체향수솔리드퍼퓸 스테이포에버 002제품선택=스테이포에버 1개210101"/>
  </r>
  <r>
    <x v="250"/>
    <s v="금"/>
    <x v="11"/>
    <s v="카페24"/>
    <s v="솔리드퍼퓸 스테이포에버 002제품선택=best스테이포에버 2개[28% 할인]"/>
    <n v="121"/>
    <x v="0"/>
    <s v="스테이포에버 2set"/>
    <n v="210101"/>
    <m/>
    <n v="7114800"/>
    <n v="6698584.2"/>
    <n v="627264"/>
    <n v="6467999.999999999"/>
    <s v="카페24고체향수솔리드퍼퓸 스테이포에버 002제품선택=best스테이포에버 2개[28% 할인]210101"/>
  </r>
  <r>
    <x v="250"/>
    <s v="금"/>
    <x v="11"/>
    <s v="카페24"/>
    <s v="솔리드퍼퓸 스테이포에버 002제품선택=커플추천스테이포에버 + 이그나이트 세트"/>
    <n v="14"/>
    <x v="0"/>
    <s v="이그나이트 + 스테이포에버"/>
    <n v="210101"/>
    <m/>
    <n v="823200"/>
    <n v="775042.8"/>
    <n v="74830"/>
    <n v="748363.6363636364"/>
    <s v="카페24고체향수솔리드퍼퓸 스테이포에버 002제품선택=커플추천스테이포에버 + 이그나이트 세트210101"/>
  </r>
  <r>
    <x v="250"/>
    <s v="금"/>
    <x v="11"/>
    <s v="카페24"/>
    <s v="솔리드퍼퓸 스테이포에버 002쇼핑백=선물용 쇼핑백"/>
    <n v="7"/>
    <x v="2"/>
    <s v="쇼핑백"/>
    <n v="210101"/>
    <m/>
    <n v="14000"/>
    <n v="13181"/>
    <n v="5810"/>
    <n v="12727.27272727273"/>
    <s v="카페24쇼핑백솔리드퍼퓸 스테이포에버 002쇼핑백=선물용 쇼핑백210101"/>
  </r>
  <r>
    <x v="250"/>
    <s v="금"/>
    <x v="11"/>
    <s v="카페24"/>
    <s v="솔리드퍼퓸 이그나이트 001제품선택=이그나이트 솔리드퍼퓸 - 30ml"/>
    <n v="4"/>
    <x v="0"/>
    <s v="이그나이트"/>
    <n v="210101"/>
    <m/>
    <n v="136000"/>
    <n v="128044"/>
    <n v="11012"/>
    <n v="123636.3636363636"/>
    <s v="카페24고체향수솔리드퍼퓸 이그나이트 001제품선택=이그나이트 솔리드퍼퓸 - 30ml210101"/>
  </r>
  <r>
    <x v="250"/>
    <s v="금"/>
    <x v="11"/>
    <s v="카페24"/>
    <s v="솔리드퍼퓸 이그나이트 001제품선택=이그나이트 2개 세트"/>
    <n v="1"/>
    <x v="0"/>
    <s v="이그나이트 2set"/>
    <n v="210101"/>
    <m/>
    <n v="58800"/>
    <n v="55360.2"/>
    <n v="5506"/>
    <n v="53454.54545454545"/>
    <s v="카페24고체향수솔리드퍼퓸 이그나이트 001제품선택=이그나이트 2개 세트210101"/>
  </r>
  <r>
    <x v="250"/>
    <s v="금"/>
    <x v="11"/>
    <s v="카페24"/>
    <s v="솔리드퍼퓸 이그나이트 001쇼핑백=선물용 쇼핑백"/>
    <n v="1"/>
    <x v="2"/>
    <s v="쇼핑백"/>
    <n v="210101"/>
    <m/>
    <n v="2000"/>
    <n v="1883"/>
    <n v="830"/>
    <n v="1818.181818181818"/>
    <s v="카페24쇼핑백솔리드퍼퓸 이그나이트 001쇼핑백=선물용 쇼핑백210101"/>
  </r>
  <r>
    <x v="250"/>
    <s v="금"/>
    <x v="11"/>
    <s v="카페24"/>
    <s v="유즈 솔리드퍼퓸 - 스테이포에버 002제품선택=스테이포에버 1개"/>
    <n v="2"/>
    <x v="0"/>
    <s v="스테이포에버"/>
    <n v="210101"/>
    <m/>
    <n v="68000"/>
    <n v="64022"/>
    <n v="5184"/>
    <n v="61818.18181818182"/>
    <s v="카페24고체향수유즈 솔리드퍼퓸 - 스테이포에버 002제품선택=스테이포에버 1개210101"/>
  </r>
  <r>
    <x v="250"/>
    <s v="금"/>
    <x v="11"/>
    <s v="카페24"/>
    <s v="유즈 솔리드퍼퓸 - 스테이포에버 002제품선택=best스테이포에버 2개[28% 할인]"/>
    <n v="2"/>
    <x v="0"/>
    <s v="스테이포에버 2set"/>
    <n v="210101"/>
    <m/>
    <n v="117600"/>
    <n v="110720.4"/>
    <n v="10368"/>
    <n v="106909.0909090909"/>
    <s v="카페24고체향수유즈 솔리드퍼퓸 - 스테이포에버 002제품선택=best스테이포에버 2개[28% 할인]210101"/>
  </r>
  <r>
    <x v="251"/>
    <s v="토"/>
    <x v="11"/>
    <s v="카페24"/>
    <s v="솔리드퍼퓸 세트향=이그나이트 001 SOLID PERFUME, 세트 선택=1개"/>
    <n v="1"/>
    <x v="0"/>
    <s v="이그나이트"/>
    <n v="210101"/>
    <m/>
    <n v="34000"/>
    <n v="32011"/>
    <n v="2753"/>
    <n v="30909.09090909091"/>
    <s v="카페24고체향수솔리드퍼퓸 세트향=이그나이트 001 SOLID PERFUME, 세트 선택=1개210101"/>
  </r>
  <r>
    <x v="251"/>
    <s v="토"/>
    <x v="11"/>
    <s v="카페24"/>
    <s v="솔리드퍼퓸 세트향=스테이포에버 002 SOLID PERFUME, 세트 선택=1개"/>
    <n v="5"/>
    <x v="0"/>
    <s v="스테이포에버"/>
    <n v="210101"/>
    <m/>
    <n v="170000"/>
    <n v="160055"/>
    <n v="12960"/>
    <n v="154545.4545454545"/>
    <s v="카페24고체향수솔리드퍼퓸 세트향=스테이포에버 002 SOLID PERFUME, 세트 선택=1개210101"/>
  </r>
  <r>
    <x v="251"/>
    <s v="토"/>
    <x v="11"/>
    <s v="카페24"/>
    <s v="솔리드퍼퓸 세트향=스테이포에버 002 SOLID PERFUME, 세트 선택=best 2개 (28% 할인)"/>
    <n v="6"/>
    <x v="0"/>
    <s v="스테이포에버 2set"/>
    <n v="210101"/>
    <m/>
    <n v="352800"/>
    <n v="332161.2"/>
    <n v="31104"/>
    <n v="320727.2727272727"/>
    <s v="카페24고체향수솔리드퍼퓸 세트향=스테이포에버 002 SOLID PERFUME, 세트 선택=best 2개 (28% 할인)210101"/>
  </r>
  <r>
    <x v="251"/>
    <s v="토"/>
    <x v="11"/>
    <s v="카페24"/>
    <s v="솔리드퍼퓸 세트향=커플세트(이그나이트 + 스테이포에버), 세트 선택=1 SET"/>
    <n v="10"/>
    <x v="0"/>
    <s v="이그나이트 + 스테이포에버"/>
    <n v="210101"/>
    <m/>
    <n v="588000"/>
    <n v="553602"/>
    <n v="53450"/>
    <n v="534545.4545454545"/>
    <s v="카페24고체향수솔리드퍼퓸 세트향=커플세트(이그나이트 + 스테이포에버), 세트 선택=1 SET210101"/>
  </r>
  <r>
    <x v="251"/>
    <s v="토"/>
    <x v="11"/>
    <s v="카페24"/>
    <s v="솔리드퍼퓸 스테이포에버 002제품선택=스테이포에버 1개"/>
    <n v="266"/>
    <x v="0"/>
    <s v="스테이포에버"/>
    <n v="210101"/>
    <m/>
    <n v="9044000"/>
    <n v="8514926"/>
    <n v="689472"/>
    <n v="8221818.181818181"/>
    <s v="카페24고체향수솔리드퍼퓸 스테이포에버 002제품선택=스테이포에버 1개210101"/>
  </r>
  <r>
    <x v="251"/>
    <s v="토"/>
    <x v="11"/>
    <s v="카페24"/>
    <s v="솔리드퍼퓸 스테이포에버 002제품선택=best스테이포에버 2개[28% 할인]"/>
    <n v="100"/>
    <x v="0"/>
    <s v="스테이포에버 2set"/>
    <n v="210101"/>
    <m/>
    <n v="5880000"/>
    <n v="5536020"/>
    <n v="518400"/>
    <n v="5345454.545454545"/>
    <s v="카페24고체향수솔리드퍼퓸 스테이포에버 002제품선택=best스테이포에버 2개[28% 할인]210101"/>
  </r>
  <r>
    <x v="251"/>
    <s v="토"/>
    <x v="11"/>
    <s v="카페24"/>
    <s v="솔리드퍼퓸 스테이포에버 002제품선택=커플추천스테이포에버 + 이그나이트 세트"/>
    <n v="13"/>
    <x v="0"/>
    <s v="이그나이트 + 스테이포에버"/>
    <n v="210101"/>
    <m/>
    <n v="764400"/>
    <n v="719682.6"/>
    <n v="69485"/>
    <n v="694909.0909090908"/>
    <s v="카페24고체향수솔리드퍼퓸 스테이포에버 002제품선택=커플추천스테이포에버 + 이그나이트 세트210101"/>
  </r>
  <r>
    <x v="251"/>
    <s v="토"/>
    <x v="11"/>
    <s v="카페24"/>
    <s v="솔리드퍼퓸 스테이포에버 002쇼핑백=선물용 쇼핑백"/>
    <n v="16"/>
    <x v="2"/>
    <s v="쇼핑백"/>
    <n v="210101"/>
    <m/>
    <n v="32000"/>
    <n v="30128"/>
    <n v="13280"/>
    <n v="29090.90909090909"/>
    <s v="카페24쇼핑백솔리드퍼퓸 스테이포에버 002쇼핑백=선물용 쇼핑백210101"/>
  </r>
  <r>
    <x v="251"/>
    <s v="토"/>
    <x v="11"/>
    <s v="카페24"/>
    <s v="솔리드퍼퓸 이그나이트 001제품선택=이그나이트 솔리드퍼퓸 - 30ml"/>
    <n v="3"/>
    <x v="0"/>
    <s v="이그나이트"/>
    <n v="210101"/>
    <m/>
    <n v="102000"/>
    <n v="96033"/>
    <n v="8259"/>
    <n v="92727.27272727272"/>
    <s v="카페24고체향수솔리드퍼퓸 이그나이트 001제품선택=이그나이트 솔리드퍼퓸 - 30ml210101"/>
  </r>
  <r>
    <x v="251"/>
    <s v="토"/>
    <x v="11"/>
    <s v="카페24"/>
    <s v="솔리드퍼퓸 이그나이트 001제품선택=이그나이트 2개 세트"/>
    <n v="4"/>
    <x v="0"/>
    <s v="이그나이트 2set"/>
    <n v="210101"/>
    <m/>
    <n v="235200"/>
    <n v="221440.8"/>
    <n v="22024"/>
    <n v="213818.1818181818"/>
    <s v="카페24고체향수솔리드퍼퓸 이그나이트 001제품선택=이그나이트 2개 세트210101"/>
  </r>
  <r>
    <x v="251"/>
    <s v="토"/>
    <x v="11"/>
    <s v="카페24"/>
    <s v="유즈 솔리드퍼퓸 - 30ml향=이그나이트 001 SOLID PERFUME, 세트 선택=1개"/>
    <n v="1"/>
    <x v="0"/>
    <s v="이그나이트"/>
    <n v="210101"/>
    <m/>
    <n v="34000"/>
    <n v="32011"/>
    <n v="2753"/>
    <n v="30909.09090909091"/>
    <s v="카페24고체향수유즈 솔리드퍼퓸 - 30ml향=이그나이트 001 SOLID PERFUME, 세트 선택=1개210101"/>
  </r>
  <r>
    <x v="252"/>
    <s v="일"/>
    <x v="11"/>
    <s v="카페24"/>
    <s v="솔리드퍼퓸 세트향=스테이포에버 002 SOLID PERFUME, 세트 선택=1개"/>
    <n v="12"/>
    <x v="0"/>
    <s v="스테이포에버"/>
    <n v="210101"/>
    <m/>
    <n v="408000"/>
    <n v="384132"/>
    <n v="31104"/>
    <n v="370909.0909090909"/>
    <s v="카페24고체향수솔리드퍼퓸 세트향=스테이포에버 002 SOLID PERFUME, 세트 선택=1개210101"/>
  </r>
  <r>
    <x v="252"/>
    <s v="일"/>
    <x v="11"/>
    <s v="카페24"/>
    <s v="솔리드퍼퓸 세트향=스테이포에버 002 SOLID PERFUME, 세트 선택=best 2개 (28% 할인)"/>
    <n v="11"/>
    <x v="0"/>
    <s v="스테이포에버 2set"/>
    <n v="210101"/>
    <m/>
    <n v="646800"/>
    <n v="608962.2"/>
    <n v="57024"/>
    <n v="588000"/>
    <s v="카페24고체향수솔리드퍼퓸 세트향=스테이포에버 002 SOLID PERFUME, 세트 선택=best 2개 (28% 할인)210101"/>
  </r>
  <r>
    <x v="252"/>
    <s v="일"/>
    <x v="11"/>
    <s v="카페24"/>
    <s v="솔리드퍼퓸 세트향=커플세트(이그나이트 + 스테이포에버), 세트 선택=1 SET"/>
    <n v="15"/>
    <x v="0"/>
    <s v="이그나이트 + 스테이포에버"/>
    <n v="210101"/>
    <m/>
    <n v="882000"/>
    <n v="830403"/>
    <n v="80175"/>
    <n v="801818.1818181818"/>
    <s v="카페24고체향수솔리드퍼퓸 세트향=커플세트(이그나이트 + 스테이포에버), 세트 선택=1 SET210101"/>
  </r>
  <r>
    <x v="252"/>
    <s v="일"/>
    <x v="11"/>
    <s v="카페24"/>
    <s v="솔리드퍼퓸 세트향=커플세트(이그나이트 + 스테이포에버), 세트 선택=2 SET (42% 할인)"/>
    <n v="3"/>
    <x v="0"/>
    <s v="이그나이트 + 스테이포에버"/>
    <n v="210101"/>
    <m/>
    <n v="176400"/>
    <n v="166080.6"/>
    <n v="16035"/>
    <n v="160363.6363636364"/>
    <s v="카페24고체향수솔리드퍼퓸 세트향=커플세트(이그나이트 + 스테이포에버), 세트 선택=2 SET (42% 할인)210101"/>
  </r>
  <r>
    <x v="252"/>
    <s v="일"/>
    <x v="11"/>
    <s v="카페24"/>
    <s v="솔리드퍼퓸 스테이포에버 002제품선택=스테이포에버 1개"/>
    <n v="270"/>
    <x v="0"/>
    <s v="스테이포에버"/>
    <n v="210101"/>
    <m/>
    <n v="9180000"/>
    <n v="8642970"/>
    <n v="699840"/>
    <n v="8345454.545454545"/>
    <s v="카페24고체향수솔리드퍼퓸 스테이포에버 002제품선택=스테이포에버 1개210101"/>
  </r>
  <r>
    <x v="252"/>
    <s v="일"/>
    <x v="11"/>
    <s v="카페24"/>
    <s v="솔리드퍼퓸 스테이포에버 002제품선택=best스테이포에버 2개[28% 할인]"/>
    <n v="139"/>
    <x v="0"/>
    <s v="스테이포에버 2set"/>
    <n v="210101"/>
    <m/>
    <n v="8173200"/>
    <n v="7695067.8"/>
    <n v="720576"/>
    <n v="7430181.818181817"/>
    <s v="카페24고체향수솔리드퍼퓸 스테이포에버 002제품선택=best스테이포에버 2개[28% 할인]210101"/>
  </r>
  <r>
    <x v="252"/>
    <s v="일"/>
    <x v="11"/>
    <s v="카페24"/>
    <s v="솔리드퍼퓸 스테이포에버 002제품선택=커플추천스테이포에버 + 이그나이트 세트"/>
    <n v="18"/>
    <x v="0"/>
    <s v="이그나이트 + 스테이포에버"/>
    <n v="210101"/>
    <m/>
    <n v="1058400"/>
    <n v="996483.6"/>
    <n v="96210"/>
    <n v="962181.8181818181"/>
    <s v="카페24고체향수솔리드퍼퓸 스테이포에버 002제품선택=커플추천스테이포에버 + 이그나이트 세트210101"/>
  </r>
  <r>
    <x v="252"/>
    <s v="일"/>
    <x v="11"/>
    <s v="카페24"/>
    <s v="솔리드퍼퓸 스테이포에버 002쇼핑백=선물용 쇼핑백"/>
    <n v="17"/>
    <x v="2"/>
    <s v="쇼핑백"/>
    <n v="210101"/>
    <m/>
    <n v="34000"/>
    <n v="32011"/>
    <n v="14110"/>
    <n v="30909.09090909091"/>
    <s v="카페24쇼핑백솔리드퍼퓸 스테이포에버 002쇼핑백=선물용 쇼핑백210101"/>
  </r>
  <r>
    <x v="252"/>
    <s v="일"/>
    <x v="11"/>
    <s v="카페24"/>
    <s v="솔리드퍼퓸 이그나이트 001제품선택=이그나이트 솔리드퍼퓸 - 30ml"/>
    <n v="3"/>
    <x v="0"/>
    <s v="이그나이트"/>
    <n v="210101"/>
    <m/>
    <n v="102000"/>
    <n v="96033"/>
    <n v="8259"/>
    <n v="92727.27272727272"/>
    <s v="카페24고체향수솔리드퍼퓸 이그나이트 001제품선택=이그나이트 솔리드퍼퓸 - 30ml210101"/>
  </r>
  <r>
    <x v="252"/>
    <s v="일"/>
    <x v="11"/>
    <s v="카페24"/>
    <s v="솔리드퍼퓸 이그나이트 001제품선택=이그나이트 2개 세트"/>
    <n v="1"/>
    <x v="0"/>
    <s v="이그나이트 2set"/>
    <n v="210101"/>
    <m/>
    <n v="58800"/>
    <n v="55360.2"/>
    <n v="5506"/>
    <n v="53454.54545454545"/>
    <s v="카페24고체향수솔리드퍼퓸 이그나이트 001제품선택=이그나이트 2개 세트210101"/>
  </r>
  <r>
    <x v="253"/>
    <s v="월"/>
    <x v="11"/>
    <s v="카페24"/>
    <s v="솔리드퍼퓸 세트향=이그나이트 001 SOLID PERFUME, 세트 선택=1개"/>
    <n v="3"/>
    <x v="0"/>
    <s v="이그나이트"/>
    <n v="210101"/>
    <m/>
    <n v="102000"/>
    <n v="96033"/>
    <n v="8259"/>
    <n v="92727.27272727272"/>
    <s v="카페24고체향수솔리드퍼퓸 세트향=이그나이트 001 SOLID PERFUME, 세트 선택=1개210101"/>
  </r>
  <r>
    <x v="253"/>
    <s v="월"/>
    <x v="11"/>
    <s v="카페24"/>
    <s v="솔리드퍼퓸 세트향=이그나이트 001 SOLID PERFUME, 세트 선택=best 2개 (28% 할인)"/>
    <n v="1"/>
    <x v="0"/>
    <s v="이그나이트 2set"/>
    <n v="210101"/>
    <m/>
    <n v="58800"/>
    <n v="55360.2"/>
    <n v="5506"/>
    <n v="53454.54545454545"/>
    <s v="카페24고체향수솔리드퍼퓸 세트향=이그나이트 001 SOLID PERFUME, 세트 선택=best 2개 (28% 할인)210101"/>
  </r>
  <r>
    <x v="253"/>
    <s v="월"/>
    <x v="11"/>
    <s v="카페24"/>
    <s v="솔리드퍼퓸 세트향=스테이포에버 002 SOLID PERFUME, 세트 선택=1개"/>
    <n v="12"/>
    <x v="0"/>
    <s v="스테이포에버"/>
    <n v="210101"/>
    <m/>
    <n v="408000"/>
    <n v="384132"/>
    <n v="31104"/>
    <n v="370909.0909090909"/>
    <s v="카페24고체향수솔리드퍼퓸 세트향=스테이포에버 002 SOLID PERFUME, 세트 선택=1개210101"/>
  </r>
  <r>
    <x v="253"/>
    <s v="월"/>
    <x v="11"/>
    <s v="카페24"/>
    <s v="솔리드퍼퓸 세트향=스테이포에버 002 SOLID PERFUME, 세트 선택=best 2개 (28% 할인)"/>
    <n v="4"/>
    <x v="0"/>
    <s v="스테이포에버 2set"/>
    <n v="210101"/>
    <m/>
    <n v="235200"/>
    <n v="221440.8"/>
    <n v="20736"/>
    <n v="213818.1818181818"/>
    <s v="카페24고체향수솔리드퍼퓸 세트향=스테이포에버 002 SOLID PERFUME, 세트 선택=best 2개 (28% 할인)210101"/>
  </r>
  <r>
    <x v="253"/>
    <s v="월"/>
    <x v="11"/>
    <s v="카페24"/>
    <s v="솔리드퍼퓸 세트향=커플세트(이그나이트 + 스테이포에버), 세트 선택=1 SET"/>
    <n v="9"/>
    <x v="0"/>
    <s v="이그나이트 + 스테이포에버"/>
    <n v="210101"/>
    <m/>
    <n v="529200"/>
    <n v="498241.8"/>
    <n v="48105"/>
    <n v="481090.9090909091"/>
    <s v="카페24고체향수솔리드퍼퓸 세트향=커플세트(이그나이트 + 스테이포에버), 세트 선택=1 SET210101"/>
  </r>
  <r>
    <x v="253"/>
    <s v="월"/>
    <x v="11"/>
    <s v="카페24"/>
    <s v="솔리드퍼퓸 세트향=커플세트(이그나이트 + 스테이포에버), 세트 선택=2 SET (42% 할인)"/>
    <n v="1"/>
    <x v="0"/>
    <s v="이그나이트 + 스테이포에버"/>
    <n v="210101"/>
    <m/>
    <n v="58800"/>
    <n v="55360.2"/>
    <n v="5345"/>
    <n v="53454.54545454545"/>
    <s v="카페24고체향수솔리드퍼퓸 세트향=커플세트(이그나이트 + 스테이포에버), 세트 선택=2 SET (42% 할인)210101"/>
  </r>
  <r>
    <x v="253"/>
    <s v="월"/>
    <x v="11"/>
    <s v="카페24"/>
    <s v="솔리드퍼퓸 스테이포에버 002제품선택=스테이포에버 1개"/>
    <n v="291"/>
    <x v="0"/>
    <s v="스테이포에버"/>
    <n v="210101"/>
    <m/>
    <n v="9894000"/>
    <n v="9315201"/>
    <n v="754272"/>
    <n v="8994545.454545453"/>
    <s v="카페24고체향수솔리드퍼퓸 스테이포에버 002제품선택=스테이포에버 1개210101"/>
  </r>
  <r>
    <x v="253"/>
    <s v="월"/>
    <x v="11"/>
    <s v="카페24"/>
    <s v="솔리드퍼퓸 스테이포에버 002제품선택=best스테이포에버 2개[28% 할인]"/>
    <n v="123"/>
    <x v="0"/>
    <s v="스테이포에버 2set"/>
    <n v="210101"/>
    <m/>
    <n v="7232400"/>
    <n v="6809304.6"/>
    <n v="637632"/>
    <n v="6574909.090909091"/>
    <s v="카페24고체향수솔리드퍼퓸 스테이포에버 002제품선택=best스테이포에버 2개[28% 할인]210101"/>
  </r>
  <r>
    <x v="253"/>
    <s v="월"/>
    <x v="11"/>
    <s v="카페24"/>
    <s v="솔리드퍼퓸 스테이포에버 002제품선택=커플추천스테이포에버 + 이그나이트 세트"/>
    <n v="14"/>
    <x v="0"/>
    <s v="이그나이트 + 스테이포에버"/>
    <n v="210101"/>
    <m/>
    <n v="823200"/>
    <n v="775042.8"/>
    <n v="74830"/>
    <n v="748363.6363636364"/>
    <s v="카페24고체향수솔리드퍼퓸 스테이포에버 002제품선택=커플추천스테이포에버 + 이그나이트 세트210101"/>
  </r>
  <r>
    <x v="253"/>
    <s v="월"/>
    <x v="11"/>
    <s v="카페24"/>
    <s v="솔리드퍼퓸 스테이포에버 002쇼핑백=선물용 쇼핑백"/>
    <n v="7"/>
    <x v="2"/>
    <s v="쇼핑백"/>
    <n v="210101"/>
    <m/>
    <n v="14000"/>
    <n v="13181"/>
    <n v="5810"/>
    <n v="12727.27272727273"/>
    <s v="카페24쇼핑백솔리드퍼퓸 스테이포에버 002쇼핑백=선물용 쇼핑백210101"/>
  </r>
  <r>
    <x v="253"/>
    <s v="월"/>
    <x v="11"/>
    <s v="카페24"/>
    <s v="솔리드퍼퓸 스테이포에버 002 30ml"/>
    <n v="2"/>
    <x v="0"/>
    <s v="스테이포에버"/>
    <n v="210101"/>
    <m/>
    <n v="76000"/>
    <n v="71554"/>
    <n v="5184"/>
    <n v="69090.90909090909"/>
    <s v="카페24고체향수솔리드퍼퓸 스테이포에버 002 30ml210101"/>
  </r>
  <r>
    <x v="253"/>
    <s v="월"/>
    <x v="11"/>
    <s v="카페24"/>
    <s v="솔리드퍼퓸 이그나이트 001제품선택=이그나이트 솔리드퍼퓸 - 30ml"/>
    <n v="2"/>
    <x v="0"/>
    <s v="이그나이트"/>
    <n v="210101"/>
    <m/>
    <n v="68000"/>
    <n v="64022"/>
    <n v="5506"/>
    <n v="61818.18181818182"/>
    <s v="카페24고체향수솔리드퍼퓸 이그나이트 001제품선택=이그나이트 솔리드퍼퓸 - 30ml210101"/>
  </r>
  <r>
    <x v="253"/>
    <s v="월"/>
    <x v="11"/>
    <s v="카페24"/>
    <s v="솔리드퍼퓸 이그나이트 001제품선택=이그나이트 2개 세트"/>
    <n v="2"/>
    <x v="0"/>
    <s v="이그나이트 2set"/>
    <n v="210101"/>
    <m/>
    <n v="117600"/>
    <n v="110720.4"/>
    <n v="11012"/>
    <n v="106909.0909090909"/>
    <s v="카페24고체향수솔리드퍼퓸 이그나이트 001제품선택=이그나이트 2개 세트210101"/>
  </r>
  <r>
    <x v="253"/>
    <s v="월"/>
    <x v="11"/>
    <s v="카페24"/>
    <s v="솔리드퍼퓸 이그나이트 001 30ml"/>
    <n v="1"/>
    <x v="0"/>
    <s v="이그나이트"/>
    <n v="210101"/>
    <m/>
    <n v="34000"/>
    <n v="32011"/>
    <n v="2753"/>
    <n v="30909.09090909091"/>
    <s v="카페24고체향수솔리드퍼퓸 이그나이트 001 30ml210101"/>
  </r>
  <r>
    <x v="253"/>
    <s v="월"/>
    <x v="11"/>
    <s v="카페24"/>
    <s v="유즈 솔리드퍼퓸 - 스테이포에버 002제품선택=스테이포에버 1개"/>
    <n v="1"/>
    <x v="0"/>
    <s v="스테이포에버"/>
    <n v="210101"/>
    <m/>
    <n v="34000"/>
    <n v="32011"/>
    <n v="2592"/>
    <n v="30909.09090909091"/>
    <s v="카페24고체향수유즈 솔리드퍼퓸 - 스테이포에버 002제품선택=스테이포에버 1개210101"/>
  </r>
  <r>
    <x v="254"/>
    <s v="화"/>
    <x v="11"/>
    <s v="유즈 CS"/>
    <s v="솔리드퍼퓸 스테이포에버 002 30ml_CS"/>
    <n v="1"/>
    <x v="0"/>
    <s v="스테이포에버"/>
    <n v="210101"/>
    <m/>
    <n v="0"/>
    <n v="0"/>
    <n v="2592"/>
    <n v="0"/>
    <s v="유즈 CS고체향수솔리드퍼퓸 스테이포에버 002 30ml_CS210101"/>
  </r>
  <r>
    <x v="254"/>
    <s v="화"/>
    <x v="11"/>
    <s v="카페24"/>
    <s v="선물용 쇼핑백"/>
    <n v="1"/>
    <x v="2"/>
    <s v="쇼핑백"/>
    <n v="210101"/>
    <m/>
    <n v="2000"/>
    <n v="1883"/>
    <n v="830"/>
    <n v="1818.181818181818"/>
    <s v="카페24쇼핑백선물용 쇼핑백210101"/>
  </r>
  <r>
    <x v="254"/>
    <s v="화"/>
    <x v="11"/>
    <s v="카페24"/>
    <s v="솔리드퍼퓸 세트향=이그나이트 001 SOLID PERFUME, 세트 선택=1개"/>
    <n v="4"/>
    <x v="0"/>
    <s v="이그나이트"/>
    <n v="210101"/>
    <m/>
    <n v="136000"/>
    <n v="128044"/>
    <n v="11012"/>
    <n v="123636.3636363636"/>
    <s v="카페24고체향수솔리드퍼퓸 세트향=이그나이트 001 SOLID PERFUME, 세트 선택=1개210101"/>
  </r>
  <r>
    <x v="254"/>
    <s v="화"/>
    <x v="11"/>
    <s v="카페24"/>
    <s v="솔리드퍼퓸 세트향=스테이포에버 002 SOLID PERFUME, 세트 선택=1개"/>
    <n v="11"/>
    <x v="0"/>
    <s v="스테이포에버"/>
    <n v="210101"/>
    <m/>
    <n v="374000"/>
    <n v="352121"/>
    <n v="28512"/>
    <n v="340000"/>
    <s v="카페24고체향수솔리드퍼퓸 세트향=스테이포에버 002 SOLID PERFUME, 세트 선택=1개210101"/>
  </r>
  <r>
    <x v="254"/>
    <s v="화"/>
    <x v="11"/>
    <s v="카페24"/>
    <s v="솔리드퍼퓸 세트향=스테이포에버 002 SOLID PERFUME, 세트 선택=best 2개 (28% 할인)"/>
    <n v="9"/>
    <x v="0"/>
    <s v="스테이포에버 2set"/>
    <n v="210101"/>
    <m/>
    <n v="529200"/>
    <n v="498241.8"/>
    <n v="46656"/>
    <n v="481090.9090909091"/>
    <s v="카페24고체향수솔리드퍼퓸 세트향=스테이포에버 002 SOLID PERFUME, 세트 선택=best 2개 (28% 할인)210101"/>
  </r>
  <r>
    <x v="254"/>
    <s v="화"/>
    <x v="11"/>
    <s v="카페24"/>
    <s v="솔리드퍼퓸 세트향=커플세트(이그나이트 + 스테이포에버), 세트 선택=1 SET"/>
    <n v="5"/>
    <x v="0"/>
    <s v="이그나이트 + 스테이포에버"/>
    <n v="210101"/>
    <m/>
    <n v="294000"/>
    <n v="276801"/>
    <n v="26725"/>
    <n v="267272.7272727272"/>
    <s v="카페24고체향수솔리드퍼퓸 세트향=커플세트(이그나이트 + 스테이포에버), 세트 선택=1 SET210101"/>
  </r>
  <r>
    <x v="254"/>
    <s v="화"/>
    <x v="11"/>
    <s v="카페24"/>
    <s v="솔리드퍼퓸 세트향=커플세트(이그나이트 + 스테이포에버), 세트 선택=2 SET (42% 할인)"/>
    <n v="1"/>
    <x v="0"/>
    <s v="이그나이트 + 스테이포에버"/>
    <n v="210101"/>
    <m/>
    <n v="58800"/>
    <n v="55360.2"/>
    <n v="5345"/>
    <n v="53454.54545454545"/>
    <s v="카페24고체향수솔리드퍼퓸 세트향=커플세트(이그나이트 + 스테이포에버), 세트 선택=2 SET (42% 할인)210101"/>
  </r>
  <r>
    <x v="254"/>
    <s v="화"/>
    <x v="11"/>
    <s v="카페24"/>
    <s v="솔리드퍼퓸 스테이포에버 002제품선택=스테이포에버 1개"/>
    <n v="279"/>
    <x v="0"/>
    <s v="스테이포에버"/>
    <n v="210101"/>
    <m/>
    <n v="9486000"/>
    <n v="8931069"/>
    <n v="723168"/>
    <n v="8623636.363636363"/>
    <s v="카페24고체향수솔리드퍼퓸 스테이포에버 002제품선택=스테이포에버 1개210101"/>
  </r>
  <r>
    <x v="254"/>
    <s v="화"/>
    <x v="11"/>
    <s v="카페24"/>
    <s v="솔리드퍼퓸 스테이포에버 002제품선택=best스테이포에버 2개[28% 할인]"/>
    <n v="118"/>
    <x v="0"/>
    <s v="스테이포에버 2set"/>
    <n v="210101"/>
    <m/>
    <n v="6938400"/>
    <n v="6532503.6"/>
    <n v="611712"/>
    <n v="6307636.363636363"/>
    <s v="카페24고체향수솔리드퍼퓸 스테이포에버 002제품선택=best스테이포에버 2개[28% 할인]210101"/>
  </r>
  <r>
    <x v="254"/>
    <s v="화"/>
    <x v="11"/>
    <s v="카페24"/>
    <s v="솔리드퍼퓸 스테이포에버 002제품선택=커플추천스테이포에버 + 이그나이트 세트"/>
    <n v="8"/>
    <x v="0"/>
    <s v="이그나이트 + 스테이포에버"/>
    <n v="210101"/>
    <m/>
    <n v="470400"/>
    <n v="442881.6"/>
    <n v="42760"/>
    <n v="427636.3636363636"/>
    <s v="카페24고체향수솔리드퍼퓸 스테이포에버 002제품선택=커플추천스테이포에버 + 이그나이트 세트210101"/>
  </r>
  <r>
    <x v="254"/>
    <s v="화"/>
    <x v="11"/>
    <s v="카페24"/>
    <s v="솔리드퍼퓸 스테이포에버 002쇼핑백=선물용 쇼핑백"/>
    <n v="6"/>
    <x v="2"/>
    <s v="쇼핑백"/>
    <n v="210101"/>
    <m/>
    <n v="12000"/>
    <n v="11298"/>
    <n v="4980"/>
    <n v="10909.09090909091"/>
    <s v="카페24쇼핑백솔리드퍼퓸 스테이포에버 002쇼핑백=선물용 쇼핑백210101"/>
  </r>
  <r>
    <x v="254"/>
    <s v="화"/>
    <x v="11"/>
    <s v="카페24"/>
    <s v="솔리드퍼퓸 이그나이트 001제품선택=이그나이트 솔리드퍼퓸 - 30ml"/>
    <n v="6"/>
    <x v="0"/>
    <s v="이그나이트"/>
    <n v="210101"/>
    <m/>
    <n v="204000"/>
    <n v="192066"/>
    <n v="16518"/>
    <n v="185454.5454545454"/>
    <s v="카페24고체향수솔리드퍼퓸 이그나이트 001제품선택=이그나이트 솔리드퍼퓸 - 30ml210101"/>
  </r>
  <r>
    <x v="254"/>
    <s v="화"/>
    <x v="11"/>
    <s v="카페24"/>
    <s v="솔리드퍼퓸 이그나이트 001제품선택=이그나이트 2개 세트"/>
    <n v="2"/>
    <x v="0"/>
    <s v="이그나이트 2set"/>
    <n v="210101"/>
    <m/>
    <n v="117600"/>
    <n v="110720.4"/>
    <n v="11012"/>
    <n v="106909.0909090909"/>
    <s v="카페24고체향수솔리드퍼퓸 이그나이트 001제품선택=이그나이트 2개 세트210101"/>
  </r>
  <r>
    <x v="254"/>
    <s v="화"/>
    <x v="11"/>
    <s v="카페24"/>
    <s v="유즈 솔리드퍼퓸 - 스테이포에버 002제품선택=스테이포에버 1개"/>
    <n v="1"/>
    <x v="0"/>
    <s v="스테이포에버"/>
    <n v="210101"/>
    <m/>
    <n v="34000"/>
    <n v="32011"/>
    <n v="2592"/>
    <n v="30909.09090909091"/>
    <s v="카페24고체향수유즈 솔리드퍼퓸 - 스테이포에버 002제품선택=스테이포에버 1개210101"/>
  </r>
  <r>
    <x v="254"/>
    <s v="화"/>
    <x v="11"/>
    <s v="카페24"/>
    <s v="유즈 솔리드퍼퓸 - 스테이포에버 002제품선택=커플추천스테이포에버 + 이그나이트 세트"/>
    <n v="1"/>
    <x v="0"/>
    <s v="이그나이트 + 스테이포에버"/>
    <n v="210101"/>
    <m/>
    <n v="58800"/>
    <n v="55360.2"/>
    <n v="5345"/>
    <n v="53454.54545454545"/>
    <s v="카페24고체향수유즈 솔리드퍼퓸 - 스테이포에버 002제품선택=커플추천스테이포에버 + 이그나이트 세트210101"/>
  </r>
  <r>
    <x v="255"/>
    <s v="수"/>
    <x v="11"/>
    <s v="유즈 CS"/>
    <s v="솔리드퍼퓸 스테이포에버 002 30ml"/>
    <n v="3"/>
    <x v="0"/>
    <s v="스테이포에버"/>
    <n v="210101"/>
    <m/>
    <n v="0"/>
    <n v="0"/>
    <n v="7776"/>
    <n v="0"/>
    <s v="유즈 CS고체향수솔리드퍼퓸 스테이포에버 002 30ml210101"/>
  </r>
  <r>
    <x v="255"/>
    <s v="수"/>
    <x v="11"/>
    <s v="유즈 CS"/>
    <s v="솔리드퍼퓸 스테이포에버 002 30ml_CS"/>
    <n v="6"/>
    <x v="0"/>
    <s v="스테이포에버"/>
    <n v="210101"/>
    <m/>
    <n v="0"/>
    <n v="0"/>
    <n v="15552"/>
    <n v="0"/>
    <s v="유즈 CS고체향수솔리드퍼퓸 스테이포에버 002 30ml_CS210101"/>
  </r>
  <r>
    <x v="255"/>
    <s v="수"/>
    <x v="11"/>
    <s v="카페24"/>
    <s v="선물용 쇼핑백"/>
    <n v="7"/>
    <x v="2"/>
    <s v="쇼핑백"/>
    <n v="210101"/>
    <m/>
    <n v="14000"/>
    <n v="13181"/>
    <n v="5810"/>
    <n v="12727.27272727273"/>
    <s v="카페24쇼핑백선물용 쇼핑백210101"/>
  </r>
  <r>
    <x v="255"/>
    <s v="수"/>
    <x v="11"/>
    <s v="카페24"/>
    <s v="솔리드퍼퓸 세트향=이그나이트 001 SOLID PERFUME, 세트 선택=1개"/>
    <n v="5"/>
    <x v="0"/>
    <s v="이그나이트"/>
    <n v="210101"/>
    <m/>
    <n v="170000"/>
    <n v="160055"/>
    <n v="13765"/>
    <n v="154545.4545454545"/>
    <s v="카페24고체향수솔리드퍼퓸 세트향=이그나이트 001 SOLID PERFUME, 세트 선택=1개210101"/>
  </r>
  <r>
    <x v="255"/>
    <s v="수"/>
    <x v="11"/>
    <s v="카페24"/>
    <s v="솔리드퍼퓸 세트향=이그나이트 001 SOLID PERFUME, 세트 선택=best 2개 (28% 할인)"/>
    <n v="4"/>
    <x v="0"/>
    <s v="이그나이트 2set"/>
    <n v="210101"/>
    <m/>
    <n v="235200"/>
    <n v="221440.8"/>
    <n v="22024"/>
    <n v="213818.1818181818"/>
    <s v="카페24고체향수솔리드퍼퓸 세트향=이그나이트 001 SOLID PERFUME, 세트 선택=best 2개 (28% 할인)210101"/>
  </r>
  <r>
    <x v="255"/>
    <s v="수"/>
    <x v="11"/>
    <s v="카페24"/>
    <s v="솔리드퍼퓸 세트향=스테이포에버 002 SOLID PERFUME, 세트 선택=1개"/>
    <n v="51"/>
    <x v="0"/>
    <s v="스테이포에버"/>
    <n v="210101"/>
    <m/>
    <n v="1734000"/>
    <n v="1632561"/>
    <n v="132192"/>
    <n v="1576363.636363636"/>
    <s v="카페24고체향수솔리드퍼퓸 세트향=스테이포에버 002 SOLID PERFUME, 세트 선택=1개210101"/>
  </r>
  <r>
    <x v="255"/>
    <s v="수"/>
    <x v="11"/>
    <s v="카페24"/>
    <s v="솔리드퍼퓸 세트향=스테이포에버 002 SOLID PERFUME, 세트 선택=best 2개 (28% 할인)"/>
    <n v="66"/>
    <x v="0"/>
    <s v="스테이포에버 2set"/>
    <n v="210101"/>
    <m/>
    <n v="3880800"/>
    <n v="3653773.2"/>
    <n v="342144"/>
    <n v="3528000"/>
    <s v="카페24고체향수솔리드퍼퓸 세트향=스테이포에버 002 SOLID PERFUME, 세트 선택=best 2개 (28% 할인)210101"/>
  </r>
  <r>
    <x v="255"/>
    <s v="수"/>
    <x v="11"/>
    <s v="카페24"/>
    <s v="솔리드퍼퓸 세트향=커플세트(이그나이트 + 스테이포에버), 세트 선택=1 SET"/>
    <n v="52"/>
    <x v="0"/>
    <s v="이그나이트 + 스테이포에버"/>
    <n v="210101"/>
    <m/>
    <n v="3057600"/>
    <n v="2878730.4"/>
    <n v="277940"/>
    <n v="2779636.363636363"/>
    <s v="카페24고체향수솔리드퍼퓸 세트향=커플세트(이그나이트 + 스테이포에버), 세트 선택=1 SET210101"/>
  </r>
  <r>
    <x v="255"/>
    <s v="수"/>
    <x v="11"/>
    <s v="카페24"/>
    <s v="솔리드퍼퓸 세트향=커플세트(이그나이트 + 스테이포에버), 세트 선택=2 SET (42% 할인)"/>
    <n v="9"/>
    <x v="0"/>
    <s v="이그나이트 + 스테이포에버"/>
    <n v="210101"/>
    <m/>
    <n v="529200"/>
    <n v="498241.8"/>
    <n v="48105"/>
    <n v="481090.9090909091"/>
    <s v="카페24고체향수솔리드퍼퓸 세트향=커플세트(이그나이트 + 스테이포에버), 세트 선택=2 SET (42% 할인)210101"/>
  </r>
  <r>
    <x v="255"/>
    <s v="수"/>
    <x v="11"/>
    <s v="카페24"/>
    <s v="솔리드퍼퓸 스테이포에버 002제품선택=스테이포에버 1개"/>
    <n v="279"/>
    <x v="0"/>
    <s v="스테이포에버"/>
    <n v="210101"/>
    <m/>
    <n v="9486000"/>
    <n v="8931069"/>
    <n v="723168"/>
    <n v="8623636.363636363"/>
    <s v="카페24고체향수솔리드퍼퓸 스테이포에버 002제품선택=스테이포에버 1개210101"/>
  </r>
  <r>
    <x v="255"/>
    <s v="수"/>
    <x v="11"/>
    <s v="카페24"/>
    <s v="솔리드퍼퓸 스테이포에버 002제품선택=best스테이포에버 2개[28% 할인]"/>
    <n v="162"/>
    <x v="0"/>
    <s v="스테이포에버 2set"/>
    <n v="210101"/>
    <m/>
    <n v="9525600"/>
    <n v="8968352.4"/>
    <n v="839808"/>
    <n v="8659636.363636363"/>
    <s v="카페24고체향수솔리드퍼퓸 스테이포에버 002제품선택=best스테이포에버 2개[28% 할인]210101"/>
  </r>
  <r>
    <x v="255"/>
    <s v="수"/>
    <x v="11"/>
    <s v="카페24"/>
    <s v="솔리드퍼퓸 스테이포에버 002제품선택=커플추천스테이포에버 + 이그나이트 세트"/>
    <n v="24"/>
    <x v="0"/>
    <s v="이그나이트 + 스테이포에버"/>
    <n v="210101"/>
    <m/>
    <n v="1411200"/>
    <n v="1328644.8"/>
    <n v="128280"/>
    <n v="1282909.090909091"/>
    <s v="카페24고체향수솔리드퍼퓸 스테이포에버 002제품선택=커플추천스테이포에버 + 이그나이트 세트210101"/>
  </r>
  <r>
    <x v="255"/>
    <s v="수"/>
    <x v="11"/>
    <s v="카페24"/>
    <s v="솔리드퍼퓸 스테이포에버 002쇼핑백=선물용 쇼핑백"/>
    <n v="10"/>
    <x v="2"/>
    <s v="쇼핑백"/>
    <n v="210101"/>
    <m/>
    <n v="20000"/>
    <n v="18830"/>
    <n v="8300"/>
    <n v="18181.81818181818"/>
    <s v="카페24쇼핑백솔리드퍼퓸 스테이포에버 002쇼핑백=선물용 쇼핑백210101"/>
  </r>
  <r>
    <x v="255"/>
    <s v="수"/>
    <x v="11"/>
    <s v="카페24"/>
    <s v="솔리드퍼퓸 이그나이트 001제품선택=이그나이트 솔리드퍼퓸 - 30ml"/>
    <n v="4"/>
    <x v="0"/>
    <s v="이그나이트"/>
    <n v="210101"/>
    <m/>
    <n v="136000"/>
    <n v="128044"/>
    <n v="11012"/>
    <n v="123636.3636363636"/>
    <s v="카페24고체향수솔리드퍼퓸 이그나이트 001제품선택=이그나이트 솔리드퍼퓸 - 30ml210101"/>
  </r>
  <r>
    <x v="255"/>
    <s v="수"/>
    <x v="11"/>
    <s v="카페24"/>
    <s v="솔리드퍼퓸 이그나이트 001쇼핑백=선물용 쇼핑백"/>
    <n v="2"/>
    <x v="2"/>
    <s v="쇼핑백"/>
    <n v="210101"/>
    <m/>
    <n v="4000"/>
    <n v="3766"/>
    <n v="1660"/>
    <n v="3636.363636363636"/>
    <s v="카페24쇼핑백솔리드퍼퓸 이그나이트 001쇼핑백=선물용 쇼핑백210101"/>
  </r>
  <r>
    <x v="255"/>
    <s v="수"/>
    <x v="11"/>
    <s v="카페24"/>
    <s v="유즈 솔리드퍼퓸 - 스테이포에버 002제품선택=스테이포에버 1개"/>
    <n v="1"/>
    <x v="0"/>
    <s v="스테이포에버"/>
    <n v="210101"/>
    <m/>
    <n v="34000"/>
    <n v="32011"/>
    <n v="2592"/>
    <n v="30909.09090909091"/>
    <s v="카페24고체향수유즈 솔리드퍼퓸 - 스테이포에버 002제품선택=스테이포에버 1개210101"/>
  </r>
  <r>
    <x v="256"/>
    <s v="목"/>
    <x v="11"/>
    <s v="유즈 CS"/>
    <s v="솔리드퍼퓸 스테이포에버 002 30ml_CS"/>
    <n v="1"/>
    <x v="0"/>
    <s v="스테이포에버"/>
    <n v="210101"/>
    <m/>
    <n v="0"/>
    <n v="0"/>
    <n v="2592"/>
    <n v="0"/>
    <s v="유즈 CS고체향수솔리드퍼퓸 스테이포에버 002 30ml_CS210101"/>
  </r>
  <r>
    <x v="256"/>
    <s v="목"/>
    <x v="11"/>
    <s v="카페24"/>
    <s v="선물용 쇼핑백"/>
    <n v="1"/>
    <x v="2"/>
    <s v="쇼핑백"/>
    <n v="210101"/>
    <m/>
    <n v="2000"/>
    <n v="1883"/>
    <n v="830"/>
    <n v="1818.181818181818"/>
    <s v="카페24쇼핑백선물용 쇼핑백210101"/>
  </r>
  <r>
    <x v="256"/>
    <s v="목"/>
    <x v="11"/>
    <s v="카페24"/>
    <s v="솔리드퍼퓸 세트향=이그나이트 001 SOLID PERFUME, 세트 선택=1개"/>
    <n v="2"/>
    <x v="0"/>
    <s v="이그나이트"/>
    <n v="210101"/>
    <m/>
    <n v="68000"/>
    <n v="64022"/>
    <n v="5506"/>
    <n v="61818.18181818182"/>
    <s v="카페24고체향수솔리드퍼퓸 세트향=이그나이트 001 SOLID PERFUME, 세트 선택=1개210101"/>
  </r>
  <r>
    <x v="256"/>
    <s v="목"/>
    <x v="11"/>
    <s v="카페24"/>
    <s v="솔리드퍼퓸 세트향=이그나이트 001 SOLID PERFUME, 세트 선택=best 2개 (28% 할인)"/>
    <n v="1"/>
    <x v="0"/>
    <s v="이그나이트 2set"/>
    <n v="210101"/>
    <m/>
    <n v="58800"/>
    <n v="55360.2"/>
    <n v="5506"/>
    <n v="53454.54545454545"/>
    <s v="카페24고체향수솔리드퍼퓸 세트향=이그나이트 001 SOLID PERFUME, 세트 선택=best 2개 (28% 할인)210101"/>
  </r>
  <r>
    <x v="256"/>
    <s v="목"/>
    <x v="11"/>
    <s v="카페24"/>
    <s v="솔리드퍼퓸 세트향=스테이포에버 002 SOLID PERFUME, 세트 선택=1개"/>
    <n v="21"/>
    <x v="0"/>
    <s v="스테이포에버"/>
    <n v="210101"/>
    <m/>
    <n v="714000"/>
    <n v="672231"/>
    <n v="54432"/>
    <n v="649090.9090909091"/>
    <s v="카페24고체향수솔리드퍼퓸 세트향=스테이포에버 002 SOLID PERFUME, 세트 선택=1개210101"/>
  </r>
  <r>
    <x v="256"/>
    <s v="목"/>
    <x v="11"/>
    <s v="카페24"/>
    <s v="솔리드퍼퓸 세트향=스테이포에버 002 SOLID PERFUME, 세트 선택=best 2개 (28% 할인)"/>
    <n v="6"/>
    <x v="0"/>
    <s v="스테이포에버 2set"/>
    <n v="210101"/>
    <m/>
    <n v="352800"/>
    <n v="332161.2"/>
    <n v="31104"/>
    <n v="320727.2727272727"/>
    <s v="카페24고체향수솔리드퍼퓸 세트향=스테이포에버 002 SOLID PERFUME, 세트 선택=best 2개 (28% 할인)210101"/>
  </r>
  <r>
    <x v="256"/>
    <s v="목"/>
    <x v="11"/>
    <s v="카페24"/>
    <s v="솔리드퍼퓸 세트향=커플세트(이그나이트 + 스테이포에버), 세트 선택=1 SET"/>
    <n v="21"/>
    <x v="0"/>
    <s v="이그나이트 + 스테이포에버"/>
    <n v="210101"/>
    <m/>
    <n v="1234800"/>
    <n v="1162564.2"/>
    <n v="112245"/>
    <n v="1122545.454545454"/>
    <s v="카페24고체향수솔리드퍼퓸 세트향=커플세트(이그나이트 + 스테이포에버), 세트 선택=1 SET210101"/>
  </r>
  <r>
    <x v="256"/>
    <s v="목"/>
    <x v="11"/>
    <s v="카페24"/>
    <s v="솔리드퍼퓸 세트향=커플세트(이그나이트 + 스테이포에버), 세트 선택=2 SET (42% 할인)"/>
    <n v="1"/>
    <x v="0"/>
    <s v="이그나이트 + 스테이포에버"/>
    <n v="210101"/>
    <m/>
    <n v="58800"/>
    <n v="55360.2"/>
    <n v="5345"/>
    <n v="53454.54545454545"/>
    <s v="카페24고체향수솔리드퍼퓸 세트향=커플세트(이그나이트 + 스테이포에버), 세트 선택=2 SET (42% 할인)210101"/>
  </r>
  <r>
    <x v="256"/>
    <s v="목"/>
    <x v="11"/>
    <s v="카페24"/>
    <s v="솔리드퍼퓸 스테이포에버 002제품선택=스테이포에버 1개"/>
    <n v="221"/>
    <x v="0"/>
    <s v="스테이포에버"/>
    <n v="210101"/>
    <m/>
    <n v="7514000"/>
    <n v="7074431"/>
    <n v="572832"/>
    <n v="6830909.09090909"/>
    <s v="카페24고체향수솔리드퍼퓸 스테이포에버 002제품선택=스테이포에버 1개210101"/>
  </r>
  <r>
    <x v="256"/>
    <s v="목"/>
    <x v="11"/>
    <s v="카페24"/>
    <s v="솔리드퍼퓸 스테이포에버 002제품선택=best스테이포에버 2개[28% 할인]"/>
    <n v="141"/>
    <x v="0"/>
    <s v="스테이포에버 2set"/>
    <n v="210101"/>
    <m/>
    <n v="8290800"/>
    <n v="7805788.2"/>
    <n v="730944"/>
    <n v="7537090.909090908"/>
    <s v="카페24고체향수솔리드퍼퓸 스테이포에버 002제품선택=best스테이포에버 2개[28% 할인]210101"/>
  </r>
  <r>
    <x v="256"/>
    <s v="목"/>
    <x v="11"/>
    <s v="카페24"/>
    <s v="솔리드퍼퓸 스테이포에버 002제품선택=커플추천스테이포에버 + 이그나이트 세트"/>
    <n v="17"/>
    <x v="0"/>
    <s v="이그나이트 + 스테이포에버"/>
    <n v="210101"/>
    <m/>
    <n v="999600"/>
    <n v="941123.4"/>
    <n v="90865"/>
    <n v="908727.2727272727"/>
    <s v="카페24고체향수솔리드퍼퓸 스테이포에버 002제품선택=커플추천스테이포에버 + 이그나이트 세트210101"/>
  </r>
  <r>
    <x v="256"/>
    <s v="목"/>
    <x v="11"/>
    <s v="카페24"/>
    <s v="솔리드퍼퓸 스테이포에버 002쇼핑백=선물용 쇼핑백"/>
    <n v="9"/>
    <x v="2"/>
    <s v="쇼핑백"/>
    <n v="210101"/>
    <m/>
    <n v="18000"/>
    <n v="16947"/>
    <n v="7470"/>
    <n v="16363.63636363636"/>
    <s v="카페24쇼핑백솔리드퍼퓸 스테이포에버 002쇼핑백=선물용 쇼핑백210101"/>
  </r>
  <r>
    <x v="256"/>
    <s v="목"/>
    <x v="11"/>
    <s v="카페24"/>
    <s v="솔리드퍼퓸 스테이포에버 002 30ml"/>
    <n v="4"/>
    <x v="0"/>
    <s v="스테이포에버"/>
    <n v="210101"/>
    <m/>
    <n v="152000"/>
    <n v="143108"/>
    <n v="10368"/>
    <n v="138181.8181818182"/>
    <s v="카페24고체향수솔리드퍼퓸 스테이포에버 002 30ml210101"/>
  </r>
  <r>
    <x v="256"/>
    <s v="목"/>
    <x v="11"/>
    <s v="카페24"/>
    <s v="솔리드퍼퓸 이그나이트 001제품선택=이그나이트 솔리드퍼퓸 - 30ml"/>
    <n v="5"/>
    <x v="0"/>
    <s v="이그나이트"/>
    <n v="210101"/>
    <m/>
    <n v="170000"/>
    <n v="160055"/>
    <n v="13765"/>
    <n v="154545.4545454545"/>
    <s v="카페24고체향수솔리드퍼퓸 이그나이트 001제품선택=이그나이트 솔리드퍼퓸 - 30ml210101"/>
  </r>
  <r>
    <x v="256"/>
    <s v="목"/>
    <x v="11"/>
    <s v="카페24"/>
    <s v="솔리드퍼퓸 이그나이트 001제품선택=이그나이트 2개 세트"/>
    <n v="1"/>
    <x v="0"/>
    <s v="이그나이트 2set"/>
    <n v="210101"/>
    <m/>
    <n v="58800"/>
    <n v="55360.2"/>
    <n v="5506"/>
    <n v="53454.54545454545"/>
    <s v="카페24고체향수솔리드퍼퓸 이그나이트 001제품선택=이그나이트 2개 세트210101"/>
  </r>
  <r>
    <x v="256"/>
    <s v="목"/>
    <x v="11"/>
    <s v="카페24"/>
    <s v="솔리드퍼퓸 이그나이트 001쇼핑백=선물용 쇼핑백"/>
    <n v="3"/>
    <x v="2"/>
    <s v="쇼핑백"/>
    <n v="210101"/>
    <m/>
    <n v="6000"/>
    <n v="5649"/>
    <n v="2490"/>
    <n v="5454.545454545454"/>
    <s v="카페24쇼핑백솔리드퍼퓸 이그나이트 001쇼핑백=선물용 쇼핑백210101"/>
  </r>
  <r>
    <x v="257"/>
    <s v="금"/>
    <x v="11"/>
    <s v="카페24"/>
    <s v="선물용 쇼핑백"/>
    <n v="1"/>
    <x v="2"/>
    <s v="쇼핑백"/>
    <n v="210101"/>
    <m/>
    <n v="2000"/>
    <n v="1883"/>
    <n v="830"/>
    <n v="1818.181818181818"/>
    <s v="카페24쇼핑백선물용 쇼핑백210101"/>
  </r>
  <r>
    <x v="257"/>
    <s v="금"/>
    <x v="11"/>
    <s v="카페24"/>
    <s v="솔리드퍼퓸 세트향=이그나이트 001 SOLID PERFUME, 세트 선택=1개"/>
    <n v="3"/>
    <x v="0"/>
    <s v="이그나이트"/>
    <n v="210101"/>
    <m/>
    <n v="102000"/>
    <n v="96033"/>
    <n v="8259"/>
    <n v="92727.27272727272"/>
    <s v="카페24고체향수솔리드퍼퓸 세트향=이그나이트 001 SOLID PERFUME, 세트 선택=1개210101"/>
  </r>
  <r>
    <x v="257"/>
    <s v="금"/>
    <x v="11"/>
    <s v="카페24"/>
    <s v="솔리드퍼퓸 세트향=이그나이트 001 SOLID PERFUME, 세트 선택=best 2개 (28% 할인)"/>
    <n v="5"/>
    <x v="0"/>
    <s v="이그나이트 2set"/>
    <n v="210101"/>
    <m/>
    <n v="294000"/>
    <n v="276801"/>
    <n v="27530"/>
    <n v="267272.7272727272"/>
    <s v="카페24고체향수솔리드퍼퓸 세트향=이그나이트 001 SOLID PERFUME, 세트 선택=best 2개 (28% 할인)210101"/>
  </r>
  <r>
    <x v="257"/>
    <s v="금"/>
    <x v="11"/>
    <s v="카페24"/>
    <s v="솔리드퍼퓸 세트향=스테이포에버 002 SOLID PERFUME, 세트 선택=1개"/>
    <n v="11"/>
    <x v="0"/>
    <s v="스테이포에버"/>
    <n v="210101"/>
    <m/>
    <n v="374000"/>
    <n v="352121"/>
    <n v="28512"/>
    <n v="340000"/>
    <s v="카페24고체향수솔리드퍼퓸 세트향=스테이포에버 002 SOLID PERFUME, 세트 선택=1개210101"/>
  </r>
  <r>
    <x v="257"/>
    <s v="금"/>
    <x v="11"/>
    <s v="카페24"/>
    <s v="솔리드퍼퓸 세트향=스테이포에버 002 SOLID PERFUME, 세트 선택=best 2개 (28% 할인)"/>
    <n v="13"/>
    <x v="0"/>
    <s v="스테이포에버 2set"/>
    <n v="210101"/>
    <m/>
    <n v="764400"/>
    <n v="719682.6"/>
    <n v="67392"/>
    <n v="694909.0909090908"/>
    <s v="카페24고체향수솔리드퍼퓸 세트향=스테이포에버 002 SOLID PERFUME, 세트 선택=best 2개 (28% 할인)210101"/>
  </r>
  <r>
    <x v="257"/>
    <s v="금"/>
    <x v="11"/>
    <s v="카페24"/>
    <s v="솔리드퍼퓸 세트향=커플세트(이그나이트 + 스테이포에버), 세트 선택=1 SET"/>
    <n v="15"/>
    <x v="0"/>
    <s v="이그나이트 + 스테이포에버"/>
    <n v="210101"/>
    <m/>
    <n v="882000"/>
    <n v="830403"/>
    <n v="80175"/>
    <n v="801818.1818181818"/>
    <s v="카페24고체향수솔리드퍼퓸 세트향=커플세트(이그나이트 + 스테이포에버), 세트 선택=1 SET210101"/>
  </r>
  <r>
    <x v="257"/>
    <s v="금"/>
    <x v="11"/>
    <s v="카페24"/>
    <s v="솔리드퍼퓸 세트향=커플세트(이그나이트 + 스테이포에버), 세트 선택=2 SET (42% 할인)"/>
    <n v="1"/>
    <x v="0"/>
    <s v="이그나이트 + 스테이포에버"/>
    <n v="210101"/>
    <m/>
    <n v="58800"/>
    <n v="55360.2"/>
    <n v="5345"/>
    <n v="53454.54545454545"/>
    <s v="카페24고체향수솔리드퍼퓸 세트향=커플세트(이그나이트 + 스테이포에버), 세트 선택=2 SET (42% 할인)210101"/>
  </r>
  <r>
    <x v="257"/>
    <s v="금"/>
    <x v="11"/>
    <s v="카페24"/>
    <s v="솔리드퍼퓸 스테이포에버 002제품선택=스테이포에버 1개"/>
    <n v="174"/>
    <x v="0"/>
    <s v="스테이포에버"/>
    <n v="210101"/>
    <m/>
    <n v="5916000"/>
    <n v="5569914"/>
    <n v="451008"/>
    <n v="5378181.818181817"/>
    <s v="카페24고체향수솔리드퍼퓸 스테이포에버 002제품선택=스테이포에버 1개210101"/>
  </r>
  <r>
    <x v="257"/>
    <s v="금"/>
    <x v="11"/>
    <s v="카페24"/>
    <s v="솔리드퍼퓸 스테이포에버 002제품선택=best스테이포에버 2개[28% 할인]"/>
    <n v="117"/>
    <x v="0"/>
    <s v="스테이포에버 2set"/>
    <n v="210101"/>
    <m/>
    <n v="6879600"/>
    <n v="6477143.4"/>
    <n v="606528"/>
    <n v="6254181.818181817"/>
    <s v="카페24고체향수솔리드퍼퓸 스테이포에버 002제품선택=best스테이포에버 2개[28% 할인]210101"/>
  </r>
  <r>
    <x v="257"/>
    <s v="금"/>
    <x v="11"/>
    <s v="카페24"/>
    <s v="솔리드퍼퓸 스테이포에버 002제품선택=커플추천스테이포에버 + 이그나이트 세트"/>
    <n v="16"/>
    <x v="0"/>
    <s v="이그나이트 + 스테이포에버"/>
    <n v="210101"/>
    <m/>
    <n v="940800"/>
    <n v="885763.2"/>
    <n v="85520"/>
    <n v="855272.7272727272"/>
    <s v="카페24고체향수솔리드퍼퓸 스테이포에버 002제품선택=커플추천스테이포에버 + 이그나이트 세트210101"/>
  </r>
  <r>
    <x v="257"/>
    <s v="금"/>
    <x v="11"/>
    <s v="카페24"/>
    <s v="솔리드퍼퓸 스테이포에버 002쇼핑백=선물용 쇼핑백"/>
    <n v="8"/>
    <x v="2"/>
    <s v="쇼핑백"/>
    <n v="210101"/>
    <m/>
    <n v="16000"/>
    <n v="15064"/>
    <n v="6640"/>
    <n v="14545.45454545454"/>
    <s v="카페24쇼핑백솔리드퍼퓸 스테이포에버 002쇼핑백=선물용 쇼핑백210101"/>
  </r>
  <r>
    <x v="257"/>
    <s v="금"/>
    <x v="11"/>
    <s v="카페24"/>
    <s v="솔리드퍼퓸 이그나이트 001제품선택=이그나이트 2개 세트"/>
    <n v="1"/>
    <x v="0"/>
    <s v="이그나이트 2set"/>
    <n v="210101"/>
    <m/>
    <n v="58800"/>
    <n v="55360.2"/>
    <n v="5506"/>
    <n v="53454.54545454545"/>
    <s v="카페24고체향수솔리드퍼퓸 이그나이트 001제품선택=이그나이트 2개 세트210101"/>
  </r>
  <r>
    <x v="258"/>
    <s v="토"/>
    <x v="11"/>
    <s v="카페24"/>
    <s v="솔리드퍼퓸 세트향=이그나이트 001 SOLID PERFUME, 세트 선택=1개"/>
    <n v="5"/>
    <x v="0"/>
    <s v="이그나이트"/>
    <n v="210101"/>
    <m/>
    <n v="170000"/>
    <n v="160055"/>
    <n v="13765"/>
    <n v="154545.4545454545"/>
    <s v="카페24고체향수솔리드퍼퓸 세트향=이그나이트 001 SOLID PERFUME, 세트 선택=1개210101"/>
  </r>
  <r>
    <x v="258"/>
    <s v="토"/>
    <x v="11"/>
    <s v="카페24"/>
    <s v="솔리드퍼퓸 세트향=스테이포에버 002 SOLID PERFUME, 세트 선택=1개"/>
    <n v="12"/>
    <x v="0"/>
    <s v="스테이포에버"/>
    <n v="210101"/>
    <m/>
    <n v="408000"/>
    <n v="384132"/>
    <n v="31104"/>
    <n v="370909.0909090909"/>
    <s v="카페24고체향수솔리드퍼퓸 세트향=스테이포에버 002 SOLID PERFUME, 세트 선택=1개210101"/>
  </r>
  <r>
    <x v="258"/>
    <s v="토"/>
    <x v="11"/>
    <s v="카페24"/>
    <s v="솔리드퍼퓸 세트향=스테이포에버 002 SOLID PERFUME, 세트 선택=best 2개 (28% 할인)"/>
    <n v="11"/>
    <x v="0"/>
    <s v="스테이포에버 2set"/>
    <n v="210101"/>
    <m/>
    <n v="646800"/>
    <n v="608962.2"/>
    <n v="57024"/>
    <n v="588000"/>
    <s v="카페24고체향수솔리드퍼퓸 세트향=스테이포에버 002 SOLID PERFUME, 세트 선택=best 2개 (28% 할인)210101"/>
  </r>
  <r>
    <x v="258"/>
    <s v="토"/>
    <x v="11"/>
    <s v="카페24"/>
    <s v="솔리드퍼퓸 세트향=커플세트(이그나이트 + 스테이포에버), 세트 선택=1 SET"/>
    <n v="25"/>
    <x v="0"/>
    <s v="이그나이트 + 스테이포에버"/>
    <n v="210101"/>
    <m/>
    <n v="1470000"/>
    <n v="1384005"/>
    <n v="133625"/>
    <n v="1336363.636363636"/>
    <s v="카페24고체향수솔리드퍼퓸 세트향=커플세트(이그나이트 + 스테이포에버), 세트 선택=1 SET210101"/>
  </r>
  <r>
    <x v="258"/>
    <s v="토"/>
    <x v="11"/>
    <s v="카페24"/>
    <s v="솔리드퍼퓸 세트향=커플세트(이그나이트 + 스테이포에버), 세트 선택=2 SET (42% 할인)"/>
    <n v="2"/>
    <x v="0"/>
    <s v="이그나이트 + 스테이포에버"/>
    <n v="210101"/>
    <m/>
    <n v="117600"/>
    <n v="110720.4"/>
    <n v="10690"/>
    <n v="106909.0909090909"/>
    <s v="카페24고체향수솔리드퍼퓸 세트향=커플세트(이그나이트 + 스테이포에버), 세트 선택=2 SET (42% 할인)210101"/>
  </r>
  <r>
    <x v="258"/>
    <s v="토"/>
    <x v="11"/>
    <s v="카페24"/>
    <s v="솔리드퍼퓸 스테이포에버 002제품선택=스테이포에버 1개"/>
    <n v="187"/>
    <x v="0"/>
    <s v="스테이포에버"/>
    <n v="210101"/>
    <m/>
    <n v="6358000"/>
    <n v="5986057"/>
    <n v="484704"/>
    <n v="5779999.999999999"/>
    <s v="카페24고체향수솔리드퍼퓸 스테이포에버 002제품선택=스테이포에버 1개210101"/>
  </r>
  <r>
    <x v="258"/>
    <s v="토"/>
    <x v="11"/>
    <s v="카페24"/>
    <s v="솔리드퍼퓸 스테이포에버 002제품선택=best스테이포에버 2개[28% 할인]"/>
    <n v="134"/>
    <x v="0"/>
    <s v="스테이포에버 2set"/>
    <n v="210101"/>
    <m/>
    <n v="7879200"/>
    <n v="7418266.8"/>
    <n v="694656"/>
    <n v="7162909.09090909"/>
    <s v="카페24고체향수솔리드퍼퓸 스테이포에버 002제품선택=best스테이포에버 2개[28% 할인]210101"/>
  </r>
  <r>
    <x v="258"/>
    <s v="토"/>
    <x v="11"/>
    <s v="카페24"/>
    <s v="솔리드퍼퓸 스테이포에버 002제품선택=커플추천스테이포에버 + 이그나이트 세트"/>
    <n v="15"/>
    <x v="0"/>
    <s v="이그나이트 + 스테이포에버"/>
    <n v="210101"/>
    <m/>
    <n v="882000"/>
    <n v="830403"/>
    <n v="80175"/>
    <n v="801818.1818181818"/>
    <s v="카페24고체향수솔리드퍼퓸 스테이포에버 002제품선택=커플추천스테이포에버 + 이그나이트 세트210101"/>
  </r>
  <r>
    <x v="258"/>
    <s v="토"/>
    <x v="11"/>
    <s v="카페24"/>
    <s v="솔리드퍼퓸 스테이포에버 002쇼핑백=선물용 쇼핑백"/>
    <n v="5"/>
    <x v="2"/>
    <s v="쇼핑백"/>
    <n v="210101"/>
    <m/>
    <n v="10000"/>
    <n v="9415"/>
    <n v="4150"/>
    <n v="9090.90909090909"/>
    <s v="카페24쇼핑백솔리드퍼퓸 스테이포에버 002쇼핑백=선물용 쇼핑백210101"/>
  </r>
  <r>
    <x v="258"/>
    <s v="토"/>
    <x v="11"/>
    <s v="카페24"/>
    <s v="솔리드퍼퓸 이그나이트 001제품선택=이그나이트 2개 세트"/>
    <n v="2"/>
    <x v="0"/>
    <s v="이그나이트 2set"/>
    <n v="210101"/>
    <m/>
    <n v="117600"/>
    <n v="110720.4"/>
    <n v="11012"/>
    <n v="106909.0909090909"/>
    <s v="카페24고체향수솔리드퍼퓸 이그나이트 001제품선택=이그나이트 2개 세트210101"/>
  </r>
  <r>
    <x v="259"/>
    <s v="일"/>
    <x v="11"/>
    <s v="카페24"/>
    <s v="솔리드퍼퓸 세트향=이그나이트 001 SOLID PERFUME, 세트 선택=1개"/>
    <n v="2"/>
    <x v="0"/>
    <s v="이그나이트"/>
    <n v="210101"/>
    <m/>
    <n v="68000"/>
    <n v="64022"/>
    <n v="5506"/>
    <n v="61818.18181818182"/>
    <s v="카페24고체향수솔리드퍼퓸 세트향=이그나이트 001 SOLID PERFUME, 세트 선택=1개210101"/>
  </r>
  <r>
    <x v="259"/>
    <s v="일"/>
    <x v="11"/>
    <s v="카페24"/>
    <s v="솔리드퍼퓸 세트향=스테이포에버 002 SOLID PERFUME, 세트 선택=1개"/>
    <n v="15"/>
    <x v="0"/>
    <s v="스테이포에버"/>
    <n v="210101"/>
    <m/>
    <n v="510000"/>
    <n v="480165"/>
    <n v="38880"/>
    <n v="463636.3636363636"/>
    <s v="카페24고체향수솔리드퍼퓸 세트향=스테이포에버 002 SOLID PERFUME, 세트 선택=1개210101"/>
  </r>
  <r>
    <x v="259"/>
    <s v="일"/>
    <x v="11"/>
    <s v="카페24"/>
    <s v="솔리드퍼퓸 세트향=스테이포에버 002 SOLID PERFUME, 세트 선택=best 2개 (28% 할인)"/>
    <n v="9"/>
    <x v="0"/>
    <s v="스테이포에버 2set"/>
    <n v="210101"/>
    <m/>
    <n v="529200"/>
    <n v="498241.8"/>
    <n v="46656"/>
    <n v="481090.9090909091"/>
    <s v="카페24고체향수솔리드퍼퓸 세트향=스테이포에버 002 SOLID PERFUME, 세트 선택=best 2개 (28% 할인)210101"/>
  </r>
  <r>
    <x v="259"/>
    <s v="일"/>
    <x v="11"/>
    <s v="카페24"/>
    <s v="솔리드퍼퓸 세트향=커플세트(이그나이트 + 스테이포에버), 세트 선택=1 SET"/>
    <n v="19"/>
    <x v="0"/>
    <s v="이그나이트 + 스테이포에버"/>
    <n v="210101"/>
    <m/>
    <n v="1117200"/>
    <n v="1051843.8"/>
    <n v="101555"/>
    <n v="1015636.363636364"/>
    <s v="카페24고체향수솔리드퍼퓸 세트향=커플세트(이그나이트 + 스테이포에버), 세트 선택=1 SET210101"/>
  </r>
  <r>
    <x v="259"/>
    <s v="일"/>
    <x v="11"/>
    <s v="카페24"/>
    <s v="솔리드퍼퓸 세트향=커플세트(이그나이트 + 스테이포에버), 세트 선택=2 SET (42% 할인)"/>
    <n v="1"/>
    <x v="0"/>
    <s v="이그나이트 + 스테이포에버"/>
    <n v="210101"/>
    <m/>
    <n v="58800"/>
    <n v="55360.2"/>
    <n v="5345"/>
    <n v="53454.54545454545"/>
    <s v="카페24고체향수솔리드퍼퓸 세트향=커플세트(이그나이트 + 스테이포에버), 세트 선택=2 SET (42% 할인)210101"/>
  </r>
  <r>
    <x v="259"/>
    <s v="일"/>
    <x v="11"/>
    <s v="카페24"/>
    <s v="솔리드퍼퓸 스테이포에버 002제품선택=스테이포에버 1개"/>
    <n v="236"/>
    <x v="0"/>
    <s v="스테이포에버"/>
    <n v="210101"/>
    <m/>
    <n v="8024000"/>
    <n v="7554596"/>
    <n v="611712"/>
    <n v="7294545.454545454"/>
    <s v="카페24고체향수솔리드퍼퓸 스테이포에버 002제품선택=스테이포에버 1개210101"/>
  </r>
  <r>
    <x v="259"/>
    <s v="일"/>
    <x v="11"/>
    <s v="카페24"/>
    <s v="솔리드퍼퓸 스테이포에버 002제품선택=best스테이포에버 2개[28% 할인]"/>
    <n v="150"/>
    <x v="0"/>
    <s v="스테이포에버 2set"/>
    <n v="210101"/>
    <m/>
    <n v="8820000"/>
    <n v="8304030"/>
    <n v="777600"/>
    <n v="8018181.818181817"/>
    <s v="카페24고체향수솔리드퍼퓸 스테이포에버 002제품선택=best스테이포에버 2개[28% 할인]210101"/>
  </r>
  <r>
    <x v="259"/>
    <s v="일"/>
    <x v="11"/>
    <s v="카페24"/>
    <s v="솔리드퍼퓸 스테이포에버 002제품선택=커플추천스테이포에버 + 이그나이트 세트"/>
    <n v="18"/>
    <x v="0"/>
    <s v="이그나이트 + 스테이포에버"/>
    <n v="210101"/>
    <m/>
    <n v="1058400"/>
    <n v="996483.6"/>
    <n v="96210"/>
    <n v="962181.8181818181"/>
    <s v="카페24고체향수솔리드퍼퓸 스테이포에버 002제품선택=커플추천스테이포에버 + 이그나이트 세트210101"/>
  </r>
  <r>
    <x v="259"/>
    <s v="일"/>
    <x v="11"/>
    <s v="카페24"/>
    <s v="솔리드퍼퓸 스테이포에버 002쇼핑백=선물용 쇼핑백"/>
    <n v="13"/>
    <x v="2"/>
    <s v="쇼핑백"/>
    <n v="210101"/>
    <m/>
    <n v="26000"/>
    <n v="24479"/>
    <n v="10790"/>
    <n v="23636.36363636364"/>
    <s v="카페24쇼핑백솔리드퍼퓸 스테이포에버 002쇼핑백=선물용 쇼핑백210101"/>
  </r>
  <r>
    <x v="260"/>
    <s v="월"/>
    <x v="11"/>
    <s v="유즈 CS"/>
    <s v="솔리드퍼퓸 스테이포에버 002 30ml_CS"/>
    <n v="1"/>
    <x v="0"/>
    <s v="스테이포에버"/>
    <n v="210101"/>
    <m/>
    <n v="0"/>
    <n v="0"/>
    <n v="2592"/>
    <n v="0"/>
    <s v="유즈 CS고체향수솔리드퍼퓸 스테이포에버 002 30ml_CS210101"/>
  </r>
  <r>
    <x v="260"/>
    <s v="월"/>
    <x v="11"/>
    <s v="카페24"/>
    <s v="솔리드퍼퓸 세트향=이그나이트 001 SOLID PERFUME, 세트 선택=best 2개 (28% 할인)"/>
    <n v="2"/>
    <x v="0"/>
    <s v="이그나이트 2set"/>
    <n v="210101"/>
    <m/>
    <n v="117600"/>
    <n v="110720.4"/>
    <n v="11012"/>
    <n v="106909.0909090909"/>
    <s v="카페24고체향수솔리드퍼퓸 세트향=이그나이트 001 SOLID PERFUME, 세트 선택=best 2개 (28% 할인)210101"/>
  </r>
  <r>
    <x v="260"/>
    <s v="월"/>
    <x v="11"/>
    <s v="카페24"/>
    <s v="솔리드퍼퓸 세트향=스테이포에버 002 SOLID PERFUME, 세트 선택=1개"/>
    <n v="4"/>
    <x v="0"/>
    <s v="스테이포에버"/>
    <n v="210101"/>
    <m/>
    <n v="136000"/>
    <n v="128044"/>
    <n v="10368"/>
    <n v="123636.3636363636"/>
    <s v="카페24고체향수솔리드퍼퓸 세트향=스테이포에버 002 SOLID PERFUME, 세트 선택=1개210101"/>
  </r>
  <r>
    <x v="260"/>
    <s v="월"/>
    <x v="11"/>
    <s v="카페24"/>
    <s v="솔리드퍼퓸 세트향=스테이포에버 002 SOLID PERFUME, 세트 선택=best 2개 (28% 할인)"/>
    <n v="8"/>
    <x v="0"/>
    <s v="스테이포에버 2set"/>
    <n v="210101"/>
    <m/>
    <n v="470400"/>
    <n v="442881.6"/>
    <n v="41472"/>
    <n v="427636.3636363636"/>
    <s v="카페24고체향수솔리드퍼퓸 세트향=스테이포에버 002 SOLID PERFUME, 세트 선택=best 2개 (28% 할인)210101"/>
  </r>
  <r>
    <x v="260"/>
    <s v="월"/>
    <x v="11"/>
    <s v="카페24"/>
    <s v="솔리드퍼퓸 세트향=커플세트(이그나이트 + 스테이포에버), 세트 선택=1 SET"/>
    <n v="13"/>
    <x v="0"/>
    <s v="이그나이트 + 스테이포에버"/>
    <n v="210101"/>
    <m/>
    <n v="764400"/>
    <n v="719682.6"/>
    <n v="69485"/>
    <n v="694909.0909090908"/>
    <s v="카페24고체향수솔리드퍼퓸 세트향=커플세트(이그나이트 + 스테이포에버), 세트 선택=1 SET210101"/>
  </r>
  <r>
    <x v="260"/>
    <s v="월"/>
    <x v="11"/>
    <s v="카페24"/>
    <s v="솔리드퍼퓸 세트향=커플세트(이그나이트 + 스테이포에버), 세트 선택=2 SET (42% 할인)"/>
    <n v="2"/>
    <x v="0"/>
    <s v="이그나이트 + 스테이포에버"/>
    <n v="210101"/>
    <m/>
    <n v="117600"/>
    <n v="110720.4"/>
    <n v="10690"/>
    <n v="106909.0909090909"/>
    <s v="카페24고체향수솔리드퍼퓸 세트향=커플세트(이그나이트 + 스테이포에버), 세트 선택=2 SET (42% 할인)210101"/>
  </r>
  <r>
    <x v="260"/>
    <s v="월"/>
    <x v="11"/>
    <s v="카페24"/>
    <s v="솔리드퍼퓸 스테이포에버 002제품선택=스테이포에버 1개"/>
    <n v="170"/>
    <x v="0"/>
    <s v="스테이포에버"/>
    <n v="210101"/>
    <m/>
    <n v="5780000"/>
    <n v="5441870"/>
    <n v="440640"/>
    <n v="5254545.454545454"/>
    <s v="카페24고체향수솔리드퍼퓸 스테이포에버 002제품선택=스테이포에버 1개210101"/>
  </r>
  <r>
    <x v="260"/>
    <s v="월"/>
    <x v="11"/>
    <s v="카페24"/>
    <s v="솔리드퍼퓸 스테이포에버 002제품선택=best스테이포에버 2개[28% 할인]"/>
    <n v="94"/>
    <x v="0"/>
    <s v="스테이포에버 2set"/>
    <n v="210101"/>
    <m/>
    <n v="5527200"/>
    <n v="5203858.8"/>
    <n v="487296"/>
    <n v="5024727.272727272"/>
    <s v="카페24고체향수솔리드퍼퓸 스테이포에버 002제품선택=best스테이포에버 2개[28% 할인]210101"/>
  </r>
  <r>
    <x v="260"/>
    <s v="월"/>
    <x v="11"/>
    <s v="카페24"/>
    <s v="솔리드퍼퓸 스테이포에버 002제품선택=커플추천스테이포에버 + 이그나이트 세트"/>
    <n v="9"/>
    <x v="0"/>
    <s v="이그나이트 + 스테이포에버"/>
    <n v="210101"/>
    <m/>
    <n v="529200"/>
    <n v="498241.8"/>
    <n v="48105"/>
    <n v="481090.9090909091"/>
    <s v="카페24고체향수솔리드퍼퓸 스테이포에버 002제품선택=커플추천스테이포에버 + 이그나이트 세트210101"/>
  </r>
  <r>
    <x v="260"/>
    <s v="월"/>
    <x v="11"/>
    <s v="카페24"/>
    <s v="솔리드퍼퓸 스테이포에버 002쇼핑백=선물용 쇼핑백"/>
    <n v="8"/>
    <x v="2"/>
    <s v="쇼핑백"/>
    <n v="210101"/>
    <m/>
    <n v="16000"/>
    <n v="15064"/>
    <n v="6640"/>
    <n v="14545.45454545454"/>
    <s v="카페24쇼핑백솔리드퍼퓸 스테이포에버 002쇼핑백=선물용 쇼핑백210101"/>
  </r>
  <r>
    <x v="260"/>
    <s v="월"/>
    <x v="11"/>
    <s v="카페24"/>
    <s v="솔리드퍼퓸 이그나이트 001제품선택=이그나이트 솔리드퍼퓸 - 30ml"/>
    <n v="1"/>
    <x v="0"/>
    <s v="이그나이트"/>
    <n v="210101"/>
    <m/>
    <n v="34000"/>
    <n v="32011"/>
    <n v="2753"/>
    <n v="30909.09090909091"/>
    <s v="카페24고체향수솔리드퍼퓸 이그나이트 001제품선택=이그나이트 솔리드퍼퓸 - 30ml210101"/>
  </r>
  <r>
    <x v="262"/>
    <m/>
    <x v="11"/>
    <m/>
    <m/>
    <m/>
    <x v="1"/>
    <m/>
    <m/>
    <m/>
    <m/>
    <m/>
    <m/>
    <m/>
    <m/>
  </r>
  <r>
    <x v="261"/>
    <s v="화"/>
    <x v="11"/>
    <s v="유즈 CS"/>
    <s v="솔리드퍼퓸 스테이포에버 002 30ml"/>
    <n v="1"/>
    <x v="0"/>
    <s v="스테이포에버"/>
    <n v="210101"/>
    <m/>
    <n v="0"/>
    <n v="0"/>
    <n v="2592"/>
    <n v="0"/>
    <s v="유즈 CS고체향수솔리드퍼퓸 스테이포에버 002 30ml210101"/>
  </r>
  <r>
    <x v="261"/>
    <s v="화"/>
    <x v="11"/>
    <s v="유즈 CS"/>
    <s v="솔리드퍼퓸 이그나이트 001 30ml_CS"/>
    <n v="1"/>
    <x v="0"/>
    <s v="이그나이트"/>
    <n v="210101"/>
    <m/>
    <n v="0"/>
    <n v="0"/>
    <n v="2753"/>
    <n v="0"/>
    <s v="유즈 CS고체향수솔리드퍼퓸 이그나이트 001 30ml_CS210101"/>
  </r>
  <r>
    <x v="261"/>
    <s v="화"/>
    <x v="11"/>
    <s v="카페24"/>
    <s v="솔리드퍼퓸 세트향=이그나이트 001 SOLID PERFUME, 세트 선택=1개"/>
    <n v="2"/>
    <x v="0"/>
    <s v="이그나이트"/>
    <n v="210101"/>
    <m/>
    <n v="68000"/>
    <n v="64022"/>
    <n v="5506"/>
    <n v="61818.18181818182"/>
    <s v="카페24고체향수솔리드퍼퓸 세트향=이그나이트 001 SOLID PERFUME, 세트 선택=1개210101"/>
  </r>
  <r>
    <x v="261"/>
    <s v="화"/>
    <x v="11"/>
    <s v="카페24"/>
    <s v="솔리드퍼퓸 세트향=스테이포에버 002 SOLID PERFUME, 세트 선택=1개"/>
    <n v="11"/>
    <x v="0"/>
    <s v="스테이포에버"/>
    <n v="210101"/>
    <m/>
    <n v="374000"/>
    <n v="352121"/>
    <n v="28512"/>
    <n v="340000"/>
    <s v="카페24고체향수솔리드퍼퓸 세트향=스테이포에버 002 SOLID PERFUME, 세트 선택=1개210101"/>
  </r>
  <r>
    <x v="261"/>
    <s v="화"/>
    <x v="11"/>
    <s v="카페24"/>
    <s v="솔리드퍼퓸 세트향=스테이포에버 002 SOLID PERFUME, 세트 선택=best 2개 (28% 할인)"/>
    <n v="10"/>
    <x v="0"/>
    <s v="스테이포에버 2set"/>
    <n v="210101"/>
    <m/>
    <n v="588000"/>
    <n v="553602"/>
    <n v="51840"/>
    <n v="534545.4545454545"/>
    <s v="카페24고체향수솔리드퍼퓸 세트향=스테이포에버 002 SOLID PERFUME, 세트 선택=best 2개 (28% 할인)210101"/>
  </r>
  <r>
    <x v="261"/>
    <s v="화"/>
    <x v="11"/>
    <s v="카페24"/>
    <s v="솔리드퍼퓸 세트향=커플세트(이그나이트 + 스테이포에버), 세트 선택=1 SET"/>
    <n v="14"/>
    <x v="0"/>
    <s v="이그나이트 + 스테이포에버"/>
    <n v="210101"/>
    <m/>
    <n v="823200"/>
    <n v="775042.8"/>
    <n v="74830"/>
    <n v="748363.6363636364"/>
    <s v="카페24고체향수솔리드퍼퓸 세트향=커플세트(이그나이트 + 스테이포에버), 세트 선택=1 SET210101"/>
  </r>
  <r>
    <x v="261"/>
    <s v="화"/>
    <x v="11"/>
    <s v="카페24"/>
    <s v="솔리드퍼퓸 세트향=커플세트(이그나이트 + 스테이포에버), 세트 선택=2 SET (42% 할인)"/>
    <n v="1"/>
    <x v="0"/>
    <s v="이그나이트 + 스테이포에버"/>
    <n v="210101"/>
    <m/>
    <n v="58800"/>
    <n v="55360.2"/>
    <n v="5345"/>
    <n v="53454.54545454545"/>
    <s v="카페24고체향수솔리드퍼퓸 세트향=커플세트(이그나이트 + 스테이포에버), 세트 선택=2 SET (42% 할인)210101"/>
  </r>
  <r>
    <x v="261"/>
    <s v="화"/>
    <x v="11"/>
    <s v="카페24"/>
    <s v="솔리드퍼퓸 스테이포에버 002제품선택=스테이포에버 1개"/>
    <n v="202"/>
    <x v="0"/>
    <s v="스테이포에버"/>
    <n v="210101"/>
    <m/>
    <n v="6868000"/>
    <n v="6466222"/>
    <n v="523584"/>
    <n v="6243636.363636363"/>
    <s v="카페24고체향수솔리드퍼퓸 스테이포에버 002제품선택=스테이포에버 1개210101"/>
  </r>
  <r>
    <x v="261"/>
    <s v="화"/>
    <x v="11"/>
    <s v="카페24"/>
    <s v="솔리드퍼퓸 스테이포에버 002제품선택=best스테이포에버 2개[28% 할인]"/>
    <n v="105"/>
    <x v="0"/>
    <s v="스테이포에버 2set"/>
    <n v="210101"/>
    <m/>
    <n v="6174000"/>
    <n v="5812821"/>
    <n v="544320"/>
    <n v="5612727.272727272"/>
    <s v="카페24고체향수솔리드퍼퓸 스테이포에버 002제품선택=best스테이포에버 2개[28% 할인]210101"/>
  </r>
  <r>
    <x v="261"/>
    <s v="화"/>
    <x v="11"/>
    <s v="카페24"/>
    <s v="솔리드퍼퓸 스테이포에버 002제품선택=커플추천스테이포에버 + 이그나이트 세트"/>
    <n v="5"/>
    <x v="0"/>
    <s v="이그나이트 + 스테이포에버"/>
    <n v="210101"/>
    <m/>
    <n v="294000"/>
    <n v="276801"/>
    <n v="26725"/>
    <n v="267272.7272727272"/>
    <s v="카페24고체향수솔리드퍼퓸 스테이포에버 002제품선택=커플추천스테이포에버 + 이그나이트 세트210101"/>
  </r>
  <r>
    <x v="261"/>
    <s v="화"/>
    <x v="11"/>
    <s v="카페24"/>
    <s v="솔리드퍼퓸 스테이포에버 002쇼핑백=선물용 쇼핑백"/>
    <n v="8"/>
    <x v="2"/>
    <s v="쇼핑백"/>
    <n v="210101"/>
    <m/>
    <n v="16000"/>
    <n v="15064"/>
    <n v="6640"/>
    <n v="14545.45454545454"/>
    <s v="카페24쇼핑백솔리드퍼퓸 스테이포에버 002쇼핑백=선물용 쇼핑백210101"/>
  </r>
  <r>
    <x v="262"/>
    <m/>
    <x v="11"/>
    <m/>
    <m/>
    <m/>
    <x v="1"/>
    <m/>
    <m/>
    <m/>
    <m/>
    <m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3.xml" Id="rId1"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피벗 테이블2" cacheId="7" dataOnRows="0" dataCaption="값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0" outline="0" outlineData="0" compactData="0" published="0" gridDropZones="0" immersive="1" multipleFieldFilters="0" chartFormat="2" fieldListSortAscending="0" mdxSubqueries="0" applyNumberFormats="0" applyBorderFormats="0" applyFontFormats="0" applyPatternFormats="0" applyAlignmentFormats="0" applyWidthHeightFormats="1" r:id="rId1">
  <location ref="B36:D38" firstHeaderRow="1" firstDataRow="2" firstDataCol="2" rowPageCount="2" colPageCount="1"/>
  <pivotFields count="11">
    <pivotField axis="axisRow" showDropDowns="1" compact="0" outline="0" subtotalTop="1" dragToRow="1" dragToCol="1" dragToPage="1" dragToData="1" dragOff="1" showAll="0" topAutoShow="1" itemPageCount="10" sortType="ascending" defaultSubtotal="0">
      <items count="556">
        <item t="data" sd="1" m="1" x="479"/>
        <item t="data" sd="1" m="1" x="336"/>
        <item t="data" sd="1" m="1" x="485"/>
        <item t="data" sd="1" m="1" x="341"/>
        <item t="data" sd="1" m="1" x="490"/>
        <item t="data" sd="1" m="1" x="345"/>
        <item t="data" sd="1" m="1" x="495"/>
        <item t="data" sd="1" m="1" x="350"/>
        <item t="data" sd="1" m="1" x="500"/>
        <item t="data" sd="1" m="1" x="354"/>
        <item t="data" sd="1" m="1" x="505"/>
        <item t="data" sd="1" m="1" x="358"/>
        <item t="data" sd="1" m="1" x="509"/>
        <item t="data" sd="1" m="1" x="362"/>
        <item t="data" sd="1" m="1" x="513"/>
        <item t="data" sd="1" m="1" x="366"/>
        <item t="data" sd="1" m="1" x="517"/>
        <item t="data" sd="1" m="1" x="370"/>
        <item t="data" sd="1" m="1" x="522"/>
        <item t="data" sd="1" m="1" x="375"/>
        <item t="data" sd="1" m="1" x="527"/>
        <item t="data" sd="1" m="1" x="380"/>
        <item t="data" sd="1" m="1" x="532"/>
        <item t="data" sd="1" m="1" x="385"/>
        <item t="data" sd="1" m="1" x="537"/>
        <item t="data" sd="1" m="1" x="390"/>
        <item t="data" sd="1" m="1" x="542"/>
        <item t="data" sd="1" m="1" x="395"/>
        <item t="data" sd="1" m="1" x="547"/>
        <item t="data" sd="1" m="1" x="399"/>
        <item t="data" sd="1" m="1" x="551"/>
        <item t="data" sd="1" m="1" x="491"/>
        <item t="data" sd="1" m="1" x="346"/>
        <item t="data" sd="1" m="1" x="496"/>
        <item t="data" sd="1" m="1" x="351"/>
        <item t="data" sd="1" m="1" x="501"/>
        <item t="data" sd="1" m="1" x="355"/>
        <item t="data" sd="1" m="1" x="506"/>
        <item t="data" sd="1" m="1" x="359"/>
        <item t="data" sd="1" m="1" x="510"/>
        <item t="data" sd="1" m="1" x="363"/>
        <item t="data" sd="1" m="1" x="514"/>
        <item t="data" sd="1" m="1" x="367"/>
        <item t="data" sd="1" m="1" x="518"/>
        <item t="data" sd="1" m="1" x="371"/>
        <item t="data" sd="1" m="1" x="523"/>
        <item t="data" sd="1" m="1" x="376"/>
        <item t="data" sd="1" m="1" x="528"/>
        <item t="data" sd="1" m="1" x="381"/>
        <item t="data" sd="1" m="1" x="533"/>
        <item t="data" sd="1" m="1" x="386"/>
        <item t="data" sd="1" m="1" x="538"/>
        <item t="data" sd="1" m="1" x="391"/>
        <item t="data" sd="1" m="1" x="543"/>
        <item t="data" sd="1" m="1" x="400"/>
        <item t="data" sd="1" m="1" x="552"/>
        <item t="data" sd="1" m="1" x="404"/>
        <item t="data" sd="1" m="1" x="263"/>
        <item t="data" sd="1" m="1" x="408"/>
        <item t="data" sd="1" m="1" x="502"/>
        <item t="data" sd="1" m="1" x="356"/>
        <item t="data" sd="1" m="1" x="507"/>
        <item t="data" sd="1" m="1" x="360"/>
        <item t="data" sd="1" m="1" x="511"/>
        <item t="data" sd="1" m="1" x="364"/>
        <item t="data" sd="1" m="1" x="515"/>
        <item t="data" sd="1" m="1" x="368"/>
        <item t="data" sd="1" m="1" x="519"/>
        <item t="data" sd="1" m="1" x="372"/>
        <item t="data" sd="1" m="1" x="524"/>
        <item t="data" sd="1" m="1" x="377"/>
        <item t="data" sd="1" m="1" x="529"/>
        <item t="data" sd="1" m="1" x="382"/>
        <item t="data" sd="1" m="1" x="534"/>
        <item t="data" sd="1" m="1" x="387"/>
        <item t="data" sd="1" m="1" x="539"/>
        <item t="data" sd="1" m="1" x="392"/>
        <item t="data" sd="1" m="1" x="544"/>
        <item t="data" sd="1" m="1" x="396"/>
        <item t="data" sd="1" m="1" x="548"/>
        <item t="data" sd="1" m="1" x="401"/>
        <item t="data" sd="1" m="1" x="553"/>
        <item t="data" sd="1" m="1" x="405"/>
        <item t="data" sd="1" m="1" x="264"/>
        <item t="data" sd="1" m="1" x="409"/>
        <item t="data" sd="1" m="1" x="267"/>
        <item t="data" sd="1" m="1" x="412"/>
        <item t="data" sd="1" m="1" x="270"/>
        <item t="data" sd="1" m="1" x="416"/>
        <item t="data" sd="1" m="1" x="274"/>
        <item t="data" sd="1" m="1" x="512"/>
        <item t="data" sd="1" m="1" x="365"/>
        <item t="data" sd="1" m="1" x="516"/>
        <item t="data" sd="1" m="1" x="369"/>
        <item t="data" sd="1" m="1" x="520"/>
        <item t="data" sd="1" m="1" x="373"/>
        <item t="data" sd="1" m="1" x="525"/>
        <item t="data" sd="1" m="1" x="378"/>
        <item t="data" sd="1" m="1" x="530"/>
        <item t="data" sd="1" m="1" x="383"/>
        <item t="data" sd="1" m="1" x="535"/>
        <item t="data" sd="1" m="1" x="388"/>
        <item t="data" sd="1" m="1" x="540"/>
        <item t="data" sd="1" m="1" x="393"/>
        <item t="data" sd="1" m="1" x="545"/>
        <item t="data" sd="1" m="1" x="397"/>
        <item t="data" sd="1" m="1" x="549"/>
        <item t="data" sd="1" m="1" x="402"/>
        <item t="data" sd="1" m="1" x="554"/>
        <item t="data" sd="1" m="1" x="406"/>
        <item t="data" sd="1" m="1" x="265"/>
        <item t="data" sd="1" m="1" x="410"/>
        <item t="data" sd="1" m="1" x="268"/>
        <item t="data" sd="1" m="1" x="413"/>
        <item t="data" sd="1" m="1" x="271"/>
        <item t="data" sd="1" m="1" x="417"/>
        <item t="data" sd="1" m="1" x="275"/>
        <item t="data" sd="1" m="1" x="420"/>
        <item t="data" sd="1" m="1" x="278"/>
        <item t="data" sd="1" m="1" x="424"/>
        <item t="data" sd="1" m="1" x="521"/>
        <item t="data" sd="1" m="1" x="374"/>
        <item t="data" sd="1" m="1" x="526"/>
        <item t="data" sd="1" m="1" x="379"/>
        <item t="data" sd="1" m="1" x="531"/>
        <item t="data" sd="1" m="1" x="384"/>
        <item t="data" sd="1" m="1" x="536"/>
        <item t="data" sd="1" m="1" x="389"/>
        <item t="data" sd="1" m="1" x="541"/>
        <item t="data" sd="1" m="1" x="394"/>
        <item t="data" sd="1" m="1" x="546"/>
        <item t="data" sd="1" m="1" x="398"/>
        <item t="data" sd="1" m="1" x="550"/>
        <item t="data" sd="1" m="1" x="403"/>
        <item t="data" sd="1" m="1" x="555"/>
        <item t="data" sd="1" m="1" x="407"/>
        <item t="data" sd="1" m="1" x="266"/>
        <item t="data" sd="1" m="1" x="411"/>
        <item t="data" sd="1" m="1" x="269"/>
        <item t="data" sd="1" m="1" x="414"/>
        <item t="data" sd="1" m="1" x="272"/>
        <item t="data" sd="1" m="1" x="418"/>
        <item t="data" sd="1" m="1" x="276"/>
        <item t="data" sd="1" m="1" x="421"/>
        <item t="data" sd="1" m="1" x="279"/>
        <item t="data" sd="1" m="1" x="425"/>
        <item t="data" sd="1" m="1" x="282"/>
        <item t="data" sd="1" m="1" x="428"/>
        <item t="data" sd="1" m="1" x="285"/>
        <item t="data" sd="1" m="1" x="432"/>
        <item t="data" sd="1" m="1" x="289"/>
        <item t="data" sd="1" m="1" x="415"/>
        <item t="data" sd="1" m="1" x="273"/>
        <item t="data" sd="1" m="1" x="419"/>
        <item t="data" sd="1" m="1" x="277"/>
        <item t="data" sd="1" m="1" x="422"/>
        <item t="data" sd="1" m="1" x="280"/>
        <item t="data" sd="1" m="1" x="426"/>
        <item t="data" sd="1" m="1" x="283"/>
        <item t="data" sd="1" m="1" x="429"/>
        <item t="data" sd="1" m="1" x="286"/>
        <item t="data" sd="1" m="1" x="433"/>
        <item t="data" sd="1" m="1" x="290"/>
        <item t="data" sd="1" m="1" x="436"/>
        <item t="data" sd="1" m="1" x="293"/>
        <item t="data" sd="1" m="1" x="440"/>
        <item t="data" sd="1" m="1" x="297"/>
        <item t="data" sd="1" m="1" x="444"/>
        <item t="data" sd="1" m="1" x="301"/>
        <item t="data" sd="1" m="1" x="449"/>
        <item t="data" sd="1" m="1" x="306"/>
        <item t="data" sd="1" m="1" x="454"/>
        <item t="data" sd="1" m="1" x="311"/>
        <item t="data" sd="1" m="1" x="459"/>
        <item t="data" sd="1" m="1" x="316"/>
        <item t="data" sd="1" m="1" x="464"/>
        <item t="data" sd="1" m="1" x="321"/>
        <item t="data" sd="1" m="1" x="469"/>
        <item t="data" sd="1" m="1" x="326"/>
        <item t="data" sd="1" m="1" x="474"/>
        <item t="data" sd="1" m="1" x="331"/>
        <item t="data" sd="1" m="1" x="480"/>
        <item t="data" sd="1" m="1" x="423"/>
        <item t="data" sd="1" m="1" x="281"/>
        <item t="data" sd="1" m="1" x="427"/>
        <item t="data" sd="1" m="1" x="284"/>
        <item t="data" sd="1" m="1" x="430"/>
        <item t="data" sd="1" m="1" x="287"/>
        <item t="data" sd="1" m="1" x="434"/>
        <item t="data" sd="1" m="1" x="291"/>
        <item t="data" sd="1" m="1" x="437"/>
        <item t="data" sd="1" m="1" x="294"/>
        <item t="data" sd="1" m="1" x="441"/>
        <item t="data" sd="1" m="1" x="298"/>
        <item t="data" sd="1" m="1" x="445"/>
        <item t="data" sd="1" m="1" x="302"/>
        <item t="data" sd="1" m="1" x="450"/>
        <item t="data" sd="1" m="1" x="307"/>
        <item t="data" sd="1" m="1" x="455"/>
        <item t="data" sd="1" m="1" x="312"/>
        <item t="data" sd="1" m="1" x="460"/>
        <item t="data" sd="1" m="1" x="317"/>
        <item t="data" sd="1" m="1" x="465"/>
        <item t="data" sd="1" m="1" x="322"/>
        <item t="data" sd="1" m="1" x="470"/>
        <item t="data" sd="1" m="1" x="327"/>
        <item t="data" sd="1" m="1" x="475"/>
        <item t="data" sd="1" m="1" x="332"/>
        <item t="data" sd="1" m="1" x="481"/>
        <item t="data" sd="1" m="1" x="337"/>
        <item t="data" sd="1" m="1" x="486"/>
        <item t="data" sd="1" m="1" x="431"/>
        <item t="data" sd="1" m="1" x="288"/>
        <item t="data" sd="1" m="1" x="435"/>
        <item t="data" sd="1" m="1" x="292"/>
        <item t="data" sd="1" m="1" x="438"/>
        <item t="data" sd="1" m="1" x="295"/>
        <item t="data" sd="1" m="1" x="442"/>
        <item t="data" sd="1" m="1" x="299"/>
        <item t="data" sd="1" m="1" x="446"/>
        <item t="data" sd="1" m="1" x="303"/>
        <item t="data" sd="1" m="1" x="451"/>
        <item t="data" sd="1" m="1" x="308"/>
        <item t="data" sd="1" m="1" x="456"/>
        <item t="data" sd="1" m="1" x="313"/>
        <item t="data" sd="1" m="1" x="461"/>
        <item t="data" sd="1" m="1" x="318"/>
        <item t="data" sd="1" m="1" x="466"/>
        <item t="data" sd="1" m="1" x="323"/>
        <item t="data" sd="1" m="1" x="471"/>
        <item t="data" sd="1" m="1" x="328"/>
        <item t="data" sd="1" m="1" x="476"/>
        <item t="data" sd="1" m="1" x="333"/>
        <item t="data" sd="1" m="1" x="482"/>
        <item t="data" sd="1" m="1" x="338"/>
        <item t="data" sd="1" m="1" x="487"/>
        <item t="data" sd="1" m="1" x="342"/>
        <item t="data" sd="1" m="1" x="492"/>
        <item t="data" sd="1" m="1" x="347"/>
        <item t="data" sd="1" m="1" x="497"/>
        <item t="data" sd="1" m="1" x="352"/>
        <item t="data" sd="1" m="1" x="503"/>
        <item t="data" sd="1" m="1" x="439"/>
        <item t="data" sd="1" m="1" x="296"/>
        <item t="data" sd="1" m="1" x="443"/>
        <item t="data" sd="1" m="1" x="300"/>
        <item t="data" sd="1" m="1" x="447"/>
        <item t="data" sd="1" m="1" x="304"/>
        <item t="data" sd="1" m="1" x="452"/>
        <item t="data" sd="1" m="1" x="309"/>
        <item t="data" sd="1" m="1" x="457"/>
        <item t="data" sd="1" m="1" x="314"/>
        <item t="data" sd="1" m="1" x="462"/>
        <item t="data" sd="1" m="1" x="319"/>
        <item t="data" sd="1" m="1" x="467"/>
        <item t="data" sd="1" m="1" x="324"/>
        <item t="data" sd="1" m="1" x="472"/>
        <item t="data" sd="1" m="1" x="329"/>
        <item t="data" sd="1" m="1" x="477"/>
        <item t="data" sd="1" m="1" x="334"/>
        <item t="data" sd="1" m="1" x="483"/>
        <item t="data" sd="1" m="1" x="339"/>
        <item t="data" sd="1" m="1" x="488"/>
        <item t="data" sd="1" m="1" x="343"/>
        <item t="data" sd="1" m="1" x="493"/>
        <item t="data" sd="1" m="1" x="348"/>
        <item t="data" sd="1" m="1" x="498"/>
        <item t="data" sd="1" m="1" x="353"/>
        <item t="data" sd="1" m="1" x="504"/>
        <item t="data" sd="1" m="1" x="357"/>
        <item t="data" sd="1" m="1" x="508"/>
        <item t="data" sd="1" m="1" x="361"/>
        <item t="data" sd="1" m="1" x="448"/>
        <item t="data" sd="1" m="1" x="305"/>
        <item t="data" sd="1" m="1" x="453"/>
        <item t="data" sd="1" m="1" x="310"/>
        <item t="data" sd="1" m="1" x="458"/>
        <item t="data" sd="1" m="1" x="315"/>
        <item t="data" sd="1" m="1" x="463"/>
        <item t="data" sd="1" m="1" x="320"/>
        <item t="data" sd="1" m="1" x="468"/>
        <item t="data" sd="1" m="1" x="325"/>
        <item t="data" sd="1" m="1" x="473"/>
        <item t="data" sd="1" m="1" x="330"/>
        <item t="data" sd="1" m="1" x="478"/>
        <item t="data" sd="1" m="1" x="335"/>
        <item t="data" sd="1" m="1" x="484"/>
        <item t="data" sd="1" m="1" x="340"/>
        <item t="data" sd="1" m="1" x="489"/>
        <item t="data" sd="1" m="1" x="344"/>
        <item t="data" sd="1" m="1" x="494"/>
        <item t="data" sd="1" m="1" x="349"/>
        <item t="data" sd="1" m="1" x="499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</items>
    </pivotField>
    <pivotField axis="axisRow" showDropDowns="1" compact="0" outline="0" subtotalTop="1" dragToRow="1" dragToCol="1" dragToPage="1" dragToData="1" dragOff="1" showAll="0" topAutoShow="1" itemPageCount="10" sortType="manual" defaultSubtotal="1">
      <items count="9">
        <item t="data" sd="1" x="2"/>
        <item t="data" sd="1" x="3"/>
        <item t="data" sd="1" x="4"/>
        <item t="data" sd="1" x="7"/>
        <item t="data" sd="1" x="6"/>
        <item t="data" sd="1" x="0"/>
        <item t="data" sd="1" x="1"/>
        <item t="data" sd="1" x="5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25">
        <item t="data" sd="1" m="1" x="3"/>
        <item t="data" sd="1" m="1" x="23"/>
        <item t="data" sd="1" m="1" x="6"/>
        <item t="data" sd="1" m="1" x="13"/>
        <item t="data" sd="1" m="1" x="21"/>
        <item t="data" sd="1" m="1" x="8"/>
        <item t="data" sd="1" m="1" x="9"/>
        <item t="data" sd="1" m="1" x="10"/>
        <item t="data" sd="1" m="1" x="7"/>
        <item t="data" sd="1" m="1" x="4"/>
        <item t="data" sd="1" m="1" x="20"/>
        <item t="data" sd="1" m="1" x="18"/>
        <item t="data" h="1" sd="1" m="1" x="19"/>
        <item t="data" sd="1" m="1" x="15"/>
        <item t="data" sd="1" m="1" x="22"/>
        <item t="data" sd="1" m="1" x="11"/>
        <item t="data" h="1" sd="1" x="0"/>
        <item t="data" sd="1" m="1" x="16"/>
        <item t="data" sd="1" x="1"/>
        <item t="data" h="1" sd="1" m="1" x="12"/>
        <item t="data" h="1" sd="1" m="1" x="17"/>
        <item t="data" h="1" sd="1" m="1" x="14"/>
        <item t="data" h="1" sd="1" m="1" x="5"/>
        <item t="data" h="1" sd="1" x="2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16">
        <item t="data" sd="0" m="1" x="10"/>
        <item t="data" sd="0" m="1" x="3"/>
        <item t="data" sd="0" m="1" x="9"/>
        <item t="data" h="1" sd="1" x="1"/>
        <item t="data" sd="1" m="1" x="7"/>
        <item t="data" sd="1" m="1" x="6"/>
        <item t="data" sd="1" m="1" x="8"/>
        <item t="data" sd="1" m="1" x="12"/>
        <item t="data" sd="1" m="1" x="5"/>
        <item t="data" sd="1" m="1" x="14"/>
        <item t="data" sd="1" m="1" x="11"/>
        <item t="data" sd="1" m="1" x="4"/>
        <item t="data" h="1" sd="1" m="1" x="13"/>
        <item t="data" h="1" sd="1" x="0"/>
        <item t="data" h="1" sd="1" x="2"/>
        <item t="default" sd="1"/>
      </items>
    </pivotField>
    <pivotField axis="axisCol" showDropDowns="1" compact="0" outline="0" subtotalTop="1" dragToRow="1" dragToCol="1" dragToPage="1" dragToData="1" dragOff="1" showAll="0" topAutoShow="1" itemPageCount="10" sortType="manual" defaultSubtotal="1">
      <items count="69">
        <item t="data" sd="1" m="1" x="17"/>
        <item t="data" sd="1" m="1" x="16"/>
        <item t="data" sd="1" m="1" x="35"/>
        <item t="data" sd="1" m="1" x="48"/>
        <item t="data" sd="1" m="1" x="65"/>
        <item t="data" sd="1" m="1" x="13"/>
        <item t="data" sd="1" m="1" x="66"/>
        <item t="data" sd="1" m="1" x="51"/>
        <item t="data" sd="1" m="1" x="50"/>
        <item t="data" sd="1" m="1" x="42"/>
        <item t="data" sd="1" m="1" x="37"/>
        <item t="data" sd="1" m="1" x="22"/>
        <item t="data" sd="1" m="1" x="21"/>
        <item t="data" sd="1" m="1" x="40"/>
        <item t="data" sd="1" m="1" x="54"/>
        <item t="data" sd="1" m="1" x="67"/>
        <item t="data" sd="1" m="1" x="26"/>
        <item t="data" sd="1" m="1" x="46"/>
        <item t="data" sd="1" m="1" x="20"/>
        <item t="data" sd="1" m="1" x="41"/>
        <item t="data" sd="1" m="1" x="29"/>
        <item t="data" sd="1" m="1" x="18"/>
        <item t="data" sd="1" m="1" x="38"/>
        <item t="data" sd="1" m="1" x="34"/>
        <item t="data" sd="1" m="1" x="45"/>
        <item t="data" sd="1" m="1" x="56"/>
        <item t="data" sd="1" m="1" x="64"/>
        <item t="data" sd="1" m="1" x="47"/>
        <item t="data" sd="1" m="1" x="27"/>
        <item t="data" sd="1" m="1" x="12"/>
        <item t="data" sd="1" m="1" x="33"/>
        <item t="data" sd="1" m="1" x="23"/>
        <item t="data" sd="1" m="1" x="60"/>
        <item t="data" sd="1" m="1" x="59"/>
        <item t="data" sd="1" m="1" x="15"/>
        <item t="data" sd="1" m="1" x="63"/>
        <item t="data" sd="1" m="1" x="39"/>
        <item t="data" sd="1" m="1" x="57"/>
        <item t="data" sd="1" m="1" x="58"/>
        <item t="data" sd="1" x="0"/>
        <item t="data" sd="1" m="1" x="28"/>
        <item t="data" sd="1" m="1" x="14"/>
        <item t="data" sd="1" m="1" x="53"/>
        <item t="data" sd="1" m="1" x="36"/>
        <item t="data" sd="1" m="1" x="25"/>
        <item t="data" sd="1" m="1" x="32"/>
        <item t="data" sd="1" m="1" x="62"/>
        <item t="data" sd="1" m="1" x="24"/>
        <item t="data" sd="1" m="1" x="31"/>
        <item t="data" sd="1" m="1" x="49"/>
        <item t="data" sd="1" m="1" x="52"/>
        <item t="data" sd="1" m="1" x="19"/>
        <item t="data" sd="1" m="1" x="55"/>
        <item t="data" sd="1" m="1" x="44"/>
        <item t="data" sd="1" m="1" x="61"/>
        <item t="data" sd="1" m="1" x="30"/>
        <item t="data" sd="1" m="1" x="43"/>
        <item t="data" sd="1" x="1"/>
        <item t="data" sd="1" x="2"/>
        <item t="data" sd="1" x="3"/>
        <item t="data" sd="1" x="4"/>
        <item t="data" sd="1" x="7"/>
        <item t="data" sd="1" x="5"/>
        <item t="data" sd="1" x="6"/>
        <item t="data" sd="1" x="8"/>
        <item t="data" sd="1" x="9"/>
        <item t="data" sd="1" x="10"/>
        <item t="data" sd="1" x="11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2">
    <field x="0"/>
    <field x="1"/>
  </rowFields>
  <rowItems count="1">
    <i t="grand" r="0" i="0">
      <x v="0"/>
    </i>
  </rowItems>
  <colFields count="1">
    <field x="7"/>
  </colFields>
  <colItems count="1">
    <i t="grand" r="0" i="0">
      <x v="0"/>
    </i>
  </colItems>
  <pageFields count="2">
    <pageField fld="3" hier="-1"/>
    <pageField fld="6" hier="-1"/>
  </pageFields>
  <dataFields count="1">
    <dataField name="합계 : 판매액" fld="10" subtotal="sum" showDataAs="normal" baseField="0" baseItem="2" numFmtId="176"/>
  </dataFields>
  <chartFormats count="57">
    <chartFormat chart="1" format="0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1"/>
          </reference>
        </references>
      </pivotArea>
    </chartFormat>
    <chartFormat chart="1" format="1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2"/>
          </reference>
        </references>
      </pivotArea>
    </chartFormat>
    <chartFormat chart="1" format="2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3"/>
          </reference>
        </references>
      </pivotArea>
    </chartFormat>
    <chartFormat chart="1" format="3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4"/>
          </reference>
        </references>
      </pivotArea>
    </chartFormat>
    <chartFormat chart="1" format="4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5"/>
          </reference>
        </references>
      </pivotArea>
    </chartFormat>
    <chartFormat chart="1" format="5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6"/>
          </reference>
        </references>
      </pivotArea>
    </chartFormat>
    <chartFormat chart="1" format="6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7"/>
          </reference>
        </references>
      </pivotArea>
    </chartFormat>
    <chartFormat chart="1" format="7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8"/>
          </reference>
        </references>
      </pivotArea>
    </chartFormat>
    <chartFormat chart="1" format="8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9"/>
          </reference>
        </references>
      </pivotArea>
    </chartFormat>
    <chartFormat chart="1" format="9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10"/>
          </reference>
        </references>
      </pivotArea>
    </chartFormat>
    <chartFormat chart="1" format="10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11"/>
          </reference>
        </references>
      </pivotArea>
    </chartFormat>
    <chartFormat chart="1" format="11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12"/>
          </reference>
        </references>
      </pivotArea>
    </chartFormat>
    <chartFormat chart="1" format="12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39"/>
          </reference>
        </references>
      </pivotArea>
    </chartFormat>
    <chartFormat chart="1" format="13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27"/>
          </reference>
        </references>
      </pivotArea>
    </chartFormat>
    <chartFormat chart="1" format="14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28"/>
          </reference>
        </references>
      </pivotArea>
    </chartFormat>
    <chartFormat chart="1" format="15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14"/>
          </reference>
        </references>
      </pivotArea>
    </chartFormat>
    <chartFormat chart="1" format="16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15"/>
          </reference>
        </references>
      </pivotArea>
    </chartFormat>
    <chartFormat chart="1" format="17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16"/>
          </reference>
        </references>
      </pivotArea>
    </chartFormat>
    <chartFormat chart="1" format="18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17"/>
          </reference>
        </references>
      </pivotArea>
    </chartFormat>
    <chartFormat chart="1" format="19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18"/>
          </reference>
        </references>
      </pivotArea>
    </chartFormat>
    <chartFormat chart="1" format="20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19"/>
          </reference>
        </references>
      </pivotArea>
    </chartFormat>
    <chartFormat chart="1" format="21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20"/>
          </reference>
        </references>
      </pivotArea>
    </chartFormat>
    <chartFormat chart="1" format="22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21"/>
          </reference>
        </references>
      </pivotArea>
    </chartFormat>
    <chartFormat chart="1" format="23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22"/>
          </reference>
        </references>
      </pivotArea>
    </chartFormat>
    <chartFormat chart="1" format="24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23"/>
          </reference>
        </references>
      </pivotArea>
    </chartFormat>
    <chartFormat chart="1" format="25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24"/>
          </reference>
        </references>
      </pivotArea>
    </chartFormat>
    <chartFormat chart="1" format="26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25"/>
          </reference>
        </references>
      </pivotArea>
    </chartFormat>
    <chartFormat chart="1" format="27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26"/>
          </reference>
        </references>
      </pivotArea>
    </chartFormat>
    <chartFormat chart="1" format="28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29"/>
          </reference>
        </references>
      </pivotArea>
    </chartFormat>
    <chartFormat chart="1" format="29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31"/>
          </reference>
        </references>
      </pivotArea>
    </chartFormat>
    <chartFormat chart="1" format="30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33"/>
          </reference>
        </references>
      </pivotArea>
    </chartFormat>
    <chartFormat chart="1" format="31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34"/>
          </reference>
        </references>
      </pivotArea>
    </chartFormat>
    <chartFormat chart="1" format="32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35"/>
          </reference>
        </references>
      </pivotArea>
    </chartFormat>
    <chartFormat chart="1" format="33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36"/>
          </reference>
        </references>
      </pivotArea>
    </chartFormat>
    <chartFormat chart="1" format="34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38"/>
          </reference>
        </references>
      </pivotArea>
    </chartFormat>
    <chartFormat chart="1" format="35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0"/>
          </reference>
        </references>
      </pivotArea>
    </chartFormat>
    <chartFormat chart="1" format="36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13"/>
          </reference>
        </references>
      </pivotArea>
    </chartFormat>
    <chartFormat chart="1" format="37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40"/>
          </reference>
        </references>
      </pivotArea>
    </chartFormat>
    <chartFormat chart="1" format="38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1" format="39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42"/>
          </reference>
        </references>
      </pivotArea>
    </chartFormat>
    <chartFormat chart="1" format="40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41"/>
          </reference>
        </references>
      </pivotArea>
    </chartFormat>
    <chartFormat chart="1" format="41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44"/>
          </reference>
        </references>
      </pivotArea>
    </chartFormat>
    <chartFormat chart="1" format="42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45"/>
          </reference>
        </references>
      </pivotArea>
    </chartFormat>
    <chartFormat chart="1" format="43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43"/>
          </reference>
        </references>
      </pivotArea>
    </chartFormat>
    <chartFormat chart="1" format="44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47"/>
          </reference>
        </references>
      </pivotArea>
    </chartFormat>
    <chartFormat chart="1" format="45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48"/>
          </reference>
        </references>
      </pivotArea>
    </chartFormat>
    <chartFormat chart="1" format="46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50"/>
          </reference>
        </references>
      </pivotArea>
    </chartFormat>
    <chartFormat chart="1" format="47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51"/>
          </reference>
        </references>
      </pivotArea>
    </chartFormat>
    <chartFormat chart="1" format="48" series="1">
      <pivotArea type="data" dataOnly="1" outline="0" fieldPosition="0">
        <references count="3">
          <reference field="4294967294" selected="0">
            <x v="0"/>
          </reference>
          <reference field="6" selected="0">
            <x v="6"/>
          </reference>
          <reference field="7" selected="0">
            <x v="48"/>
          </reference>
        </references>
      </pivotArea>
    </chartFormat>
    <chartFormat chart="1" format="49" series="1">
      <pivotArea type="data" dataOnly="1" outline="0" fieldPosition="0">
        <references count="3">
          <reference field="4294967294" selected="0">
            <x v="0"/>
          </reference>
          <reference field="6" selected="0">
            <x v="10"/>
          </reference>
          <reference field="7" selected="0">
            <x v="52"/>
          </reference>
        </references>
      </pivotArea>
    </chartFormat>
    <chartFormat chart="1" format="50" series="1">
      <pivotArea type="data" dataOnly="1" outline="0" fieldPosition="0">
        <references count="3">
          <reference field="4294967294" selected="0">
            <x v="0"/>
          </reference>
          <reference field="6" selected="0">
            <x v="10"/>
          </reference>
          <reference field="7" selected="0">
            <x v="53"/>
          </reference>
        </references>
      </pivotArea>
    </chartFormat>
    <chartFormat chart="1" format="51" series="1">
      <pivotArea type="data" dataOnly="1" outline="0" fieldPosition="0">
        <references count="3">
          <reference field="4294967294" selected="0">
            <x v="0"/>
          </reference>
          <reference field="6" selected="0">
            <x v="11"/>
          </reference>
          <reference field="7" selected="0">
            <x v="50"/>
          </reference>
        </references>
      </pivotArea>
    </chartFormat>
    <chartFormat chart="1" format="52" series="1">
      <pivotArea type="data" dataOnly="1" outline="0" fieldPosition="0">
        <references count="3">
          <reference field="4294967294" selected="0">
            <x v="0"/>
          </reference>
          <reference field="6" selected="0">
            <x v="11"/>
          </reference>
          <reference field="7" selected="0">
            <x v="51"/>
          </reference>
        </references>
      </pivotArea>
    </chartFormat>
    <chartFormat chart="1" format="53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52"/>
          </reference>
        </references>
      </pivotArea>
    </chartFormat>
    <chartFormat chart="1" format="54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53"/>
          </reference>
        </references>
      </pivotArea>
    </chartFormat>
    <chartFormat chart="1" format="55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54"/>
          </reference>
        </references>
      </pivotArea>
    </chartFormat>
    <chartFormat chart="1" format="56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55"/>
          </reference>
        </references>
      </pivotArea>
    </chartFormat>
  </chartFormats>
  <pivotTableStyleInfo name="PivotStyleLight8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피벗 테이블3" cacheId="7" dataOnRows="0" dataCaption="값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0" outline="0" outlineData="0" compactData="0" published="0" gridDropZones="0" immersive="1" multipleFieldFilters="0" chartFormat="16" fieldListSortAscending="0" mdxSubqueries="0" applyNumberFormats="0" applyBorderFormats="0" applyFontFormats="0" applyPatternFormats="0" applyAlignmentFormats="0" applyWidthHeightFormats="1" r:id="rId1">
  <location ref="J3:N267" firstHeaderRow="1" firstDataRow="2" firstDataCol="2" rowPageCount="1" colPageCount="1"/>
  <pivotFields count="11">
    <pivotField axis="axisRow" showDropDowns="1" compact="0" outline="0" subtotalTop="1" dragToRow="1" dragToCol="1" dragToPage="1" dragToData="1" dragOff="1" showAll="0" topAutoShow="1" itemPageCount="10" sortType="ascending" defaultSubtotal="0">
      <items count="556">
        <item t="data" sd="1" m="1" x="479"/>
        <item t="data" sd="1" m="1" x="336"/>
        <item t="data" sd="1" m="1" x="485"/>
        <item t="data" sd="1" m="1" x="341"/>
        <item t="data" sd="1" m="1" x="490"/>
        <item t="data" sd="1" m="1" x="345"/>
        <item t="data" sd="1" m="1" x="495"/>
        <item t="data" sd="1" m="1" x="350"/>
        <item t="data" sd="1" m="1" x="500"/>
        <item t="data" sd="1" m="1" x="354"/>
        <item t="data" sd="1" m="1" x="505"/>
        <item t="data" sd="1" m="1" x="358"/>
        <item t="data" sd="1" m="1" x="509"/>
        <item t="data" sd="1" m="1" x="362"/>
        <item t="data" sd="1" m="1" x="513"/>
        <item t="data" sd="1" m="1" x="366"/>
        <item t="data" sd="1" m="1" x="517"/>
        <item t="data" sd="1" m="1" x="370"/>
        <item t="data" sd="1" m="1" x="522"/>
        <item t="data" sd="1" m="1" x="375"/>
        <item t="data" sd="1" m="1" x="527"/>
        <item t="data" sd="1" m="1" x="380"/>
        <item t="data" sd="1" m="1" x="532"/>
        <item t="data" sd="1" m="1" x="385"/>
        <item t="data" sd="1" m="1" x="537"/>
        <item t="data" sd="1" m="1" x="390"/>
        <item t="data" sd="1" m="1" x="542"/>
        <item t="data" sd="1" m="1" x="395"/>
        <item t="data" sd="1" m="1" x="547"/>
        <item t="data" sd="1" m="1" x="399"/>
        <item t="data" sd="1" m="1" x="551"/>
        <item t="data" sd="1" m="1" x="491"/>
        <item t="data" sd="1" m="1" x="346"/>
        <item t="data" sd="1" m="1" x="496"/>
        <item t="data" sd="1" m="1" x="351"/>
        <item t="data" sd="1" m="1" x="501"/>
        <item t="data" sd="1" m="1" x="355"/>
        <item t="data" sd="1" m="1" x="506"/>
        <item t="data" sd="1" m="1" x="359"/>
        <item t="data" sd="1" m="1" x="510"/>
        <item t="data" sd="1" m="1" x="363"/>
        <item t="data" sd="1" m="1" x="514"/>
        <item t="data" sd="1" m="1" x="367"/>
        <item t="data" sd="1" m="1" x="518"/>
        <item t="data" sd="1" m="1" x="371"/>
        <item t="data" sd="1" m="1" x="523"/>
        <item t="data" sd="1" m="1" x="376"/>
        <item t="data" sd="1" m="1" x="528"/>
        <item t="data" sd="1" m="1" x="381"/>
        <item t="data" sd="1" m="1" x="533"/>
        <item t="data" sd="1" m="1" x="386"/>
        <item t="data" sd="1" m="1" x="538"/>
        <item t="data" sd="1" m="1" x="391"/>
        <item t="data" sd="1" m="1" x="543"/>
        <item t="data" sd="1" m="1" x="400"/>
        <item t="data" sd="1" m="1" x="552"/>
        <item t="data" sd="1" m="1" x="404"/>
        <item t="data" sd="1" m="1" x="263"/>
        <item t="data" sd="1" m="1" x="408"/>
        <item t="data" sd="1" m="1" x="502"/>
        <item t="data" sd="1" m="1" x="356"/>
        <item t="data" sd="1" m="1" x="507"/>
        <item t="data" sd="1" m="1" x="360"/>
        <item t="data" sd="1" m="1" x="511"/>
        <item t="data" sd="1" m="1" x="364"/>
        <item t="data" sd="1" m="1" x="515"/>
        <item t="data" sd="1" m="1" x="368"/>
        <item t="data" sd="1" m="1" x="519"/>
        <item t="data" sd="1" m="1" x="372"/>
        <item t="data" sd="1" m="1" x="524"/>
        <item t="data" sd="1" m="1" x="377"/>
        <item t="data" sd="1" m="1" x="529"/>
        <item t="data" sd="1" m="1" x="382"/>
        <item t="data" sd="1" m="1" x="534"/>
        <item t="data" sd="1" m="1" x="387"/>
        <item t="data" sd="1" m="1" x="539"/>
        <item t="data" sd="1" m="1" x="392"/>
        <item t="data" sd="1" m="1" x="544"/>
        <item t="data" sd="1" m="1" x="396"/>
        <item t="data" sd="1" m="1" x="548"/>
        <item t="data" sd="1" m="1" x="401"/>
        <item t="data" sd="1" m="1" x="553"/>
        <item t="data" sd="1" m="1" x="405"/>
        <item t="data" sd="1" m="1" x="264"/>
        <item t="data" sd="1" m="1" x="409"/>
        <item t="data" sd="1" m="1" x="267"/>
        <item t="data" sd="1" m="1" x="412"/>
        <item t="data" sd="1" m="1" x="270"/>
        <item t="data" sd="1" m="1" x="416"/>
        <item t="data" sd="1" m="1" x="274"/>
        <item t="data" sd="1" m="1" x="512"/>
        <item t="data" sd="1" m="1" x="365"/>
        <item t="data" sd="1" m="1" x="516"/>
        <item t="data" sd="1" m="1" x="369"/>
        <item t="data" sd="1" m="1" x="520"/>
        <item t="data" sd="1" m="1" x="373"/>
        <item t="data" sd="1" m="1" x="525"/>
        <item t="data" sd="1" m="1" x="378"/>
        <item t="data" sd="1" m="1" x="530"/>
        <item t="data" sd="1" m="1" x="383"/>
        <item t="data" sd="1" m="1" x="535"/>
        <item t="data" sd="1" m="1" x="388"/>
        <item t="data" sd="1" m="1" x="540"/>
        <item t="data" sd="1" m="1" x="393"/>
        <item t="data" sd="1" m="1" x="545"/>
        <item t="data" sd="1" m="1" x="397"/>
        <item t="data" sd="1" m="1" x="549"/>
        <item t="data" sd="1" m="1" x="402"/>
        <item t="data" sd="1" m="1" x="554"/>
        <item t="data" sd="1" m="1" x="406"/>
        <item t="data" sd="1" m="1" x="265"/>
        <item t="data" sd="1" m="1" x="410"/>
        <item t="data" sd="1" m="1" x="268"/>
        <item t="data" sd="1" m="1" x="413"/>
        <item t="data" sd="1" m="1" x="271"/>
        <item t="data" sd="1" m="1" x="417"/>
        <item t="data" sd="1" m="1" x="275"/>
        <item t="data" sd="1" m="1" x="420"/>
        <item t="data" sd="1" m="1" x="278"/>
        <item t="data" sd="1" m="1" x="424"/>
        <item t="data" sd="1" m="1" x="521"/>
        <item t="data" sd="1" m="1" x="374"/>
        <item t="data" sd="1" m="1" x="526"/>
        <item t="data" sd="1" m="1" x="379"/>
        <item t="data" sd="1" m="1" x="531"/>
        <item t="data" sd="1" m="1" x="384"/>
        <item t="data" sd="1" m="1" x="536"/>
        <item t="data" sd="1" m="1" x="389"/>
        <item t="data" sd="1" m="1" x="541"/>
        <item t="data" sd="1" m="1" x="394"/>
        <item t="data" sd="1" m="1" x="546"/>
        <item t="data" sd="1" m="1" x="398"/>
        <item t="data" sd="1" m="1" x="550"/>
        <item t="data" sd="1" m="1" x="403"/>
        <item t="data" sd="1" m="1" x="555"/>
        <item t="data" sd="1" m="1" x="407"/>
        <item t="data" sd="1" m="1" x="266"/>
        <item t="data" sd="1" m="1" x="411"/>
        <item t="data" sd="1" m="1" x="269"/>
        <item t="data" sd="1" m="1" x="414"/>
        <item t="data" sd="1" m="1" x="272"/>
        <item t="data" sd="1" m="1" x="418"/>
        <item t="data" sd="1" m="1" x="276"/>
        <item t="data" sd="1" m="1" x="421"/>
        <item t="data" sd="1" m="1" x="279"/>
        <item t="data" sd="1" m="1" x="425"/>
        <item t="data" sd="1" m="1" x="282"/>
        <item t="data" sd="1" m="1" x="428"/>
        <item t="data" sd="1" m="1" x="285"/>
        <item t="data" sd="1" m="1" x="432"/>
        <item t="data" sd="1" m="1" x="289"/>
        <item t="data" sd="1" m="1" x="415"/>
        <item t="data" sd="1" m="1" x="273"/>
        <item t="data" sd="1" m="1" x="419"/>
        <item t="data" sd="1" m="1" x="277"/>
        <item t="data" sd="1" m="1" x="422"/>
        <item t="data" sd="1" m="1" x="280"/>
        <item t="data" sd="1" m="1" x="426"/>
        <item t="data" sd="1" m="1" x="283"/>
        <item t="data" sd="1" m="1" x="429"/>
        <item t="data" sd="1" m="1" x="286"/>
        <item t="data" sd="1" m="1" x="433"/>
        <item t="data" sd="1" m="1" x="290"/>
        <item t="data" sd="1" m="1" x="436"/>
        <item t="data" sd="1" m="1" x="293"/>
        <item t="data" sd="1" m="1" x="440"/>
        <item t="data" sd="1" m="1" x="297"/>
        <item t="data" sd="1" m="1" x="444"/>
        <item t="data" sd="1" m="1" x="301"/>
        <item t="data" sd="1" m="1" x="449"/>
        <item t="data" sd="1" m="1" x="306"/>
        <item t="data" sd="1" m="1" x="454"/>
        <item t="data" sd="1" m="1" x="311"/>
        <item t="data" sd="1" m="1" x="459"/>
        <item t="data" sd="1" m="1" x="316"/>
        <item t="data" sd="1" m="1" x="464"/>
        <item t="data" sd="1" m="1" x="321"/>
        <item t="data" sd="1" m="1" x="469"/>
        <item t="data" sd="1" m="1" x="326"/>
        <item t="data" sd="1" m="1" x="474"/>
        <item t="data" sd="1" m="1" x="331"/>
        <item t="data" sd="1" m="1" x="480"/>
        <item t="data" sd="1" m="1" x="423"/>
        <item t="data" sd="1" m="1" x="281"/>
        <item t="data" sd="1" m="1" x="427"/>
        <item t="data" sd="1" m="1" x="284"/>
        <item t="data" sd="1" m="1" x="430"/>
        <item t="data" sd="1" m="1" x="287"/>
        <item t="data" sd="1" m="1" x="434"/>
        <item t="data" sd="1" m="1" x="291"/>
        <item t="data" sd="1" m="1" x="437"/>
        <item t="data" sd="1" m="1" x="294"/>
        <item t="data" sd="1" m="1" x="441"/>
        <item t="data" sd="1" m="1" x="298"/>
        <item t="data" sd="1" m="1" x="445"/>
        <item t="data" sd="1" m="1" x="302"/>
        <item t="data" sd="1" m="1" x="450"/>
        <item t="data" sd="1" m="1" x="307"/>
        <item t="data" sd="1" m="1" x="455"/>
        <item t="data" sd="1" m="1" x="312"/>
        <item t="data" sd="1" m="1" x="460"/>
        <item t="data" sd="1" m="1" x="317"/>
        <item t="data" sd="1" m="1" x="465"/>
        <item t="data" sd="1" m="1" x="322"/>
        <item t="data" sd="1" m="1" x="470"/>
        <item t="data" sd="1" m="1" x="327"/>
        <item t="data" sd="1" m="1" x="475"/>
        <item t="data" sd="1" m="1" x="332"/>
        <item t="data" sd="1" m="1" x="481"/>
        <item t="data" sd="1" m="1" x="337"/>
        <item t="data" sd="1" m="1" x="486"/>
        <item t="data" sd="1" m="1" x="431"/>
        <item t="data" sd="1" m="1" x="288"/>
        <item t="data" sd="1" m="1" x="435"/>
        <item t="data" sd="1" m="1" x="292"/>
        <item t="data" sd="1" m="1" x="438"/>
        <item t="data" sd="1" m="1" x="295"/>
        <item t="data" sd="1" m="1" x="442"/>
        <item t="data" sd="1" m="1" x="299"/>
        <item t="data" sd="1" m="1" x="446"/>
        <item t="data" sd="1" m="1" x="303"/>
        <item t="data" sd="1" m="1" x="451"/>
        <item t="data" sd="1" m="1" x="308"/>
        <item t="data" sd="1" m="1" x="456"/>
        <item t="data" sd="1" m="1" x="313"/>
        <item t="data" sd="1" m="1" x="461"/>
        <item t="data" sd="1" m="1" x="318"/>
        <item t="data" sd="1" m="1" x="466"/>
        <item t="data" sd="1" m="1" x="323"/>
        <item t="data" sd="1" m="1" x="471"/>
        <item t="data" sd="1" m="1" x="328"/>
        <item t="data" sd="1" m="1" x="476"/>
        <item t="data" sd="1" m="1" x="333"/>
        <item t="data" sd="1" m="1" x="482"/>
        <item t="data" sd="1" m="1" x="338"/>
        <item t="data" sd="1" m="1" x="487"/>
        <item t="data" sd="1" m="1" x="342"/>
        <item t="data" sd="1" m="1" x="492"/>
        <item t="data" sd="1" m="1" x="347"/>
        <item t="data" sd="1" m="1" x="497"/>
        <item t="data" sd="1" m="1" x="352"/>
        <item t="data" sd="1" m="1" x="503"/>
        <item t="data" sd="1" m="1" x="439"/>
        <item t="data" sd="1" m="1" x="296"/>
        <item t="data" sd="1" m="1" x="443"/>
        <item t="data" sd="1" m="1" x="300"/>
        <item t="data" sd="1" m="1" x="447"/>
        <item t="data" sd="1" m="1" x="304"/>
        <item t="data" sd="1" m="1" x="452"/>
        <item t="data" sd="1" m="1" x="309"/>
        <item t="data" sd="1" m="1" x="457"/>
        <item t="data" sd="1" m="1" x="314"/>
        <item t="data" sd="1" m="1" x="462"/>
        <item t="data" sd="1" m="1" x="319"/>
        <item t="data" sd="1" m="1" x="467"/>
        <item t="data" sd="1" m="1" x="324"/>
        <item t="data" sd="1" m="1" x="472"/>
        <item t="data" sd="1" m="1" x="329"/>
        <item t="data" sd="1" m="1" x="477"/>
        <item t="data" sd="1" m="1" x="334"/>
        <item t="data" sd="1" m="1" x="483"/>
        <item t="data" sd="1" m="1" x="339"/>
        <item t="data" sd="1" m="1" x="488"/>
        <item t="data" sd="1" m="1" x="343"/>
        <item t="data" sd="1" m="1" x="493"/>
        <item t="data" sd="1" m="1" x="348"/>
        <item t="data" sd="1" m="1" x="498"/>
        <item t="data" sd="1" m="1" x="353"/>
        <item t="data" sd="1" m="1" x="504"/>
        <item t="data" sd="1" m="1" x="357"/>
        <item t="data" sd="1" m="1" x="508"/>
        <item t="data" sd="1" m="1" x="361"/>
        <item t="data" sd="1" m="1" x="448"/>
        <item t="data" sd="1" m="1" x="305"/>
        <item t="data" sd="1" m="1" x="453"/>
        <item t="data" sd="1" m="1" x="310"/>
        <item t="data" sd="1" m="1" x="458"/>
        <item t="data" sd="1" m="1" x="315"/>
        <item t="data" sd="1" m="1" x="463"/>
        <item t="data" sd="1" m="1" x="320"/>
        <item t="data" sd="1" m="1" x="468"/>
        <item t="data" sd="1" m="1" x="325"/>
        <item t="data" sd="1" m="1" x="473"/>
        <item t="data" sd="1" m="1" x="330"/>
        <item t="data" sd="1" m="1" x="478"/>
        <item t="data" sd="1" m="1" x="335"/>
        <item t="data" sd="1" m="1" x="484"/>
        <item t="data" sd="1" m="1" x="340"/>
        <item t="data" sd="1" m="1" x="489"/>
        <item t="data" sd="1" m="1" x="344"/>
        <item t="data" sd="1" m="1" x="494"/>
        <item t="data" sd="1" m="1" x="349"/>
        <item t="data" sd="1" m="1" x="499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</items>
    </pivotField>
    <pivotField axis="axisRow" showDropDowns="1" compact="0" outline="0" subtotalTop="1" dragToRow="1" dragToCol="1" dragToPage="1" dragToData="1" dragOff="1" showAll="0" topAutoShow="1" itemPageCount="10" sortType="manual" defaultSubtotal="1">
      <items count="9">
        <item t="data" sd="1" x="2"/>
        <item t="data" sd="1" x="3"/>
        <item t="data" sd="1" x="4"/>
        <item t="data" sd="1" x="7"/>
        <item t="data" sd="1" x="6"/>
        <item t="data" sd="1" x="0"/>
        <item t="data" sd="1" x="1"/>
        <item t="data" sd="1" x="5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25">
        <item t="data" sd="1" m="1" x="3"/>
        <item t="data" sd="1" m="1" x="23"/>
        <item t="data" sd="1" m="1" x="6"/>
        <item t="data" sd="1" m="1" x="13"/>
        <item t="data" sd="1" m="1" x="21"/>
        <item t="data" sd="1" m="1" x="8"/>
        <item t="data" sd="1" m="1" x="9"/>
        <item t="data" sd="1" m="1" x="10"/>
        <item t="data" sd="1" m="1" x="7"/>
        <item t="data" sd="1" m="1" x="4"/>
        <item t="data" sd="1" m="1" x="20"/>
        <item t="data" sd="1" m="1" x="18"/>
        <item t="data" h="1" sd="1" m="1" x="19"/>
        <item t="data" sd="1" m="1" x="15"/>
        <item t="data" sd="1" m="1" x="22"/>
        <item t="data" sd="1" m="1" x="11"/>
        <item t="data" h="1" sd="1" x="0"/>
        <item t="data" sd="1" m="1" x="16"/>
        <item t="data" sd="1" x="1"/>
        <item t="data" h="1" sd="1" m="1" x="12"/>
        <item t="data" sd="1" m="1" x="17"/>
        <item t="data" h="1" sd="1" m="1" x="14"/>
        <item t="data" sd="1" m="1" x="5"/>
        <item t="data" h="1" sd="1" x="2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Col" showDropDowns="1" compact="0" outline="0" subtotalTop="1" dragToRow="1" dragToCol="1" dragToPage="1" dragToData="1" dragOff="1" showAll="0" topAutoShow="1" itemPageCount="10" sortType="manual" defaultSubtotal="1">
      <items count="16">
        <item t="data" sd="0" m="1" x="10"/>
        <item t="data" sd="0" m="1" x="3"/>
        <item t="data" sd="0" m="1" x="9"/>
        <item t="data" sd="1" x="1"/>
        <item t="data" sd="1" m="1" x="7"/>
        <item t="data" sd="1" m="1" x="6"/>
        <item t="data" sd="1" m="1" x="8"/>
        <item t="data" sd="1" m="1" x="12"/>
        <item t="data" sd="1" m="1" x="5"/>
        <item t="data" sd="1" m="1" x="14"/>
        <item t="data" sd="1" m="1" x="11"/>
        <item t="data" sd="1" m="1" x="4"/>
        <item t="data" sd="1" m="1" x="13"/>
        <item t="data" sd="1" x="0"/>
        <item t="data" sd="1" x="2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2">
    <field x="0"/>
    <field x="1"/>
  </rowFields>
  <rowItems count="263">
    <i t="data" r="0" i="0">
      <x v="293"/>
      <x v="5"/>
    </i>
    <i t="data" r="0" i="0">
      <x v="294"/>
      <x v="6"/>
    </i>
    <i t="data" r="0" i="0">
      <x v="295"/>
      <x v="0"/>
    </i>
    <i t="data" r="0" i="0">
      <x v="296"/>
      <x v="1"/>
    </i>
    <i t="data" r="0" i="0">
      <x v="297"/>
      <x v="2"/>
    </i>
    <i t="data" r="0" i="0">
      <x v="298"/>
      <x v="5"/>
    </i>
    <i t="data" r="0" i="0">
      <x v="299"/>
      <x v="6"/>
    </i>
    <i t="data" r="0" i="0">
      <x v="300"/>
      <x v="7"/>
    </i>
    <i t="data" r="0" i="0">
      <x v="301"/>
      <x v="4"/>
    </i>
    <i t="data" r="0" i="0">
      <x v="302"/>
      <x v="0"/>
    </i>
    <i t="data" r="0" i="0">
      <x v="303"/>
      <x v="1"/>
    </i>
    <i t="data" r="0" i="0">
      <x v="304"/>
      <x v="2"/>
    </i>
    <i t="data" r="0" i="0">
      <x v="305"/>
      <x v="5"/>
    </i>
    <i t="data" r="0" i="0">
      <x v="306"/>
      <x v="6"/>
    </i>
    <i t="data" r="0" i="0">
      <x v="307"/>
      <x v="7"/>
    </i>
    <i t="data" r="0" i="0">
      <x v="308"/>
      <x v="4"/>
    </i>
    <i t="data" r="0" i="0">
      <x v="309"/>
      <x v="0"/>
    </i>
    <i t="data" r="0" i="0">
      <x v="310"/>
      <x v="1"/>
    </i>
    <i t="data" r="0" i="0">
      <x v="311"/>
      <x v="2"/>
    </i>
    <i t="data" r="0" i="0">
      <x v="312"/>
      <x v="5"/>
    </i>
    <i t="data" r="0" i="0">
      <x v="313"/>
      <x v="6"/>
    </i>
    <i t="data" r="0" i="0">
      <x v="314"/>
      <x v="7"/>
    </i>
    <i t="data" r="0" i="0">
      <x v="315"/>
      <x v="4"/>
    </i>
    <i t="data" r="0" i="0">
      <x v="316"/>
      <x v="0"/>
    </i>
    <i t="data" r="0" i="0">
      <x v="317"/>
      <x v="1"/>
    </i>
    <i t="data" r="0" i="0">
      <x v="318"/>
      <x v="2"/>
    </i>
    <i t="data" r="0" i="0">
      <x v="319"/>
      <x v="5"/>
    </i>
    <i t="data" r="0" i="0">
      <x v="320"/>
      <x v="6"/>
    </i>
    <i t="data" r="0" i="0">
      <x v="321"/>
      <x v="7"/>
    </i>
    <i t="data" r="0" i="0">
      <x v="322"/>
      <x v="4"/>
    </i>
    <i t="data" r="0" i="0">
      <x v="323"/>
      <x v="0"/>
    </i>
    <i t="data" r="0" i="0">
      <x v="324"/>
      <x v="1"/>
    </i>
    <i t="data" r="0" i="0">
      <x v="325"/>
      <x v="2"/>
    </i>
    <i t="data" r="0" i="0">
      <x v="326"/>
      <x v="5"/>
    </i>
    <i t="data" r="0" i="0">
      <x v="327"/>
      <x v="6"/>
    </i>
    <i t="data" r="0" i="0">
      <x v="328"/>
      <x v="7"/>
    </i>
    <i t="data" r="0" i="0">
      <x v="329"/>
      <x v="4"/>
    </i>
    <i t="data" r="0" i="0">
      <x v="330"/>
      <x v="0"/>
    </i>
    <i t="data" r="0" i="0">
      <x v="331"/>
      <x v="1"/>
    </i>
    <i t="data" r="0" i="0">
      <x v="332"/>
      <x v="2"/>
    </i>
    <i t="data" r="0" i="0">
      <x v="333"/>
      <x v="5"/>
    </i>
    <i t="data" r="0" i="0">
      <x v="334"/>
      <x v="6"/>
    </i>
    <i t="data" r="0" i="0">
      <x v="335"/>
      <x v="7"/>
    </i>
    <i t="data" r="0" i="0">
      <x v="336"/>
      <x v="4"/>
    </i>
    <i t="data" r="0" i="0">
      <x v="337"/>
      <x v="0"/>
    </i>
    <i t="data" r="0" i="0">
      <x v="338"/>
      <x v="1"/>
    </i>
    <i t="data" r="0" i="0">
      <x v="339"/>
      <x v="2"/>
    </i>
    <i t="data" r="0" i="0">
      <x v="340"/>
      <x v="5"/>
    </i>
    <i t="data" r="0" i="0">
      <x v="341"/>
      <x v="6"/>
    </i>
    <i t="data" r="0" i="0">
      <x v="342"/>
      <x v="7"/>
    </i>
    <i t="data" r="0" i="0">
      <x v="343"/>
      <x v="4"/>
    </i>
    <i t="data" r="0" i="0">
      <x v="344"/>
      <x v="0"/>
    </i>
    <i t="data" r="0" i="0">
      <x v="345"/>
      <x v="1"/>
    </i>
    <i t="data" r="0" i="0">
      <x v="346"/>
      <x v="2"/>
    </i>
    <i t="data" r="0" i="0">
      <x v="347"/>
      <x v="5"/>
    </i>
    <i t="data" r="0" i="0">
      <x v="348"/>
      <x v="6"/>
    </i>
    <i t="data" r="0" i="0">
      <x v="349"/>
      <x v="7"/>
    </i>
    <i t="data" r="0" i="0">
      <x v="350"/>
      <x v="4"/>
    </i>
    <i t="data" r="0" i="0">
      <x v="351"/>
      <x v="0"/>
    </i>
    <i t="data" r="0" i="0">
      <x v="352"/>
      <x v="1"/>
    </i>
    <i t="data" r="0" i="0">
      <x v="353"/>
      <x v="2"/>
    </i>
    <i t="data" r="0" i="0">
      <x v="354"/>
      <x v="5"/>
    </i>
    <i t="data" r="0" i="0">
      <x v="355"/>
      <x v="6"/>
    </i>
    <i t="data" r="0" i="0">
      <x v="356"/>
      <x v="7"/>
    </i>
    <i t="data" r="0" i="0">
      <x v="357"/>
      <x v="4"/>
    </i>
    <i t="data" r="0" i="0">
      <x v="358"/>
      <x v="0"/>
    </i>
    <i t="data" r="0" i="0">
      <x v="359"/>
      <x v="1"/>
    </i>
    <i t="data" r="0" i="0">
      <x v="360"/>
      <x v="2"/>
    </i>
    <i t="data" r="0" i="0">
      <x v="361"/>
      <x v="5"/>
    </i>
    <i t="data" r="0" i="0">
      <x v="362"/>
      <x v="6"/>
    </i>
    <i t="data" r="0" i="0">
      <x v="363"/>
      <x v="7"/>
    </i>
    <i t="data" r="0" i="0">
      <x v="364"/>
      <x v="4"/>
    </i>
    <i t="data" r="0" i="0">
      <x v="365"/>
      <x v="0"/>
    </i>
    <i t="data" r="0" i="0">
      <x v="366"/>
      <x v="1"/>
    </i>
    <i t="data" r="0" i="0">
      <x v="367"/>
      <x v="2"/>
    </i>
    <i t="data" r="0" i="0">
      <x v="368"/>
      <x v="5"/>
    </i>
    <i t="data" r="0" i="0">
      <x v="369"/>
      <x v="6"/>
    </i>
    <i t="data" r="0" i="0">
      <x v="370"/>
      <x v="7"/>
    </i>
    <i t="data" r="0" i="0">
      <x v="371"/>
      <x v="4"/>
    </i>
    <i t="data" r="0" i="0">
      <x v="372"/>
      <x v="0"/>
    </i>
    <i t="data" r="0" i="0">
      <x v="373"/>
      <x v="1"/>
    </i>
    <i t="data" r="0" i="0">
      <x v="374"/>
      <x v="2"/>
    </i>
    <i t="data" r="0" i="0">
      <x v="375"/>
      <x v="5"/>
    </i>
    <i t="data" r="0" i="0">
      <x v="376"/>
      <x v="6"/>
    </i>
    <i t="data" r="0" i="0">
      <x v="377"/>
      <x v="7"/>
    </i>
    <i t="data" r="0" i="0">
      <x v="378"/>
      <x v="4"/>
    </i>
    <i t="data" r="0" i="0">
      <x v="379"/>
      <x v="0"/>
    </i>
    <i t="data" r="0" i="0">
      <x v="380"/>
      <x v="1"/>
    </i>
    <i t="data" r="0" i="0">
      <x v="381"/>
      <x v="2"/>
    </i>
    <i t="data" r="0" i="0">
      <x v="382"/>
      <x v="5"/>
    </i>
    <i t="data" r="0" i="0">
      <x v="383"/>
      <x v="6"/>
    </i>
    <i t="data" r="0" i="0">
      <x v="384"/>
      <x v="7"/>
    </i>
    <i t="data" r="0" i="0">
      <x v="385"/>
      <x v="4"/>
    </i>
    <i t="data" r="0" i="0">
      <x v="386"/>
      <x v="0"/>
    </i>
    <i t="data" r="0" i="0">
      <x v="387"/>
      <x v="1"/>
    </i>
    <i t="data" r="0" i="0">
      <x v="388"/>
      <x v="2"/>
    </i>
    <i t="data" r="0" i="0">
      <x v="389"/>
      <x v="5"/>
    </i>
    <i t="data" r="0" i="0">
      <x v="390"/>
      <x v="6"/>
    </i>
    <i t="data" r="0" i="0">
      <x v="391"/>
      <x v="7"/>
    </i>
    <i t="data" r="0" i="0">
      <x v="392"/>
      <x v="4"/>
    </i>
    <i t="data" r="0" i="0">
      <x v="393"/>
      <x v="0"/>
    </i>
    <i t="data" r="0" i="0">
      <x v="394"/>
      <x v="1"/>
    </i>
    <i t="data" r="0" i="0">
      <x v="395"/>
      <x v="2"/>
    </i>
    <i t="data" r="0" i="0">
      <x v="396"/>
      <x v="5"/>
    </i>
    <i t="data" r="0" i="0">
      <x v="397"/>
      <x v="6"/>
    </i>
    <i t="data" r="0" i="0">
      <x v="398"/>
      <x v="7"/>
    </i>
    <i t="data" r="0" i="0">
      <x v="399"/>
      <x v="4"/>
    </i>
    <i t="data" r="0" i="0">
      <x v="400"/>
      <x v="0"/>
    </i>
    <i t="data" r="0" i="0">
      <x v="401"/>
      <x v="1"/>
    </i>
    <i t="data" r="0" i="0">
      <x v="402"/>
      <x v="2"/>
    </i>
    <i t="data" r="0" i="0">
      <x v="403"/>
      <x v="5"/>
    </i>
    <i t="data" r="0" i="0">
      <x v="404"/>
      <x v="6"/>
    </i>
    <i t="data" r="0" i="0">
      <x v="405"/>
      <x v="7"/>
    </i>
    <i t="data" r="0" i="0">
      <x v="406"/>
      <x v="4"/>
    </i>
    <i t="data" r="0" i="0">
      <x v="407"/>
      <x v="0"/>
    </i>
    <i t="data" r="0" i="0">
      <x v="408"/>
      <x v="1"/>
    </i>
    <i t="data" r="0" i="0">
      <x v="409"/>
      <x v="2"/>
    </i>
    <i t="data" r="0" i="0">
      <x v="410"/>
      <x v="5"/>
    </i>
    <i t="data" r="0" i="0">
      <x v="411"/>
      <x v="6"/>
    </i>
    <i t="data" r="0" i="0">
      <x v="412"/>
      <x v="7"/>
    </i>
    <i t="data" r="0" i="0">
      <x v="413"/>
      <x v="4"/>
    </i>
    <i t="data" r="0" i="0">
      <x v="414"/>
      <x v="0"/>
    </i>
    <i t="data" r="0" i="0">
      <x v="415"/>
      <x v="1"/>
    </i>
    <i t="data" r="0" i="0">
      <x v="416"/>
      <x v="2"/>
    </i>
    <i t="data" r="0" i="0">
      <x v="417"/>
      <x v="5"/>
    </i>
    <i t="data" r="0" i="0">
      <x v="418"/>
      <x v="6"/>
    </i>
    <i t="data" r="0" i="0">
      <x v="419"/>
      <x v="7"/>
    </i>
    <i t="data" r="0" i="0">
      <x v="420"/>
      <x v="4"/>
    </i>
    <i t="data" r="0" i="0">
      <x v="421"/>
      <x v="0"/>
    </i>
    <i t="data" r="0" i="0">
      <x v="422"/>
      <x v="1"/>
    </i>
    <i t="data" r="0" i="0">
      <x v="423"/>
      <x v="2"/>
    </i>
    <i t="data" r="0" i="0">
      <x v="424"/>
      <x v="5"/>
    </i>
    <i t="data" r="0" i="0">
      <x v="425"/>
      <x v="6"/>
    </i>
    <i t="data" r="0" i="0">
      <x v="426"/>
      <x v="7"/>
    </i>
    <i t="data" r="0" i="0">
      <x v="427"/>
      <x v="4"/>
    </i>
    <i t="data" r="0" i="0">
      <x v="428"/>
      <x v="0"/>
    </i>
    <i t="data" r="0" i="0">
      <x v="429"/>
      <x v="1"/>
    </i>
    <i t="data" r="0" i="0">
      <x v="430"/>
      <x v="2"/>
    </i>
    <i t="data" r="0" i="0">
      <x v="431"/>
      <x v="5"/>
    </i>
    <i t="data" r="0" i="0">
      <x v="432"/>
      <x v="6"/>
    </i>
    <i t="data" r="0" i="0">
      <x v="433"/>
      <x v="7"/>
    </i>
    <i t="data" r="0" i="0">
      <x v="434"/>
      <x v="4"/>
    </i>
    <i t="data" r="0" i="0">
      <x v="435"/>
      <x v="0"/>
    </i>
    <i t="data" r="0" i="0">
      <x v="436"/>
      <x v="1"/>
    </i>
    <i t="data" r="0" i="0">
      <x v="437"/>
      <x v="2"/>
    </i>
    <i t="data" r="0" i="0">
      <x v="438"/>
      <x v="5"/>
    </i>
    <i t="data" r="0" i="0">
      <x v="439"/>
      <x v="6"/>
    </i>
    <i t="data" r="0" i="0">
      <x v="440"/>
      <x v="7"/>
    </i>
    <i t="data" r="0" i="0">
      <x v="441"/>
      <x v="4"/>
    </i>
    <i t="data" r="0" i="0">
      <x v="442"/>
      <x v="0"/>
    </i>
    <i t="data" r="0" i="0">
      <x v="443"/>
      <x v="1"/>
    </i>
    <i t="data" r="0" i="0">
      <x v="444"/>
      <x v="2"/>
    </i>
    <i t="data" r="0" i="0">
      <x v="445"/>
      <x v="5"/>
    </i>
    <i t="data" r="0" i="0">
      <x v="446"/>
      <x v="6"/>
    </i>
    <i t="data" r="0" i="0">
      <x v="447"/>
      <x v="7"/>
    </i>
    <i t="data" r="0" i="0">
      <x v="448"/>
      <x v="4"/>
    </i>
    <i t="data" r="0" i="0">
      <x v="449"/>
      <x v="0"/>
    </i>
    <i t="data" r="0" i="0">
      <x v="450"/>
      <x v="1"/>
    </i>
    <i t="data" r="0" i="0">
      <x v="451"/>
      <x v="2"/>
    </i>
    <i t="data" r="0" i="0">
      <x v="452"/>
      <x v="5"/>
    </i>
    <i t="data" r="0" i="0">
      <x v="453"/>
      <x v="6"/>
    </i>
    <i t="data" r="0" i="0">
      <x v="454"/>
      <x v="7"/>
    </i>
    <i t="data" r="0" i="0">
      <x v="455"/>
      <x v="4"/>
    </i>
    <i t="data" r="0" i="0">
      <x v="456"/>
      <x v="0"/>
    </i>
    <i t="data" r="0" i="0">
      <x v="457"/>
      <x v="1"/>
    </i>
    <i t="data" r="0" i="0">
      <x v="458"/>
      <x v="2"/>
    </i>
    <i t="data" r="0" i="0">
      <x v="459"/>
      <x v="5"/>
    </i>
    <i t="data" r="0" i="0">
      <x v="460"/>
      <x v="6"/>
    </i>
    <i t="data" r="0" i="0">
      <x v="461"/>
      <x v="7"/>
    </i>
    <i t="data" r="0" i="0">
      <x v="462"/>
      <x v="4"/>
    </i>
    <i t="data" r="0" i="0">
      <x v="463"/>
      <x v="0"/>
    </i>
    <i t="data" r="0" i="0">
      <x v="464"/>
      <x v="1"/>
    </i>
    <i t="data" r="0" i="0">
      <x v="465"/>
      <x v="2"/>
    </i>
    <i t="data" r="0" i="0">
      <x v="466"/>
      <x v="5"/>
    </i>
    <i t="data" r="0" i="0">
      <x v="467"/>
      <x v="6"/>
    </i>
    <i t="data" r="0" i="0">
      <x v="468"/>
      <x v="7"/>
    </i>
    <i t="data" r="0" i="0">
      <x v="469"/>
      <x v="4"/>
    </i>
    <i t="data" r="0" i="0">
      <x v="470"/>
      <x v="0"/>
    </i>
    <i t="data" r="0" i="0">
      <x v="471"/>
      <x v="1"/>
    </i>
    <i t="data" r="0" i="0">
      <x v="472"/>
      <x v="2"/>
    </i>
    <i t="data" r="0" i="0">
      <x v="473"/>
      <x v="5"/>
    </i>
    <i t="data" r="0" i="0">
      <x v="474"/>
      <x v="6"/>
    </i>
    <i t="data" r="0" i="0">
      <x v="475"/>
      <x v="7"/>
    </i>
    <i t="data" r="0" i="0">
      <x v="476"/>
      <x v="4"/>
    </i>
    <i t="data" r="0" i="0">
      <x v="477"/>
      <x v="0"/>
    </i>
    <i t="data" r="0" i="0">
      <x v="478"/>
      <x v="1"/>
    </i>
    <i t="data" r="0" i="0">
      <x v="479"/>
      <x v="2"/>
    </i>
    <i t="data" r="0" i="0">
      <x v="480"/>
      <x v="5"/>
    </i>
    <i t="data" r="0" i="0">
      <x v="481"/>
      <x v="6"/>
    </i>
    <i t="data" r="0" i="0">
      <x v="482"/>
      <x v="7"/>
    </i>
    <i t="data" r="0" i="0">
      <x v="483"/>
      <x v="4"/>
    </i>
    <i t="data" r="0" i="0">
      <x v="484"/>
      <x v="0"/>
    </i>
    <i t="data" r="0" i="0">
      <x v="485"/>
      <x v="1"/>
    </i>
    <i t="data" r="0" i="0">
      <x v="486"/>
      <x v="2"/>
    </i>
    <i t="data" r="0" i="0">
      <x v="487"/>
      <x v="5"/>
    </i>
    <i t="data" r="0" i="0">
      <x v="488"/>
      <x v="6"/>
    </i>
    <i t="data" r="0" i="0">
      <x v="489"/>
      <x v="7"/>
    </i>
    <i t="data" r="0" i="0">
      <x v="490"/>
      <x v="4"/>
    </i>
    <i t="data" r="0" i="0">
      <x v="491"/>
      <x v="0"/>
    </i>
    <i t="data" r="0" i="0">
      <x v="492"/>
      <x v="1"/>
    </i>
    <i t="data" r="0" i="0">
      <x v="493"/>
      <x v="2"/>
    </i>
    <i t="data" r="0" i="0">
      <x v="494"/>
      <x v="5"/>
    </i>
    <i t="data" r="0" i="0">
      <x v="495"/>
      <x v="6"/>
    </i>
    <i t="data" r="0" i="0">
      <x v="496"/>
      <x v="7"/>
    </i>
    <i t="data" r="0" i="0">
      <x v="497"/>
      <x v="4"/>
    </i>
    <i t="data" r="0" i="0">
      <x v="498"/>
      <x v="0"/>
    </i>
    <i t="data" r="0" i="0">
      <x v="499"/>
      <x v="1"/>
    </i>
    <i t="data" r="0" i="0">
      <x v="500"/>
      <x v="2"/>
    </i>
    <i t="data" r="0" i="0">
      <x v="501"/>
      <x v="5"/>
    </i>
    <i t="data" r="0" i="0">
      <x v="502"/>
      <x v="6"/>
    </i>
    <i t="data" r="0" i="0">
      <x v="503"/>
      <x v="7"/>
    </i>
    <i t="data" r="0" i="0">
      <x v="504"/>
      <x v="4"/>
    </i>
    <i t="data" r="0" i="0">
      <x v="505"/>
      <x v="0"/>
    </i>
    <i t="data" r="0" i="0">
      <x v="506"/>
      <x v="1"/>
    </i>
    <i t="data" r="0" i="0">
      <x v="507"/>
      <x v="2"/>
    </i>
    <i t="data" r="0" i="0">
      <x v="508"/>
      <x v="5"/>
    </i>
    <i t="data" r="0" i="0">
      <x v="509"/>
      <x v="6"/>
    </i>
    <i t="data" r="0" i="0">
      <x v="510"/>
      <x v="7"/>
    </i>
    <i t="data" r="0" i="0">
      <x v="511"/>
      <x v="4"/>
    </i>
    <i t="data" r="0" i="0">
      <x v="512"/>
      <x v="0"/>
    </i>
    <i t="data" r="0" i="0">
      <x v="513"/>
      <x v="1"/>
    </i>
    <i t="data" r="0" i="0">
      <x v="514"/>
      <x v="2"/>
    </i>
    <i t="data" r="0" i="0">
      <x v="515"/>
      <x v="5"/>
    </i>
    <i t="data" r="0" i="0">
      <x v="516"/>
      <x v="6"/>
    </i>
    <i t="data" r="0" i="0">
      <x v="517"/>
      <x v="7"/>
    </i>
    <i t="data" r="0" i="0">
      <x v="518"/>
      <x v="4"/>
    </i>
    <i t="data" r="0" i="0">
      <x v="519"/>
      <x v="0"/>
    </i>
    <i t="data" r="0" i="0">
      <x v="520"/>
      <x v="1"/>
    </i>
    <i t="data" r="0" i="0">
      <x v="521"/>
      <x v="2"/>
    </i>
    <i t="data" r="0" i="0">
      <x v="522"/>
      <x v="5"/>
    </i>
    <i t="data" r="0" i="0">
      <x v="523"/>
      <x v="6"/>
    </i>
    <i t="data" r="0" i="0">
      <x v="524"/>
      <x v="7"/>
    </i>
    <i t="data" r="0" i="0">
      <x v="525"/>
      <x v="4"/>
    </i>
    <i t="data" r="0" i="0">
      <x v="526"/>
      <x v="0"/>
    </i>
    <i t="data" r="0" i="0">
      <x v="527"/>
      <x v="1"/>
    </i>
    <i t="data" r="0" i="0">
      <x v="528"/>
      <x v="2"/>
    </i>
    <i t="data" r="0" i="0">
      <x v="529"/>
      <x v="5"/>
    </i>
    <i t="data" r="0" i="0">
      <x v="530"/>
      <x v="6"/>
    </i>
    <i t="data" r="0" i="0">
      <x v="531"/>
      <x v="7"/>
    </i>
    <i t="data" r="0" i="0">
      <x v="532"/>
      <x v="4"/>
    </i>
    <i t="data" r="0" i="0">
      <x v="533"/>
      <x v="0"/>
    </i>
    <i t="data" r="0" i="0">
      <x v="534"/>
      <x v="1"/>
    </i>
    <i t="data" r="0" i="0">
      <x v="535"/>
      <x v="2"/>
    </i>
    <i t="data" r="0" i="0">
      <x v="536"/>
      <x v="5"/>
    </i>
    <i t="data" r="0" i="0">
      <x v="537"/>
      <x v="6"/>
    </i>
    <i t="data" r="0" i="0">
      <x v="538"/>
      <x v="7"/>
    </i>
    <i t="data" r="0" i="0">
      <x v="539"/>
      <x v="4"/>
    </i>
    <i t="data" r="0" i="0">
      <x v="540"/>
      <x v="0"/>
    </i>
    <i t="data" r="0" i="0">
      <x v="541"/>
      <x v="1"/>
    </i>
    <i t="data" r="0" i="0">
      <x v="542"/>
      <x v="2"/>
    </i>
    <i t="data" r="0" i="0">
      <x v="543"/>
      <x v="5"/>
    </i>
    <i t="data" r="0" i="0">
      <x v="544"/>
      <x v="6"/>
    </i>
    <i t="data" r="0" i="0">
      <x v="545"/>
      <x v="7"/>
    </i>
    <i t="data" r="0" i="0">
      <x v="546"/>
      <x v="4"/>
    </i>
    <i t="data" r="0" i="0">
      <x v="547"/>
      <x v="0"/>
    </i>
    <i t="data" r="0" i="0">
      <x v="548"/>
      <x v="1"/>
    </i>
    <i t="data" r="0" i="0">
      <x v="549"/>
      <x v="2"/>
    </i>
    <i t="data" r="0" i="0">
      <x v="550"/>
      <x v="5"/>
    </i>
    <i t="data" r="0" i="0">
      <x v="551"/>
      <x v="6"/>
    </i>
    <i t="data" r="0" i="0">
      <x v="552"/>
      <x v="7"/>
    </i>
    <i t="data" r="0" i="0">
      <x v="553"/>
      <x v="4"/>
    </i>
    <i t="data" r="0" i="0">
      <x v="554"/>
      <x v="0"/>
    </i>
    <i t="grand" r="0" i="0">
      <x v="0"/>
    </i>
  </rowItems>
  <colFields count="1">
    <field x="6"/>
  </colFields>
  <colItems count="3">
    <i t="data" r="0" i="0">
      <x v="13"/>
    </i>
    <i t="data" r="0" i="0">
      <x v="14"/>
    </i>
    <i t="grand" r="0" i="0">
      <x v="0"/>
    </i>
  </colItems>
  <pageFields count="1">
    <pageField fld="3" hier="-1"/>
  </pageFields>
  <dataFields count="1">
    <dataField name="합계 : 판매액" fld="10" subtotal="sum" showDataAs="normal" baseField="1" baseItem="6" numFmtId="176"/>
  </dataFields>
  <chartFormats count="15">
    <chartFormat chart="12" format="8" series="1">
      <pivotArea type="data" dataOnly="1" outline="0" fieldPosition="0">
        <references count="2">
          <reference field="4294967294" selected="0">
            <x v="0"/>
          </reference>
          <reference field="6" selected="0">
            <x v="0"/>
          </reference>
        </references>
      </pivotArea>
    </chartFormat>
    <chartFormat chart="12" format="9" series="1">
      <pivotArea type="data" dataOnly="1" outline="0" fieldPosition="0">
        <references count="2">
          <reference field="4294967294" selected="0">
            <x v="0"/>
          </reference>
          <reference field="6" selected="0">
            <x v="1"/>
          </reference>
        </references>
      </pivotArea>
    </chartFormat>
    <chartFormat chart="12" format="10" series="1">
      <pivotArea type="data" dataOnly="1" outline="0" fieldPosition="0">
        <references count="2">
          <reference field="4294967294" selected="0">
            <x v="0"/>
          </reference>
          <reference field="6" selected="0">
            <x v="2"/>
          </reference>
        </references>
      </pivotArea>
    </chartFormat>
    <chartFormat chart="12" format="11" series="1">
      <pivotArea type="data" dataOnly="1" outline="0" fieldPosition="0">
        <references count="2">
          <reference field="4294967294" selected="0">
            <x v="0"/>
          </reference>
          <reference field="6" selected="0">
            <x v="4"/>
          </reference>
        </references>
      </pivotArea>
    </chartFormat>
    <chartFormat chart="12" format="12" series="1">
      <pivotArea type="data" dataOnly="1" outline="0" fieldPosition="0">
        <references count="2">
          <reference field="4294967294" selected="0">
            <x v="0"/>
          </reference>
          <reference field="6" selected="0">
            <x v="3"/>
          </reference>
        </references>
      </pivotArea>
    </chartFormat>
    <chartFormat chart="12" format="13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12" format="14" series="1">
      <pivotArea type="data" dataOnly="1" outline="0" fieldPosition="0">
        <references count="2">
          <reference field="4294967294" selected="0">
            <x v="0"/>
          </reference>
          <reference field="6" selected="0">
            <x v="5"/>
          </reference>
        </references>
      </pivotArea>
    </chartFormat>
    <chartFormat chart="12" format="15" series="1">
      <pivotArea type="data" dataOnly="1" outline="0" fieldPosition="0">
        <references count="2">
          <reference field="4294967294" selected="0">
            <x v="0"/>
          </reference>
          <reference field="6" selected="0">
            <x v="6"/>
          </reference>
        </references>
      </pivotArea>
    </chartFormat>
    <chartFormat chart="12" format="16" series="1">
      <pivotArea type="data" dataOnly="1" outline="0" fieldPosition="0">
        <references count="2">
          <reference field="4294967294" selected="0">
            <x v="0"/>
          </reference>
          <reference field="6" selected="0">
            <x v="8"/>
          </reference>
        </references>
      </pivotArea>
    </chartFormat>
    <chartFormat chart="12" format="17" series="1">
      <pivotArea type="data" dataOnly="1" outline="0" fieldPosition="0">
        <references count="2">
          <reference field="4294967294" selected="0">
            <x v="0"/>
          </reference>
          <reference field="6" selected="0">
            <x v="9"/>
          </reference>
        </references>
      </pivotArea>
    </chartFormat>
    <chartFormat chart="12" format="18" series="1">
      <pivotArea type="data" dataOnly="1" outline="0" fieldPosition="0">
        <references count="2">
          <reference field="4294967294" selected="0">
            <x v="0"/>
          </reference>
          <reference field="6" selected="0">
            <x v="10"/>
          </reference>
        </references>
      </pivotArea>
    </chartFormat>
    <chartFormat chart="12" format="19" series="1">
      <pivotArea type="data" dataOnly="1" outline="0" fieldPosition="0">
        <references count="2">
          <reference field="4294967294" selected="0">
            <x v="0"/>
          </reference>
          <reference field="6" selected="0">
            <x v="11"/>
          </reference>
        </references>
      </pivotArea>
    </chartFormat>
    <chartFormat chart="12" format="20" series="1">
      <pivotArea type="data" dataOnly="1" outline="0" fieldPosition="0">
        <references count="2">
          <reference field="4294967294" selected="0">
            <x v="0"/>
          </reference>
          <reference field="6" selected="0">
            <x v="12"/>
          </reference>
        </references>
      </pivotArea>
    </chartFormat>
    <chartFormat chart="12" format="21" series="1">
      <pivotArea type="data" dataOnly="1" outline="0" fieldPosition="0">
        <references count="2">
          <reference field="4294967294" selected="0">
            <x v="0"/>
          </reference>
          <reference field="6" selected="0">
            <x v="13"/>
          </reference>
        </references>
      </pivotArea>
    </chartFormat>
    <chartFormat chart="12" format="22" series="1">
      <pivotArea type="data" dataOnly="1" outline="0" fieldPosition="0">
        <references count="2">
          <reference field="4294967294" selected="0">
            <x v="0"/>
          </reference>
          <reference field="6" selected="0">
            <x v="14"/>
          </reference>
        </references>
      </pivotArea>
    </chartFormat>
  </chartFormats>
  <pivotTableStyleInfo name="PivotStyleLight8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피벗 테이블2" cacheId="7" dataOnRows="0" dataCaption="값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0" outline="0" outlineData="0" compactData="0" published="0" gridDropZones="0" immersive="1" multipleFieldFilters="0" chartFormat="12" fieldListSortAscending="0" mdxSubqueries="0" applyNumberFormats="0" applyBorderFormats="0" applyFontFormats="0" applyPatternFormats="0" applyAlignmentFormats="0" applyWidthHeightFormats="1" r:id="rId1">
  <location ref="B3:F267" firstHeaderRow="1" firstDataRow="2" firstDataCol="2" rowPageCount="1" colPageCount="1"/>
  <pivotFields count="11">
    <pivotField axis="axisRow" showDropDowns="1" compact="0" outline="0" subtotalTop="1" dragToRow="1" dragToCol="1" dragToPage="1" dragToData="1" dragOff="1" showAll="0" topAutoShow="1" itemPageCount="10" sortType="ascending" defaultSubtotal="0">
      <items count="556">
        <item t="data" sd="1" m="1" x="479"/>
        <item t="data" sd="1" m="1" x="336"/>
        <item t="data" sd="1" m="1" x="485"/>
        <item t="data" sd="1" m="1" x="341"/>
        <item t="data" sd="1" m="1" x="490"/>
        <item t="data" sd="1" m="1" x="345"/>
        <item t="data" sd="1" m="1" x="495"/>
        <item t="data" sd="1" m="1" x="350"/>
        <item t="data" sd="1" m="1" x="500"/>
        <item t="data" sd="1" m="1" x="354"/>
        <item t="data" sd="1" m="1" x="505"/>
        <item t="data" sd="1" m="1" x="358"/>
        <item t="data" sd="1" m="1" x="509"/>
        <item t="data" sd="1" m="1" x="362"/>
        <item t="data" sd="1" m="1" x="513"/>
        <item t="data" sd="1" m="1" x="366"/>
        <item t="data" sd="1" m="1" x="517"/>
        <item t="data" sd="1" m="1" x="370"/>
        <item t="data" sd="1" m="1" x="522"/>
        <item t="data" sd="1" m="1" x="375"/>
        <item t="data" sd="1" m="1" x="527"/>
        <item t="data" sd="1" m="1" x="380"/>
        <item t="data" sd="1" m="1" x="532"/>
        <item t="data" sd="1" m="1" x="385"/>
        <item t="data" sd="1" m="1" x="537"/>
        <item t="data" sd="1" m="1" x="390"/>
        <item t="data" sd="1" m="1" x="542"/>
        <item t="data" sd="1" m="1" x="395"/>
        <item t="data" sd="1" m="1" x="547"/>
        <item t="data" sd="1" m="1" x="399"/>
        <item t="data" sd="1" m="1" x="551"/>
        <item t="data" sd="1" m="1" x="491"/>
        <item t="data" sd="1" m="1" x="346"/>
        <item t="data" sd="1" m="1" x="496"/>
        <item t="data" sd="1" m="1" x="351"/>
        <item t="data" sd="1" m="1" x="501"/>
        <item t="data" sd="1" m="1" x="355"/>
        <item t="data" sd="1" m="1" x="506"/>
        <item t="data" sd="1" m="1" x="359"/>
        <item t="data" sd="1" m="1" x="510"/>
        <item t="data" sd="1" m="1" x="363"/>
        <item t="data" sd="1" m="1" x="514"/>
        <item t="data" sd="1" m="1" x="367"/>
        <item t="data" sd="1" m="1" x="518"/>
        <item t="data" sd="1" m="1" x="371"/>
        <item t="data" sd="1" m="1" x="523"/>
        <item t="data" sd="1" m="1" x="376"/>
        <item t="data" sd="1" m="1" x="528"/>
        <item t="data" sd="1" m="1" x="381"/>
        <item t="data" sd="1" m="1" x="533"/>
        <item t="data" sd="1" m="1" x="386"/>
        <item t="data" sd="1" m="1" x="538"/>
        <item t="data" sd="1" m="1" x="391"/>
        <item t="data" sd="1" m="1" x="543"/>
        <item t="data" sd="1" m="1" x="400"/>
        <item t="data" sd="1" m="1" x="552"/>
        <item t="data" sd="1" m="1" x="404"/>
        <item t="data" sd="1" m="1" x="263"/>
        <item t="data" sd="1" m="1" x="408"/>
        <item t="data" sd="1" m="1" x="502"/>
        <item t="data" sd="1" m="1" x="356"/>
        <item t="data" sd="1" m="1" x="507"/>
        <item t="data" sd="1" m="1" x="360"/>
        <item t="data" sd="1" m="1" x="511"/>
        <item t="data" sd="1" m="1" x="364"/>
        <item t="data" sd="1" m="1" x="515"/>
        <item t="data" sd="1" m="1" x="368"/>
        <item t="data" sd="1" m="1" x="519"/>
        <item t="data" sd="1" m="1" x="372"/>
        <item t="data" sd="1" m="1" x="524"/>
        <item t="data" sd="1" m="1" x="377"/>
        <item t="data" sd="1" m="1" x="529"/>
        <item t="data" sd="1" m="1" x="382"/>
        <item t="data" sd="1" m="1" x="534"/>
        <item t="data" sd="1" m="1" x="387"/>
        <item t="data" sd="1" m="1" x="539"/>
        <item t="data" sd="1" m="1" x="392"/>
        <item t="data" sd="1" m="1" x="544"/>
        <item t="data" sd="1" m="1" x="396"/>
        <item t="data" sd="1" m="1" x="548"/>
        <item t="data" sd="1" m="1" x="401"/>
        <item t="data" sd="1" m="1" x="553"/>
        <item t="data" sd="1" m="1" x="405"/>
        <item t="data" sd="1" m="1" x="264"/>
        <item t="data" sd="1" m="1" x="409"/>
        <item t="data" sd="1" m="1" x="267"/>
        <item t="data" sd="1" m="1" x="412"/>
        <item t="data" sd="1" m="1" x="270"/>
        <item t="data" sd="1" m="1" x="416"/>
        <item t="data" sd="1" m="1" x="274"/>
        <item t="data" sd="1" m="1" x="512"/>
        <item t="data" sd="1" m="1" x="365"/>
        <item t="data" sd="1" m="1" x="516"/>
        <item t="data" sd="1" m="1" x="369"/>
        <item t="data" sd="1" m="1" x="520"/>
        <item t="data" sd="1" m="1" x="373"/>
        <item t="data" sd="1" m="1" x="525"/>
        <item t="data" sd="1" m="1" x="378"/>
        <item t="data" sd="1" m="1" x="530"/>
        <item t="data" sd="1" m="1" x="383"/>
        <item t="data" sd="1" m="1" x="535"/>
        <item t="data" sd="1" m="1" x="388"/>
        <item t="data" sd="1" m="1" x="540"/>
        <item t="data" sd="1" m="1" x="393"/>
        <item t="data" sd="1" m="1" x="545"/>
        <item t="data" sd="1" m="1" x="397"/>
        <item t="data" sd="1" m="1" x="549"/>
        <item t="data" sd="1" m="1" x="402"/>
        <item t="data" sd="1" m="1" x="554"/>
        <item t="data" sd="1" m="1" x="406"/>
        <item t="data" sd="1" m="1" x="265"/>
        <item t="data" sd="1" m="1" x="410"/>
        <item t="data" sd="1" m="1" x="268"/>
        <item t="data" sd="1" m="1" x="413"/>
        <item t="data" sd="1" m="1" x="271"/>
        <item t="data" sd="1" m="1" x="417"/>
        <item t="data" sd="1" m="1" x="275"/>
        <item t="data" sd="1" m="1" x="420"/>
        <item t="data" sd="1" m="1" x="278"/>
        <item t="data" sd="1" m="1" x="424"/>
        <item t="data" sd="1" m="1" x="521"/>
        <item t="data" sd="1" m="1" x="374"/>
        <item t="data" sd="1" m="1" x="526"/>
        <item t="data" sd="1" m="1" x="379"/>
        <item t="data" sd="1" m="1" x="531"/>
        <item t="data" sd="1" m="1" x="384"/>
        <item t="data" sd="1" m="1" x="536"/>
        <item t="data" sd="1" m="1" x="389"/>
        <item t="data" sd="1" m="1" x="541"/>
        <item t="data" sd="1" m="1" x="394"/>
        <item t="data" sd="1" m="1" x="546"/>
        <item t="data" sd="1" m="1" x="398"/>
        <item t="data" sd="1" m="1" x="550"/>
        <item t="data" sd="1" m="1" x="403"/>
        <item t="data" sd="1" m="1" x="555"/>
        <item t="data" sd="1" m="1" x="407"/>
        <item t="data" sd="1" m="1" x="266"/>
        <item t="data" sd="1" m="1" x="411"/>
        <item t="data" sd="1" m="1" x="269"/>
        <item t="data" sd="1" m="1" x="414"/>
        <item t="data" sd="1" m="1" x="272"/>
        <item t="data" sd="1" m="1" x="418"/>
        <item t="data" sd="1" m="1" x="276"/>
        <item t="data" sd="1" m="1" x="421"/>
        <item t="data" sd="1" m="1" x="279"/>
        <item t="data" sd="1" m="1" x="425"/>
        <item t="data" sd="1" m="1" x="282"/>
        <item t="data" sd="1" m="1" x="428"/>
        <item t="data" sd="1" m="1" x="285"/>
        <item t="data" sd="1" m="1" x="432"/>
        <item t="data" sd="1" m="1" x="289"/>
        <item t="data" sd="1" m="1" x="415"/>
        <item t="data" sd="1" m="1" x="273"/>
        <item t="data" sd="1" m="1" x="419"/>
        <item t="data" sd="1" m="1" x="277"/>
        <item t="data" sd="1" m="1" x="422"/>
        <item t="data" sd="1" m="1" x="280"/>
        <item t="data" sd="1" m="1" x="426"/>
        <item t="data" sd="1" m="1" x="283"/>
        <item t="data" sd="1" m="1" x="429"/>
        <item t="data" sd="1" m="1" x="286"/>
        <item t="data" sd="1" m="1" x="433"/>
        <item t="data" sd="1" m="1" x="290"/>
        <item t="data" sd="1" m="1" x="436"/>
        <item t="data" sd="1" m="1" x="293"/>
        <item t="data" sd="1" m="1" x="440"/>
        <item t="data" sd="1" m="1" x="297"/>
        <item t="data" sd="1" m="1" x="444"/>
        <item t="data" sd="1" m="1" x="301"/>
        <item t="data" sd="1" m="1" x="449"/>
        <item t="data" sd="1" m="1" x="306"/>
        <item t="data" sd="1" m="1" x="454"/>
        <item t="data" sd="1" m="1" x="311"/>
        <item t="data" sd="1" m="1" x="459"/>
        <item t="data" sd="1" m="1" x="316"/>
        <item t="data" sd="1" m="1" x="464"/>
        <item t="data" sd="1" m="1" x="321"/>
        <item t="data" sd="1" m="1" x="469"/>
        <item t="data" sd="1" m="1" x="326"/>
        <item t="data" sd="1" m="1" x="474"/>
        <item t="data" sd="1" m="1" x="331"/>
        <item t="data" sd="1" m="1" x="480"/>
        <item t="data" sd="1" m="1" x="423"/>
        <item t="data" sd="1" m="1" x="281"/>
        <item t="data" sd="1" m="1" x="427"/>
        <item t="data" sd="1" m="1" x="284"/>
        <item t="data" sd="1" m="1" x="430"/>
        <item t="data" sd="1" m="1" x="287"/>
        <item t="data" sd="1" m="1" x="434"/>
        <item t="data" sd="1" m="1" x="291"/>
        <item t="data" sd="1" m="1" x="437"/>
        <item t="data" sd="1" m="1" x="294"/>
        <item t="data" sd="1" m="1" x="441"/>
        <item t="data" sd="1" m="1" x="298"/>
        <item t="data" sd="1" m="1" x="445"/>
        <item t="data" sd="1" m="1" x="302"/>
        <item t="data" sd="1" m="1" x="450"/>
        <item t="data" sd="1" m="1" x="307"/>
        <item t="data" sd="1" m="1" x="455"/>
        <item t="data" sd="1" m="1" x="312"/>
        <item t="data" sd="1" m="1" x="460"/>
        <item t="data" sd="1" m="1" x="317"/>
        <item t="data" sd="1" m="1" x="465"/>
        <item t="data" sd="1" m="1" x="322"/>
        <item t="data" sd="1" m="1" x="470"/>
        <item t="data" sd="1" m="1" x="327"/>
        <item t="data" sd="1" m="1" x="475"/>
        <item t="data" sd="1" m="1" x="332"/>
        <item t="data" sd="1" m="1" x="481"/>
        <item t="data" sd="1" m="1" x="337"/>
        <item t="data" sd="1" m="1" x="486"/>
        <item t="data" sd="1" m="1" x="431"/>
        <item t="data" sd="1" m="1" x="288"/>
        <item t="data" sd="1" m="1" x="435"/>
        <item t="data" sd="1" m="1" x="292"/>
        <item t="data" sd="1" m="1" x="438"/>
        <item t="data" sd="1" m="1" x="295"/>
        <item t="data" sd="1" m="1" x="442"/>
        <item t="data" sd="1" m="1" x="299"/>
        <item t="data" sd="1" m="1" x="446"/>
        <item t="data" sd="1" m="1" x="303"/>
        <item t="data" sd="1" m="1" x="451"/>
        <item t="data" sd="1" m="1" x="308"/>
        <item t="data" sd="1" m="1" x="456"/>
        <item t="data" sd="1" m="1" x="313"/>
        <item t="data" sd="1" m="1" x="461"/>
        <item t="data" sd="1" m="1" x="318"/>
        <item t="data" sd="1" m="1" x="466"/>
        <item t="data" sd="1" m="1" x="323"/>
        <item t="data" sd="1" m="1" x="471"/>
        <item t="data" sd="1" m="1" x="328"/>
        <item t="data" sd="1" m="1" x="476"/>
        <item t="data" sd="1" m="1" x="333"/>
        <item t="data" sd="1" m="1" x="482"/>
        <item t="data" sd="1" m="1" x="338"/>
        <item t="data" sd="1" m="1" x="487"/>
        <item t="data" sd="1" m="1" x="342"/>
        <item t="data" sd="1" m="1" x="492"/>
        <item t="data" sd="1" m="1" x="347"/>
        <item t="data" sd="1" m="1" x="497"/>
        <item t="data" sd="1" m="1" x="352"/>
        <item t="data" sd="1" m="1" x="503"/>
        <item t="data" sd="1" m="1" x="439"/>
        <item t="data" sd="1" m="1" x="296"/>
        <item t="data" sd="1" m="1" x="443"/>
        <item t="data" sd="1" m="1" x="300"/>
        <item t="data" sd="1" m="1" x="447"/>
        <item t="data" sd="1" m="1" x="304"/>
        <item t="data" sd="1" m="1" x="452"/>
        <item t="data" sd="1" m="1" x="309"/>
        <item t="data" sd="1" m="1" x="457"/>
        <item t="data" sd="1" m="1" x="314"/>
        <item t="data" sd="1" m="1" x="462"/>
        <item t="data" sd="1" m="1" x="319"/>
        <item t="data" sd="1" m="1" x="467"/>
        <item t="data" sd="1" m="1" x="324"/>
        <item t="data" sd="1" m="1" x="472"/>
        <item t="data" sd="1" m="1" x="329"/>
        <item t="data" sd="1" m="1" x="477"/>
        <item t="data" sd="1" m="1" x="334"/>
        <item t="data" sd="1" m="1" x="483"/>
        <item t="data" sd="1" m="1" x="339"/>
        <item t="data" sd="1" m="1" x="488"/>
        <item t="data" sd="1" m="1" x="343"/>
        <item t="data" sd="1" m="1" x="493"/>
        <item t="data" sd="1" m="1" x="348"/>
        <item t="data" sd="1" m="1" x="498"/>
        <item t="data" sd="1" m="1" x="353"/>
        <item t="data" sd="1" m="1" x="504"/>
        <item t="data" sd="1" m="1" x="357"/>
        <item t="data" sd="1" m="1" x="508"/>
        <item t="data" sd="1" m="1" x="361"/>
        <item t="data" sd="1" m="1" x="448"/>
        <item t="data" sd="1" m="1" x="305"/>
        <item t="data" sd="1" m="1" x="453"/>
        <item t="data" sd="1" m="1" x="310"/>
        <item t="data" sd="1" m="1" x="458"/>
        <item t="data" sd="1" m="1" x="315"/>
        <item t="data" sd="1" m="1" x="463"/>
        <item t="data" sd="1" m="1" x="320"/>
        <item t="data" sd="1" m="1" x="468"/>
        <item t="data" sd="1" m="1" x="325"/>
        <item t="data" sd="1" m="1" x="473"/>
        <item t="data" sd="1" m="1" x="330"/>
        <item t="data" sd="1" m="1" x="478"/>
        <item t="data" sd="1" m="1" x="335"/>
        <item t="data" sd="1" m="1" x="484"/>
        <item t="data" sd="1" m="1" x="340"/>
        <item t="data" sd="1" m="1" x="489"/>
        <item t="data" sd="1" m="1" x="344"/>
        <item t="data" sd="1" m="1" x="494"/>
        <item t="data" sd="1" m="1" x="349"/>
        <item t="data" sd="1" m="1" x="499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</items>
    </pivotField>
    <pivotField axis="axisRow" showDropDowns="1" compact="0" outline="0" subtotalTop="1" dragToRow="1" dragToCol="1" dragToPage="1" dragToData="1" dragOff="1" showAll="0" topAutoShow="1" itemPageCount="10" sortType="manual" defaultSubtotal="1">
      <items count="9">
        <item t="data" sd="1" x="2"/>
        <item t="data" sd="1" x="3"/>
        <item t="data" sd="1" x="4"/>
        <item t="data" sd="1" x="7"/>
        <item t="data" sd="1" x="6"/>
        <item t="data" sd="1" x="0"/>
        <item t="data" sd="1" x="1"/>
        <item t="data" sd="1" x="5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25">
        <item t="data" sd="1" m="1" x="3"/>
        <item t="data" sd="1" m="1" x="23"/>
        <item t="data" sd="1" m="1" x="6"/>
        <item t="data" sd="1" m="1" x="13"/>
        <item t="data" sd="1" m="1" x="21"/>
        <item t="data" sd="1" m="1" x="8"/>
        <item t="data" sd="1" m="1" x="9"/>
        <item t="data" sd="1" m="1" x="10"/>
        <item t="data" sd="1" m="1" x="7"/>
        <item t="data" sd="1" m="1" x="4"/>
        <item t="data" sd="1" m="1" x="20"/>
        <item t="data" sd="1" m="1" x="18"/>
        <item t="data" h="1" sd="1" m="1" x="19"/>
        <item t="data" sd="1" m="1" x="15"/>
        <item t="data" sd="1" m="1" x="22"/>
        <item t="data" sd="1" m="1" x="11"/>
        <item t="data" h="1" sd="1" x="0"/>
        <item t="data" sd="1" m="1" x="16"/>
        <item t="data" sd="1" x="1"/>
        <item t="data" h="1" sd="1" m="1" x="12"/>
        <item t="data" sd="1" m="1" x="17"/>
        <item t="data" h="1" sd="1" m="1" x="14"/>
        <item t="data" h="1" sd="1" m="1" x="5"/>
        <item t="data" h="1" sd="1" x="2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axis="axisCol" showDropDowns="1" compact="0" outline="0" subtotalTop="1" dragToRow="1" dragToCol="1" dragToPage="1" dragToData="1" dragOff="1" showAll="0" topAutoShow="1" itemPageCount="10" sortType="manual" defaultSubtotal="1">
      <items count="16">
        <item t="data" sd="0" m="1" x="10"/>
        <item t="data" sd="0" m="1" x="3"/>
        <item t="data" sd="0" m="1" x="9"/>
        <item t="data" sd="1" x="1"/>
        <item t="data" sd="1" m="1" x="7"/>
        <item t="data" sd="1" m="1" x="6"/>
        <item t="data" sd="1" m="1" x="8"/>
        <item t="data" sd="1" m="1" x="12"/>
        <item t="data" sd="1" m="1" x="5"/>
        <item t="data" sd="1" m="1" x="14"/>
        <item t="data" sd="1" m="1" x="11"/>
        <item t="data" sd="1" m="1" x="4"/>
        <item t="data" sd="1" m="1" x="13"/>
        <item t="data" sd="1" x="0"/>
        <item t="data" sd="1" x="2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</pivotFields>
  <rowFields count="2">
    <field x="0"/>
    <field x="1"/>
  </rowFields>
  <rowItems count="263">
    <i t="data" r="0" i="0">
      <x v="293"/>
      <x v="5"/>
    </i>
    <i t="data" r="0" i="0">
      <x v="294"/>
      <x v="6"/>
    </i>
    <i t="data" r="0" i="0">
      <x v="295"/>
      <x v="0"/>
    </i>
    <i t="data" r="0" i="0">
      <x v="296"/>
      <x v="1"/>
    </i>
    <i t="data" r="0" i="0">
      <x v="297"/>
      <x v="2"/>
    </i>
    <i t="data" r="0" i="0">
      <x v="298"/>
      <x v="5"/>
    </i>
    <i t="data" r="0" i="0">
      <x v="299"/>
      <x v="6"/>
    </i>
    <i t="data" r="0" i="0">
      <x v="300"/>
      <x v="7"/>
    </i>
    <i t="data" r="0" i="0">
      <x v="301"/>
      <x v="4"/>
    </i>
    <i t="data" r="0" i="0">
      <x v="302"/>
      <x v="0"/>
    </i>
    <i t="data" r="0" i="0">
      <x v="303"/>
      <x v="1"/>
    </i>
    <i t="data" r="0" i="0">
      <x v="304"/>
      <x v="2"/>
    </i>
    <i t="data" r="0" i="0">
      <x v="305"/>
      <x v="5"/>
    </i>
    <i t="data" r="0" i="0">
      <x v="306"/>
      <x v="6"/>
    </i>
    <i t="data" r="0" i="0">
      <x v="307"/>
      <x v="7"/>
    </i>
    <i t="data" r="0" i="0">
      <x v="308"/>
      <x v="4"/>
    </i>
    <i t="data" r="0" i="0">
      <x v="309"/>
      <x v="0"/>
    </i>
    <i t="data" r="0" i="0">
      <x v="310"/>
      <x v="1"/>
    </i>
    <i t="data" r="0" i="0">
      <x v="311"/>
      <x v="2"/>
    </i>
    <i t="data" r="0" i="0">
      <x v="312"/>
      <x v="5"/>
    </i>
    <i t="data" r="0" i="0">
      <x v="313"/>
      <x v="6"/>
    </i>
    <i t="data" r="0" i="0">
      <x v="314"/>
      <x v="7"/>
    </i>
    <i t="data" r="0" i="0">
      <x v="315"/>
      <x v="4"/>
    </i>
    <i t="data" r="0" i="0">
      <x v="316"/>
      <x v="0"/>
    </i>
    <i t="data" r="0" i="0">
      <x v="317"/>
      <x v="1"/>
    </i>
    <i t="data" r="0" i="0">
      <x v="318"/>
      <x v="2"/>
    </i>
    <i t="data" r="0" i="0">
      <x v="319"/>
      <x v="5"/>
    </i>
    <i t="data" r="0" i="0">
      <x v="320"/>
      <x v="6"/>
    </i>
    <i t="data" r="0" i="0">
      <x v="321"/>
      <x v="7"/>
    </i>
    <i t="data" r="0" i="0">
      <x v="322"/>
      <x v="4"/>
    </i>
    <i t="data" r="0" i="0">
      <x v="323"/>
      <x v="0"/>
    </i>
    <i t="data" r="0" i="0">
      <x v="324"/>
      <x v="1"/>
    </i>
    <i t="data" r="0" i="0">
      <x v="325"/>
      <x v="2"/>
    </i>
    <i t="data" r="0" i="0">
      <x v="326"/>
      <x v="5"/>
    </i>
    <i t="data" r="0" i="0">
      <x v="327"/>
      <x v="6"/>
    </i>
    <i t="data" r="0" i="0">
      <x v="328"/>
      <x v="7"/>
    </i>
    <i t="data" r="0" i="0">
      <x v="329"/>
      <x v="4"/>
    </i>
    <i t="data" r="0" i="0">
      <x v="330"/>
      <x v="0"/>
    </i>
    <i t="data" r="0" i="0">
      <x v="331"/>
      <x v="1"/>
    </i>
    <i t="data" r="0" i="0">
      <x v="332"/>
      <x v="2"/>
    </i>
    <i t="data" r="0" i="0">
      <x v="333"/>
      <x v="5"/>
    </i>
    <i t="data" r="0" i="0">
      <x v="334"/>
      <x v="6"/>
    </i>
    <i t="data" r="0" i="0">
      <x v="335"/>
      <x v="7"/>
    </i>
    <i t="data" r="0" i="0">
      <x v="336"/>
      <x v="4"/>
    </i>
    <i t="data" r="0" i="0">
      <x v="337"/>
      <x v="0"/>
    </i>
    <i t="data" r="0" i="0">
      <x v="338"/>
      <x v="1"/>
    </i>
    <i t="data" r="0" i="0">
      <x v="339"/>
      <x v="2"/>
    </i>
    <i t="data" r="0" i="0">
      <x v="340"/>
      <x v="5"/>
    </i>
    <i t="data" r="0" i="0">
      <x v="341"/>
      <x v="6"/>
    </i>
    <i t="data" r="0" i="0">
      <x v="342"/>
      <x v="7"/>
    </i>
    <i t="data" r="0" i="0">
      <x v="343"/>
      <x v="4"/>
    </i>
    <i t="data" r="0" i="0">
      <x v="344"/>
      <x v="0"/>
    </i>
    <i t="data" r="0" i="0">
      <x v="345"/>
      <x v="1"/>
    </i>
    <i t="data" r="0" i="0">
      <x v="346"/>
      <x v="2"/>
    </i>
    <i t="data" r="0" i="0">
      <x v="347"/>
      <x v="5"/>
    </i>
    <i t="data" r="0" i="0">
      <x v="348"/>
      <x v="6"/>
    </i>
    <i t="data" r="0" i="0">
      <x v="349"/>
      <x v="7"/>
    </i>
    <i t="data" r="0" i="0">
      <x v="350"/>
      <x v="4"/>
    </i>
    <i t="data" r="0" i="0">
      <x v="351"/>
      <x v="0"/>
    </i>
    <i t="data" r="0" i="0">
      <x v="352"/>
      <x v="1"/>
    </i>
    <i t="data" r="0" i="0">
      <x v="353"/>
      <x v="2"/>
    </i>
    <i t="data" r="0" i="0">
      <x v="354"/>
      <x v="5"/>
    </i>
    <i t="data" r="0" i="0">
      <x v="355"/>
      <x v="6"/>
    </i>
    <i t="data" r="0" i="0">
      <x v="356"/>
      <x v="7"/>
    </i>
    <i t="data" r="0" i="0">
      <x v="357"/>
      <x v="4"/>
    </i>
    <i t="data" r="0" i="0">
      <x v="358"/>
      <x v="0"/>
    </i>
    <i t="data" r="0" i="0">
      <x v="359"/>
      <x v="1"/>
    </i>
    <i t="data" r="0" i="0">
      <x v="360"/>
      <x v="2"/>
    </i>
    <i t="data" r="0" i="0">
      <x v="361"/>
      <x v="5"/>
    </i>
    <i t="data" r="0" i="0">
      <x v="362"/>
      <x v="6"/>
    </i>
    <i t="data" r="0" i="0">
      <x v="363"/>
      <x v="7"/>
    </i>
    <i t="data" r="0" i="0">
      <x v="364"/>
      <x v="4"/>
    </i>
    <i t="data" r="0" i="0">
      <x v="365"/>
      <x v="0"/>
    </i>
    <i t="data" r="0" i="0">
      <x v="366"/>
      <x v="1"/>
    </i>
    <i t="data" r="0" i="0">
      <x v="367"/>
      <x v="2"/>
    </i>
    <i t="data" r="0" i="0">
      <x v="368"/>
      <x v="5"/>
    </i>
    <i t="data" r="0" i="0">
      <x v="369"/>
      <x v="6"/>
    </i>
    <i t="data" r="0" i="0">
      <x v="370"/>
      <x v="7"/>
    </i>
    <i t="data" r="0" i="0">
      <x v="371"/>
      <x v="4"/>
    </i>
    <i t="data" r="0" i="0">
      <x v="372"/>
      <x v="0"/>
    </i>
    <i t="data" r="0" i="0">
      <x v="373"/>
      <x v="1"/>
    </i>
    <i t="data" r="0" i="0">
      <x v="374"/>
      <x v="2"/>
    </i>
    <i t="data" r="0" i="0">
      <x v="375"/>
      <x v="5"/>
    </i>
    <i t="data" r="0" i="0">
      <x v="376"/>
      <x v="6"/>
    </i>
    <i t="data" r="0" i="0">
      <x v="377"/>
      <x v="7"/>
    </i>
    <i t="data" r="0" i="0">
      <x v="378"/>
      <x v="4"/>
    </i>
    <i t="data" r="0" i="0">
      <x v="379"/>
      <x v="0"/>
    </i>
    <i t="data" r="0" i="0">
      <x v="380"/>
      <x v="1"/>
    </i>
    <i t="data" r="0" i="0">
      <x v="381"/>
      <x v="2"/>
    </i>
    <i t="data" r="0" i="0">
      <x v="382"/>
      <x v="5"/>
    </i>
    <i t="data" r="0" i="0">
      <x v="383"/>
      <x v="6"/>
    </i>
    <i t="data" r="0" i="0">
      <x v="384"/>
      <x v="7"/>
    </i>
    <i t="data" r="0" i="0">
      <x v="385"/>
      <x v="4"/>
    </i>
    <i t="data" r="0" i="0">
      <x v="386"/>
      <x v="0"/>
    </i>
    <i t="data" r="0" i="0">
      <x v="387"/>
      <x v="1"/>
    </i>
    <i t="data" r="0" i="0">
      <x v="388"/>
      <x v="2"/>
    </i>
    <i t="data" r="0" i="0">
      <x v="389"/>
      <x v="5"/>
    </i>
    <i t="data" r="0" i="0">
      <x v="390"/>
      <x v="6"/>
    </i>
    <i t="data" r="0" i="0">
      <x v="391"/>
      <x v="7"/>
    </i>
    <i t="data" r="0" i="0">
      <x v="392"/>
      <x v="4"/>
    </i>
    <i t="data" r="0" i="0">
      <x v="393"/>
      <x v="0"/>
    </i>
    <i t="data" r="0" i="0">
      <x v="394"/>
      <x v="1"/>
    </i>
    <i t="data" r="0" i="0">
      <x v="395"/>
      <x v="2"/>
    </i>
    <i t="data" r="0" i="0">
      <x v="396"/>
      <x v="5"/>
    </i>
    <i t="data" r="0" i="0">
      <x v="397"/>
      <x v="6"/>
    </i>
    <i t="data" r="0" i="0">
      <x v="398"/>
      <x v="7"/>
    </i>
    <i t="data" r="0" i="0">
      <x v="399"/>
      <x v="4"/>
    </i>
    <i t="data" r="0" i="0">
      <x v="400"/>
      <x v="0"/>
    </i>
    <i t="data" r="0" i="0">
      <x v="401"/>
      <x v="1"/>
    </i>
    <i t="data" r="0" i="0">
      <x v="402"/>
      <x v="2"/>
    </i>
    <i t="data" r="0" i="0">
      <x v="403"/>
      <x v="5"/>
    </i>
    <i t="data" r="0" i="0">
      <x v="404"/>
      <x v="6"/>
    </i>
    <i t="data" r="0" i="0">
      <x v="405"/>
      <x v="7"/>
    </i>
    <i t="data" r="0" i="0">
      <x v="406"/>
      <x v="4"/>
    </i>
    <i t="data" r="0" i="0">
      <x v="407"/>
      <x v="0"/>
    </i>
    <i t="data" r="0" i="0">
      <x v="408"/>
      <x v="1"/>
    </i>
    <i t="data" r="0" i="0">
      <x v="409"/>
      <x v="2"/>
    </i>
    <i t="data" r="0" i="0">
      <x v="410"/>
      <x v="5"/>
    </i>
    <i t="data" r="0" i="0">
      <x v="411"/>
      <x v="6"/>
    </i>
    <i t="data" r="0" i="0">
      <x v="412"/>
      <x v="7"/>
    </i>
    <i t="data" r="0" i="0">
      <x v="413"/>
      <x v="4"/>
    </i>
    <i t="data" r="0" i="0">
      <x v="414"/>
      <x v="0"/>
    </i>
    <i t="data" r="0" i="0">
      <x v="415"/>
      <x v="1"/>
    </i>
    <i t="data" r="0" i="0">
      <x v="416"/>
      <x v="2"/>
    </i>
    <i t="data" r="0" i="0">
      <x v="417"/>
      <x v="5"/>
    </i>
    <i t="data" r="0" i="0">
      <x v="418"/>
      <x v="6"/>
    </i>
    <i t="data" r="0" i="0">
      <x v="419"/>
      <x v="7"/>
    </i>
    <i t="data" r="0" i="0">
      <x v="420"/>
      <x v="4"/>
    </i>
    <i t="data" r="0" i="0">
      <x v="421"/>
      <x v="0"/>
    </i>
    <i t="data" r="0" i="0">
      <x v="422"/>
      <x v="1"/>
    </i>
    <i t="data" r="0" i="0">
      <x v="423"/>
      <x v="2"/>
    </i>
    <i t="data" r="0" i="0">
      <x v="424"/>
      <x v="5"/>
    </i>
    <i t="data" r="0" i="0">
      <x v="425"/>
      <x v="6"/>
    </i>
    <i t="data" r="0" i="0">
      <x v="426"/>
      <x v="7"/>
    </i>
    <i t="data" r="0" i="0">
      <x v="427"/>
      <x v="4"/>
    </i>
    <i t="data" r="0" i="0">
      <x v="428"/>
      <x v="0"/>
    </i>
    <i t="data" r="0" i="0">
      <x v="429"/>
      <x v="1"/>
    </i>
    <i t="data" r="0" i="0">
      <x v="430"/>
      <x v="2"/>
    </i>
    <i t="data" r="0" i="0">
      <x v="431"/>
      <x v="5"/>
    </i>
    <i t="data" r="0" i="0">
      <x v="432"/>
      <x v="6"/>
    </i>
    <i t="data" r="0" i="0">
      <x v="433"/>
      <x v="7"/>
    </i>
    <i t="data" r="0" i="0">
      <x v="434"/>
      <x v="4"/>
    </i>
    <i t="data" r="0" i="0">
      <x v="435"/>
      <x v="0"/>
    </i>
    <i t="data" r="0" i="0">
      <x v="436"/>
      <x v="1"/>
    </i>
    <i t="data" r="0" i="0">
      <x v="437"/>
      <x v="2"/>
    </i>
    <i t="data" r="0" i="0">
      <x v="438"/>
      <x v="5"/>
    </i>
    <i t="data" r="0" i="0">
      <x v="439"/>
      <x v="6"/>
    </i>
    <i t="data" r="0" i="0">
      <x v="440"/>
      <x v="7"/>
    </i>
    <i t="data" r="0" i="0">
      <x v="441"/>
      <x v="4"/>
    </i>
    <i t="data" r="0" i="0">
      <x v="442"/>
      <x v="0"/>
    </i>
    <i t="data" r="0" i="0">
      <x v="443"/>
      <x v="1"/>
    </i>
    <i t="data" r="0" i="0">
      <x v="444"/>
      <x v="2"/>
    </i>
    <i t="data" r="0" i="0">
      <x v="445"/>
      <x v="5"/>
    </i>
    <i t="data" r="0" i="0">
      <x v="446"/>
      <x v="6"/>
    </i>
    <i t="data" r="0" i="0">
      <x v="447"/>
      <x v="7"/>
    </i>
    <i t="data" r="0" i="0">
      <x v="448"/>
      <x v="4"/>
    </i>
    <i t="data" r="0" i="0">
      <x v="449"/>
      <x v="0"/>
    </i>
    <i t="data" r="0" i="0">
      <x v="450"/>
      <x v="1"/>
    </i>
    <i t="data" r="0" i="0">
      <x v="451"/>
      <x v="2"/>
    </i>
    <i t="data" r="0" i="0">
      <x v="452"/>
      <x v="5"/>
    </i>
    <i t="data" r="0" i="0">
      <x v="453"/>
      <x v="6"/>
    </i>
    <i t="data" r="0" i="0">
      <x v="454"/>
      <x v="7"/>
    </i>
    <i t="data" r="0" i="0">
      <x v="455"/>
      <x v="4"/>
    </i>
    <i t="data" r="0" i="0">
      <x v="456"/>
      <x v="0"/>
    </i>
    <i t="data" r="0" i="0">
      <x v="457"/>
      <x v="1"/>
    </i>
    <i t="data" r="0" i="0">
      <x v="458"/>
      <x v="2"/>
    </i>
    <i t="data" r="0" i="0">
      <x v="459"/>
      <x v="5"/>
    </i>
    <i t="data" r="0" i="0">
      <x v="460"/>
      <x v="6"/>
    </i>
    <i t="data" r="0" i="0">
      <x v="461"/>
      <x v="7"/>
    </i>
    <i t="data" r="0" i="0">
      <x v="462"/>
      <x v="4"/>
    </i>
    <i t="data" r="0" i="0">
      <x v="463"/>
      <x v="0"/>
    </i>
    <i t="data" r="0" i="0">
      <x v="464"/>
      <x v="1"/>
    </i>
    <i t="data" r="0" i="0">
      <x v="465"/>
      <x v="2"/>
    </i>
    <i t="data" r="0" i="0">
      <x v="466"/>
      <x v="5"/>
    </i>
    <i t="data" r="0" i="0">
      <x v="467"/>
      <x v="6"/>
    </i>
    <i t="data" r="0" i="0">
      <x v="468"/>
      <x v="7"/>
    </i>
    <i t="data" r="0" i="0">
      <x v="469"/>
      <x v="4"/>
    </i>
    <i t="data" r="0" i="0">
      <x v="470"/>
      <x v="0"/>
    </i>
    <i t="data" r="0" i="0">
      <x v="471"/>
      <x v="1"/>
    </i>
    <i t="data" r="0" i="0">
      <x v="472"/>
      <x v="2"/>
    </i>
    <i t="data" r="0" i="0">
      <x v="473"/>
      <x v="5"/>
    </i>
    <i t="data" r="0" i="0">
      <x v="474"/>
      <x v="6"/>
    </i>
    <i t="data" r="0" i="0">
      <x v="475"/>
      <x v="7"/>
    </i>
    <i t="data" r="0" i="0">
      <x v="476"/>
      <x v="4"/>
    </i>
    <i t="data" r="0" i="0">
      <x v="477"/>
      <x v="0"/>
    </i>
    <i t="data" r="0" i="0">
      <x v="478"/>
      <x v="1"/>
    </i>
    <i t="data" r="0" i="0">
      <x v="479"/>
      <x v="2"/>
    </i>
    <i t="data" r="0" i="0">
      <x v="480"/>
      <x v="5"/>
    </i>
    <i t="data" r="0" i="0">
      <x v="481"/>
      <x v="6"/>
    </i>
    <i t="data" r="0" i="0">
      <x v="482"/>
      <x v="7"/>
    </i>
    <i t="data" r="0" i="0">
      <x v="483"/>
      <x v="4"/>
    </i>
    <i t="data" r="0" i="0">
      <x v="484"/>
      <x v="0"/>
    </i>
    <i t="data" r="0" i="0">
      <x v="485"/>
      <x v="1"/>
    </i>
    <i t="data" r="0" i="0">
      <x v="486"/>
      <x v="2"/>
    </i>
    <i t="data" r="0" i="0">
      <x v="487"/>
      <x v="5"/>
    </i>
    <i t="data" r="0" i="0">
      <x v="488"/>
      <x v="6"/>
    </i>
    <i t="data" r="0" i="0">
      <x v="489"/>
      <x v="7"/>
    </i>
    <i t="data" r="0" i="0">
      <x v="490"/>
      <x v="4"/>
    </i>
    <i t="data" r="0" i="0">
      <x v="491"/>
      <x v="0"/>
    </i>
    <i t="data" r="0" i="0">
      <x v="492"/>
      <x v="1"/>
    </i>
    <i t="data" r="0" i="0">
      <x v="493"/>
      <x v="2"/>
    </i>
    <i t="data" r="0" i="0">
      <x v="494"/>
      <x v="5"/>
    </i>
    <i t="data" r="0" i="0">
      <x v="495"/>
      <x v="6"/>
    </i>
    <i t="data" r="0" i="0">
      <x v="496"/>
      <x v="7"/>
    </i>
    <i t="data" r="0" i="0">
      <x v="497"/>
      <x v="4"/>
    </i>
    <i t="data" r="0" i="0">
      <x v="498"/>
      <x v="0"/>
    </i>
    <i t="data" r="0" i="0">
      <x v="499"/>
      <x v="1"/>
    </i>
    <i t="data" r="0" i="0">
      <x v="500"/>
      <x v="2"/>
    </i>
    <i t="data" r="0" i="0">
      <x v="501"/>
      <x v="5"/>
    </i>
    <i t="data" r="0" i="0">
      <x v="502"/>
      <x v="6"/>
    </i>
    <i t="data" r="0" i="0">
      <x v="503"/>
      <x v="7"/>
    </i>
    <i t="data" r="0" i="0">
      <x v="504"/>
      <x v="4"/>
    </i>
    <i t="data" r="0" i="0">
      <x v="505"/>
      <x v="0"/>
    </i>
    <i t="data" r="0" i="0">
      <x v="506"/>
      <x v="1"/>
    </i>
    <i t="data" r="0" i="0">
      <x v="507"/>
      <x v="2"/>
    </i>
    <i t="data" r="0" i="0">
      <x v="508"/>
      <x v="5"/>
    </i>
    <i t="data" r="0" i="0">
      <x v="509"/>
      <x v="6"/>
    </i>
    <i t="data" r="0" i="0">
      <x v="510"/>
      <x v="7"/>
    </i>
    <i t="data" r="0" i="0">
      <x v="511"/>
      <x v="4"/>
    </i>
    <i t="data" r="0" i="0">
      <x v="512"/>
      <x v="0"/>
    </i>
    <i t="data" r="0" i="0">
      <x v="513"/>
      <x v="1"/>
    </i>
    <i t="data" r="0" i="0">
      <x v="514"/>
      <x v="2"/>
    </i>
    <i t="data" r="0" i="0">
      <x v="515"/>
      <x v="5"/>
    </i>
    <i t="data" r="0" i="0">
      <x v="516"/>
      <x v="6"/>
    </i>
    <i t="data" r="0" i="0">
      <x v="517"/>
      <x v="7"/>
    </i>
    <i t="data" r="0" i="0">
      <x v="518"/>
      <x v="4"/>
    </i>
    <i t="data" r="0" i="0">
      <x v="519"/>
      <x v="0"/>
    </i>
    <i t="data" r="0" i="0">
      <x v="520"/>
      <x v="1"/>
    </i>
    <i t="data" r="0" i="0">
      <x v="521"/>
      <x v="2"/>
    </i>
    <i t="data" r="0" i="0">
      <x v="522"/>
      <x v="5"/>
    </i>
    <i t="data" r="0" i="0">
      <x v="523"/>
      <x v="6"/>
    </i>
    <i t="data" r="0" i="0">
      <x v="524"/>
      <x v="7"/>
    </i>
    <i t="data" r="0" i="0">
      <x v="525"/>
      <x v="4"/>
    </i>
    <i t="data" r="0" i="0">
      <x v="526"/>
      <x v="0"/>
    </i>
    <i t="data" r="0" i="0">
      <x v="527"/>
      <x v="1"/>
    </i>
    <i t="data" r="0" i="0">
      <x v="528"/>
      <x v="2"/>
    </i>
    <i t="data" r="0" i="0">
      <x v="529"/>
      <x v="5"/>
    </i>
    <i t="data" r="0" i="0">
      <x v="530"/>
      <x v="6"/>
    </i>
    <i t="data" r="0" i="0">
      <x v="531"/>
      <x v="7"/>
    </i>
    <i t="data" r="0" i="0">
      <x v="532"/>
      <x v="4"/>
    </i>
    <i t="data" r="0" i="0">
      <x v="533"/>
      <x v="0"/>
    </i>
    <i t="data" r="0" i="0">
      <x v="534"/>
      <x v="1"/>
    </i>
    <i t="data" r="0" i="0">
      <x v="535"/>
      <x v="2"/>
    </i>
    <i t="data" r="0" i="0">
      <x v="536"/>
      <x v="5"/>
    </i>
    <i t="data" r="0" i="0">
      <x v="537"/>
      <x v="6"/>
    </i>
    <i t="data" r="0" i="0">
      <x v="538"/>
      <x v="7"/>
    </i>
    <i t="data" r="0" i="0">
      <x v="539"/>
      <x v="4"/>
    </i>
    <i t="data" r="0" i="0">
      <x v="540"/>
      <x v="0"/>
    </i>
    <i t="data" r="0" i="0">
      <x v="541"/>
      <x v="1"/>
    </i>
    <i t="data" r="0" i="0">
      <x v="542"/>
      <x v="2"/>
    </i>
    <i t="data" r="0" i="0">
      <x v="543"/>
      <x v="5"/>
    </i>
    <i t="data" r="0" i="0">
      <x v="544"/>
      <x v="6"/>
    </i>
    <i t="data" r="0" i="0">
      <x v="545"/>
      <x v="7"/>
    </i>
    <i t="data" r="0" i="0">
      <x v="546"/>
      <x v="4"/>
    </i>
    <i t="data" r="0" i="0">
      <x v="547"/>
      <x v="0"/>
    </i>
    <i t="data" r="0" i="0">
      <x v="548"/>
      <x v="1"/>
    </i>
    <i t="data" r="0" i="0">
      <x v="549"/>
      <x v="2"/>
    </i>
    <i t="data" r="0" i="0">
      <x v="550"/>
      <x v="5"/>
    </i>
    <i t="data" r="0" i="0">
      <x v="551"/>
      <x v="6"/>
    </i>
    <i t="data" r="0" i="0">
      <x v="552"/>
      <x v="7"/>
    </i>
    <i t="data" r="0" i="0">
      <x v="553"/>
      <x v="4"/>
    </i>
    <i t="data" r="0" i="0">
      <x v="554"/>
      <x v="0"/>
    </i>
    <i t="grand" r="0" i="0">
      <x v="0"/>
    </i>
  </rowItems>
  <colFields count="1">
    <field x="6"/>
  </colFields>
  <colItems count="3">
    <i t="data" r="0" i="0">
      <x v="13"/>
    </i>
    <i t="data" r="0" i="0">
      <x v="14"/>
    </i>
    <i t="grand" r="0" i="0">
      <x v="0"/>
    </i>
  </colItems>
  <pageFields count="1">
    <pageField fld="3" hier="-1"/>
  </pageFields>
  <dataFields count="1">
    <dataField name="합계 : 판매수량" fld="5" subtotal="sum" showDataAs="normal" baseField="1" baseItem="4" numFmtId="176"/>
  </dataFields>
  <chartFormats count="12">
    <chartFormat chart="3" format="44" series="1">
      <pivotArea type="data" dataOnly="1" outline="0" fieldPosition="0">
        <references count="2">
          <reference field="4294967294" selected="0">
            <x v="0"/>
          </reference>
          <reference field="6" selected="0">
            <x v="0"/>
          </reference>
        </references>
      </pivotArea>
    </chartFormat>
    <chartFormat chart="3" format="46" series="1">
      <pivotArea type="data" dataOnly="1" outline="0" fieldPosition="0">
        <references count="2">
          <reference field="4294967294" selected="0">
            <x v="0"/>
          </reference>
          <reference field="6" selected="0">
            <x v="1"/>
          </reference>
        </references>
      </pivotArea>
    </chartFormat>
    <chartFormat chart="3" format="48" series="1">
      <pivotArea type="data" dataOnly="1" outline="0" fieldPosition="0">
        <references count="2">
          <reference field="4294967294" selected="0">
            <x v="0"/>
          </reference>
          <reference field="6" selected="0">
            <x v="2"/>
          </reference>
        </references>
      </pivotArea>
    </chartFormat>
    <chartFormat chart="3" format="50" series="1">
      <pivotArea type="data" dataOnly="1" outline="0" fieldPosition="0">
        <references count="2">
          <reference field="4294967294" selected="0">
            <x v="0"/>
          </reference>
          <reference field="6" selected="0">
            <x v="4"/>
          </reference>
        </references>
      </pivotArea>
    </chartFormat>
    <chartFormat chart="3" format="52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3" format="53" series="1">
      <pivotArea type="data" dataOnly="1" outline="0" fieldPosition="0">
        <references count="2">
          <reference field="4294967294" selected="0">
            <x v="0"/>
          </reference>
          <reference field="6" selected="0">
            <x v="5"/>
          </reference>
        </references>
      </pivotArea>
    </chartFormat>
    <chartFormat chart="3" format="54" series="1">
      <pivotArea type="data" dataOnly="1" outline="0" fieldPosition="0">
        <references count="2">
          <reference field="4294967294" selected="0">
            <x v="0"/>
          </reference>
          <reference field="6" selected="0">
            <x v="6"/>
          </reference>
        </references>
      </pivotArea>
    </chartFormat>
    <chartFormat chart="3" format="55" series="1">
      <pivotArea type="data" dataOnly="1" outline="0" fieldPosition="0">
        <references count="2">
          <reference field="4294967294" selected="0">
            <x v="0"/>
          </reference>
          <reference field="6" selected="0">
            <x v="10"/>
          </reference>
        </references>
      </pivotArea>
    </chartFormat>
    <chartFormat chart="3" format="56" series="1">
      <pivotArea type="data" dataOnly="1" outline="0" fieldPosition="0">
        <references count="2">
          <reference field="4294967294" selected="0">
            <x v="0"/>
          </reference>
          <reference field="6" selected="0">
            <x v="11"/>
          </reference>
        </references>
      </pivotArea>
    </chartFormat>
    <chartFormat chart="3" format="57" series="1">
      <pivotArea type="data" dataOnly="1" outline="0" fieldPosition="0">
        <references count="2">
          <reference field="4294967294" selected="0">
            <x v="0"/>
          </reference>
          <reference field="6" selected="0">
            <x v="12"/>
          </reference>
        </references>
      </pivotArea>
    </chartFormat>
    <chartFormat chart="3" format="58" series="1">
      <pivotArea type="data" dataOnly="1" outline="0" fieldPosition="0">
        <references count="2">
          <reference field="4294967294" selected="0">
            <x v="0"/>
          </reference>
          <reference field="6" selected="0">
            <x v="13"/>
          </reference>
        </references>
      </pivotArea>
    </chartFormat>
    <chartFormat chart="3" format="59" series="1">
      <pivotArea type="data" dataOnly="1" outline="0" fieldPosition="0">
        <references count="2">
          <reference field="4294967294" selected="0">
            <x v="0"/>
          </reference>
          <reference field="6" selected="0">
            <x v="14"/>
          </reference>
        </references>
      </pivotArea>
    </chartFormat>
  </chartFormats>
  <pivotTableStyleInfo name="PivotStyleLight8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피벗 테이블2" cacheId="7" dataOnRows="0" dataCaption="값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0" outline="0" outlineData="0" compactData="0" published="0" gridDropZones="0" immersive="1" multipleFieldFilters="0" chartFormat="19" fieldListSortAscending="0" mdxSubqueries="0" applyNumberFormats="0" applyBorderFormats="0" applyFontFormats="0" applyPatternFormats="0" applyAlignmentFormats="0" applyWidthHeightFormats="1" r:id="rId1">
  <location ref="B3:D5" firstHeaderRow="1" firstDataRow="2" firstDataCol="2" rowPageCount="1" colPageCount="1"/>
  <pivotFields count="11">
    <pivotField axis="axisRow" showDropDowns="1" compact="0" outline="0" subtotalTop="1" dragToRow="1" dragToCol="1" dragToPage="1" dragToData="1" dragOff="1" showAll="0" topAutoShow="1" itemPageCount="10" sortType="ascending" defaultSubtotal="0">
      <items count="556">
        <item t="data" sd="1" m="1" x="479"/>
        <item t="data" sd="1" m="1" x="336"/>
        <item t="data" sd="1" m="1" x="485"/>
        <item t="data" sd="1" m="1" x="341"/>
        <item t="data" sd="1" m="1" x="490"/>
        <item t="data" sd="1" m="1" x="345"/>
        <item t="data" sd="1" m="1" x="495"/>
        <item t="data" sd="1" m="1" x="350"/>
        <item t="data" sd="1" m="1" x="500"/>
        <item t="data" sd="1" m="1" x="354"/>
        <item t="data" sd="1" m="1" x="505"/>
        <item t="data" sd="1" m="1" x="358"/>
        <item t="data" sd="1" m="1" x="509"/>
        <item t="data" sd="1" m="1" x="362"/>
        <item t="data" sd="1" m="1" x="513"/>
        <item t="data" sd="1" m="1" x="366"/>
        <item t="data" sd="1" m="1" x="517"/>
        <item t="data" sd="1" m="1" x="370"/>
        <item t="data" sd="1" m="1" x="522"/>
        <item t="data" sd="1" m="1" x="375"/>
        <item t="data" sd="1" m="1" x="527"/>
        <item t="data" sd="1" m="1" x="380"/>
        <item t="data" sd="1" m="1" x="532"/>
        <item t="data" sd="1" m="1" x="385"/>
        <item t="data" sd="1" m="1" x="537"/>
        <item t="data" sd="1" m="1" x="390"/>
        <item t="data" sd="1" m="1" x="542"/>
        <item t="data" sd="1" m="1" x="395"/>
        <item t="data" sd="1" m="1" x="547"/>
        <item t="data" sd="1" m="1" x="399"/>
        <item t="data" sd="1" m="1" x="551"/>
        <item t="data" sd="1" m="1" x="491"/>
        <item t="data" sd="1" m="1" x="346"/>
        <item t="data" sd="1" m="1" x="496"/>
        <item t="data" sd="1" m="1" x="351"/>
        <item t="data" sd="1" m="1" x="501"/>
        <item t="data" sd="1" m="1" x="355"/>
        <item t="data" sd="1" m="1" x="506"/>
        <item t="data" sd="1" m="1" x="359"/>
        <item t="data" sd="1" m="1" x="510"/>
        <item t="data" sd="1" m="1" x="363"/>
        <item t="data" sd="1" m="1" x="514"/>
        <item t="data" sd="1" m="1" x="367"/>
        <item t="data" sd="1" m="1" x="518"/>
        <item t="data" sd="1" m="1" x="371"/>
        <item t="data" sd="1" m="1" x="523"/>
        <item t="data" sd="1" m="1" x="376"/>
        <item t="data" sd="1" m="1" x="528"/>
        <item t="data" sd="1" m="1" x="381"/>
        <item t="data" sd="1" m="1" x="533"/>
        <item t="data" sd="1" m="1" x="386"/>
        <item t="data" sd="1" m="1" x="538"/>
        <item t="data" sd="1" m="1" x="391"/>
        <item t="data" sd="1" m="1" x="543"/>
        <item t="data" sd="1" m="1" x="400"/>
        <item t="data" sd="1" m="1" x="552"/>
        <item t="data" sd="1" m="1" x="404"/>
        <item t="data" sd="1" m="1" x="263"/>
        <item t="data" sd="1" m="1" x="408"/>
        <item t="data" sd="1" m="1" x="502"/>
        <item t="data" sd="1" m="1" x="356"/>
        <item t="data" sd="1" m="1" x="507"/>
        <item t="data" sd="1" m="1" x="360"/>
        <item t="data" sd="1" m="1" x="511"/>
        <item t="data" sd="1" m="1" x="364"/>
        <item t="data" sd="1" m="1" x="515"/>
        <item t="data" sd="1" m="1" x="368"/>
        <item t="data" sd="1" m="1" x="519"/>
        <item t="data" sd="1" m="1" x="372"/>
        <item t="data" sd="1" m="1" x="524"/>
        <item t="data" sd="1" m="1" x="377"/>
        <item t="data" sd="1" m="1" x="529"/>
        <item t="data" sd="1" m="1" x="382"/>
        <item t="data" sd="1" m="1" x="534"/>
        <item t="data" sd="1" m="1" x="387"/>
        <item t="data" sd="1" m="1" x="539"/>
        <item t="data" sd="1" m="1" x="392"/>
        <item t="data" sd="1" m="1" x="544"/>
        <item t="data" sd="1" m="1" x="396"/>
        <item t="data" sd="1" m="1" x="548"/>
        <item t="data" sd="1" m="1" x="401"/>
        <item t="data" sd="1" m="1" x="553"/>
        <item t="data" sd="1" m="1" x="405"/>
        <item t="data" sd="1" m="1" x="264"/>
        <item t="data" sd="1" m="1" x="409"/>
        <item t="data" sd="1" m="1" x="267"/>
        <item t="data" sd="1" m="1" x="412"/>
        <item t="data" sd="1" m="1" x="270"/>
        <item t="data" sd="1" m="1" x="416"/>
        <item t="data" sd="1" m="1" x="274"/>
        <item t="data" sd="1" m="1" x="512"/>
        <item t="data" sd="1" m="1" x="365"/>
        <item t="data" sd="1" m="1" x="516"/>
        <item t="data" sd="1" m="1" x="369"/>
        <item t="data" sd="1" m="1" x="520"/>
        <item t="data" sd="1" m="1" x="373"/>
        <item t="data" sd="1" m="1" x="525"/>
        <item t="data" sd="1" m="1" x="378"/>
        <item t="data" sd="1" m="1" x="530"/>
        <item t="data" sd="1" m="1" x="383"/>
        <item t="data" sd="1" m="1" x="535"/>
        <item t="data" sd="1" m="1" x="388"/>
        <item t="data" sd="1" m="1" x="540"/>
        <item t="data" sd="1" m="1" x="393"/>
        <item t="data" sd="1" m="1" x="545"/>
        <item t="data" sd="1" m="1" x="397"/>
        <item t="data" sd="1" m="1" x="549"/>
        <item t="data" sd="1" m="1" x="402"/>
        <item t="data" sd="1" m="1" x="554"/>
        <item t="data" sd="1" m="1" x="406"/>
        <item t="data" sd="1" m="1" x="265"/>
        <item t="data" sd="1" m="1" x="410"/>
        <item t="data" sd="1" m="1" x="268"/>
        <item t="data" sd="1" m="1" x="413"/>
        <item t="data" sd="1" m="1" x="271"/>
        <item t="data" sd="1" m="1" x="417"/>
        <item t="data" sd="1" m="1" x="275"/>
        <item t="data" sd="1" m="1" x="420"/>
        <item t="data" sd="1" m="1" x="278"/>
        <item t="data" sd="1" m="1" x="424"/>
        <item t="data" sd="1" m="1" x="521"/>
        <item t="data" sd="1" m="1" x="374"/>
        <item t="data" sd="1" m="1" x="526"/>
        <item t="data" sd="1" m="1" x="379"/>
        <item t="data" sd="1" m="1" x="531"/>
        <item t="data" sd="1" m="1" x="384"/>
        <item t="data" sd="1" m="1" x="536"/>
        <item t="data" sd="1" m="1" x="389"/>
        <item t="data" sd="1" m="1" x="541"/>
        <item t="data" sd="1" m="1" x="394"/>
        <item t="data" sd="1" m="1" x="546"/>
        <item t="data" sd="1" m="1" x="398"/>
        <item t="data" sd="1" m="1" x="550"/>
        <item t="data" sd="1" m="1" x="403"/>
        <item t="data" sd="1" m="1" x="555"/>
        <item t="data" sd="1" m="1" x="407"/>
        <item t="data" sd="1" m="1" x="266"/>
        <item t="data" sd="1" m="1" x="411"/>
        <item t="data" sd="1" m="1" x="269"/>
        <item t="data" sd="1" m="1" x="414"/>
        <item t="data" sd="1" m="1" x="272"/>
        <item t="data" sd="1" m="1" x="418"/>
        <item t="data" sd="1" m="1" x="276"/>
        <item t="data" sd="1" m="1" x="421"/>
        <item t="data" sd="1" m="1" x="279"/>
        <item t="data" sd="1" m="1" x="425"/>
        <item t="data" sd="1" m="1" x="282"/>
        <item t="data" sd="1" m="1" x="428"/>
        <item t="data" sd="1" m="1" x="285"/>
        <item t="data" sd="1" m="1" x="432"/>
        <item t="data" sd="1" m="1" x="289"/>
        <item t="data" sd="1" m="1" x="415"/>
        <item t="data" sd="1" m="1" x="273"/>
        <item t="data" sd="1" m="1" x="419"/>
        <item t="data" sd="1" m="1" x="277"/>
        <item t="data" sd="1" m="1" x="422"/>
        <item t="data" sd="1" m="1" x="280"/>
        <item t="data" sd="1" m="1" x="426"/>
        <item t="data" sd="1" m="1" x="283"/>
        <item t="data" sd="1" m="1" x="429"/>
        <item t="data" sd="1" m="1" x="286"/>
        <item t="data" sd="1" m="1" x="433"/>
        <item t="data" sd="1" m="1" x="290"/>
        <item t="data" sd="1" m="1" x="436"/>
        <item t="data" sd="1" m="1" x="293"/>
        <item t="data" sd="1" m="1" x="440"/>
        <item t="data" sd="1" m="1" x="297"/>
        <item t="data" sd="1" m="1" x="444"/>
        <item t="data" sd="1" m="1" x="301"/>
        <item t="data" sd="1" m="1" x="449"/>
        <item t="data" sd="1" m="1" x="306"/>
        <item t="data" sd="1" m="1" x="454"/>
        <item t="data" sd="1" m="1" x="311"/>
        <item t="data" sd="1" m="1" x="459"/>
        <item t="data" sd="1" m="1" x="316"/>
        <item t="data" sd="1" m="1" x="464"/>
        <item t="data" sd="1" m="1" x="321"/>
        <item t="data" sd="1" m="1" x="469"/>
        <item t="data" sd="1" m="1" x="326"/>
        <item t="data" sd="1" m="1" x="474"/>
        <item t="data" sd="1" m="1" x="331"/>
        <item t="data" sd="1" m="1" x="480"/>
        <item t="data" sd="1" m="1" x="423"/>
        <item t="data" sd="1" m="1" x="281"/>
        <item t="data" sd="1" m="1" x="427"/>
        <item t="data" sd="1" m="1" x="284"/>
        <item t="data" sd="1" m="1" x="430"/>
        <item t="data" sd="1" m="1" x="287"/>
        <item t="data" sd="1" m="1" x="434"/>
        <item t="data" sd="1" m="1" x="291"/>
        <item t="data" sd="1" m="1" x="437"/>
        <item t="data" sd="1" m="1" x="294"/>
        <item t="data" sd="1" m="1" x="441"/>
        <item t="data" sd="1" m="1" x="298"/>
        <item t="data" sd="1" m="1" x="445"/>
        <item t="data" sd="1" m="1" x="302"/>
        <item t="data" sd="1" m="1" x="450"/>
        <item t="data" sd="1" m="1" x="307"/>
        <item t="data" sd="1" m="1" x="455"/>
        <item t="data" sd="1" m="1" x="312"/>
        <item t="data" sd="1" m="1" x="460"/>
        <item t="data" sd="1" m="1" x="317"/>
        <item t="data" sd="1" m="1" x="465"/>
        <item t="data" sd="1" m="1" x="322"/>
        <item t="data" sd="1" m="1" x="470"/>
        <item t="data" sd="1" m="1" x="327"/>
        <item t="data" sd="1" m="1" x="475"/>
        <item t="data" sd="1" m="1" x="332"/>
        <item t="data" sd="1" m="1" x="481"/>
        <item t="data" sd="1" m="1" x="337"/>
        <item t="data" sd="1" m="1" x="486"/>
        <item t="data" sd="1" m="1" x="431"/>
        <item t="data" sd="1" m="1" x="288"/>
        <item t="data" sd="1" m="1" x="435"/>
        <item t="data" sd="1" m="1" x="292"/>
        <item t="data" sd="1" m="1" x="438"/>
        <item t="data" sd="1" m="1" x="295"/>
        <item t="data" sd="1" m="1" x="442"/>
        <item t="data" sd="1" m="1" x="299"/>
        <item t="data" sd="1" m="1" x="446"/>
        <item t="data" sd="1" m="1" x="303"/>
        <item t="data" sd="1" m="1" x="451"/>
        <item t="data" sd="1" m="1" x="308"/>
        <item t="data" sd="1" m="1" x="456"/>
        <item t="data" sd="1" m="1" x="313"/>
        <item t="data" sd="1" m="1" x="461"/>
        <item t="data" sd="1" m="1" x="318"/>
        <item t="data" sd="1" m="1" x="466"/>
        <item t="data" sd="1" m="1" x="323"/>
        <item t="data" sd="1" m="1" x="471"/>
        <item t="data" sd="1" m="1" x="328"/>
        <item t="data" sd="1" m="1" x="476"/>
        <item t="data" sd="1" m="1" x="333"/>
        <item t="data" sd="1" m="1" x="482"/>
        <item t="data" sd="1" m="1" x="338"/>
        <item t="data" sd="1" m="1" x="487"/>
        <item t="data" sd="1" m="1" x="342"/>
        <item t="data" sd="1" m="1" x="492"/>
        <item t="data" sd="1" m="1" x="347"/>
        <item t="data" sd="1" m="1" x="497"/>
        <item t="data" sd="1" m="1" x="352"/>
        <item t="data" sd="1" m="1" x="503"/>
        <item t="data" sd="1" m="1" x="439"/>
        <item t="data" sd="1" m="1" x="296"/>
        <item t="data" sd="1" m="1" x="443"/>
        <item t="data" sd="1" m="1" x="300"/>
        <item t="data" sd="1" m="1" x="447"/>
        <item t="data" sd="1" m="1" x="304"/>
        <item t="data" sd="1" m="1" x="452"/>
        <item t="data" sd="1" m="1" x="309"/>
        <item t="data" sd="1" m="1" x="457"/>
        <item t="data" sd="1" m="1" x="314"/>
        <item t="data" sd="1" m="1" x="462"/>
        <item t="data" sd="1" m="1" x="319"/>
        <item t="data" sd="1" m="1" x="467"/>
        <item t="data" sd="1" m="1" x="324"/>
        <item t="data" sd="1" m="1" x="472"/>
        <item t="data" sd="1" m="1" x="329"/>
        <item t="data" sd="1" m="1" x="477"/>
        <item t="data" sd="1" m="1" x="334"/>
        <item t="data" sd="1" m="1" x="483"/>
        <item t="data" sd="1" m="1" x="339"/>
        <item t="data" sd="1" m="1" x="488"/>
        <item t="data" sd="1" m="1" x="343"/>
        <item t="data" sd="1" m="1" x="493"/>
        <item t="data" sd="1" m="1" x="348"/>
        <item t="data" sd="1" m="1" x="498"/>
        <item t="data" sd="1" m="1" x="353"/>
        <item t="data" sd="1" m="1" x="504"/>
        <item t="data" sd="1" m="1" x="357"/>
        <item t="data" sd="1" m="1" x="508"/>
        <item t="data" sd="1" m="1" x="361"/>
        <item t="data" sd="1" m="1" x="448"/>
        <item t="data" sd="1" m="1" x="305"/>
        <item t="data" sd="1" m="1" x="453"/>
        <item t="data" sd="1" m="1" x="310"/>
        <item t="data" sd="1" m="1" x="458"/>
        <item t="data" sd="1" m="1" x="315"/>
        <item t="data" sd="1" m="1" x="463"/>
        <item t="data" sd="1" m="1" x="320"/>
        <item t="data" sd="1" m="1" x="468"/>
        <item t="data" sd="1" m="1" x="325"/>
        <item t="data" sd="1" m="1" x="473"/>
        <item t="data" sd="1" m="1" x="330"/>
        <item t="data" sd="1" m="1" x="478"/>
        <item t="data" sd="1" m="1" x="335"/>
        <item t="data" sd="1" m="1" x="484"/>
        <item t="data" sd="1" m="1" x="340"/>
        <item t="data" sd="1" m="1" x="489"/>
        <item t="data" sd="1" m="1" x="344"/>
        <item t="data" sd="1" m="1" x="494"/>
        <item t="data" sd="1" m="1" x="349"/>
        <item t="data" sd="1" m="1" x="499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</items>
    </pivotField>
    <pivotField axis="axisRow" showDropDowns="1" compact="0" outline="0" subtotalTop="1" dragToRow="1" dragToCol="1" dragToPage="1" dragToData="1" dragOff="1" showAll="0" topAutoShow="1" itemPageCount="10" sortType="manual" defaultSubtotal="1">
      <items count="9">
        <item t="data" sd="1" x="2"/>
        <item t="data" sd="1" x="3"/>
        <item t="data" sd="1" x="4"/>
        <item t="data" sd="1" x="7"/>
        <item t="data" sd="1" x="6"/>
        <item t="data" sd="1" x="0"/>
        <item t="data" sd="1" x="1"/>
        <item t="data" sd="1" x="5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Col" showDropDowns="1" compact="0" outline="0" subtotalTop="1" dragToRow="1" dragToCol="1" dragToPage="1" dragToData="1" dragOff="1" showAll="0" topAutoShow="1" itemPageCount="10" sortType="descending" defaultSubtotal="1">
      <items count="25">
        <item t="data" sd="1" m="1" x="3"/>
        <item t="data" sd="1" m="1" x="23"/>
        <item t="data" sd="1" m="1" x="6"/>
        <item t="data" sd="1" m="1" x="13"/>
        <item t="data" sd="1" m="1" x="21"/>
        <item t="data" sd="1" m="1" x="8"/>
        <item t="data" sd="1" m="1" x="9"/>
        <item t="data" sd="1" m="1" x="10"/>
        <item t="data" sd="1" m="1" x="7"/>
        <item t="data" sd="1" m="1" x="4"/>
        <item t="data" sd="1" m="1" x="20"/>
        <item t="data" sd="1" m="1" x="18"/>
        <item t="data" h="1" sd="1" m="1" x="19"/>
        <item t="data" sd="1" m="1" x="15"/>
        <item t="data" sd="1" m="1" x="22"/>
        <item t="data" sd="1" m="1" x="11"/>
        <item t="data" sd="1" x="0"/>
        <item t="data" sd="1" m="1" x="16"/>
        <item t="data" sd="1" x="1"/>
        <item t="data" h="1" sd="1" m="1" x="12"/>
        <item t="data" sd="1" m="1" x="17"/>
        <item t="data" h="1" sd="1" m="1" x="14"/>
        <item t="data" h="1" sd="1" m="1" x="5"/>
        <item t="data" h="1" sd="1" x="2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16">
        <item t="data" h="1" sd="1" m="1" x="10"/>
        <item t="data" sd="1" m="1" x="3"/>
        <item t="data" h="1" sd="1" m="1" x="9"/>
        <item t="data" h="1" sd="1" m="1" x="7"/>
        <item t="data" h="1" sd="1" x="1"/>
        <item t="data" sd="1" m="1" x="6"/>
        <item t="data" sd="1" m="1" x="8"/>
        <item t="data" h="1" sd="1" m="1" x="12"/>
        <item t="data" h="1" sd="1" m="1" x="5"/>
        <item t="data" h="1" sd="1" m="1" x="14"/>
        <item t="data" sd="1" m="1" x="11"/>
        <item t="data" sd="1" m="1" x="4"/>
        <item t="data" h="1" sd="1" m="1" x="13"/>
        <item t="data" h="1" sd="1" x="0"/>
        <item t="data" h="1" sd="1" x="2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</pivotFields>
  <rowFields count="2">
    <field x="0"/>
    <field x="1"/>
  </rowFields>
  <rowItems count="1">
    <i t="grand" r="0" i="0">
      <x v="0"/>
    </i>
  </rowItems>
  <colFields count="1">
    <field x="3"/>
  </colFields>
  <colItems count="1">
    <i t="grand" r="0" i="0">
      <x v="0"/>
    </i>
  </colItems>
  <pageFields count="1">
    <pageField fld="6" hier="-1"/>
  </pageFields>
  <dataFields count="1">
    <dataField name="합계 : 판매수량" fld="5" subtotal="sum" showDataAs="normal" baseField="1" baseItem="4" numFmtId="176"/>
  </dataFields>
  <pivotTableStyleInfo name="PivotStyleLight8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피벗 테이블3" cacheId="7" dataOnRows="0" dataCaption="값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0" outline="0" outlineData="0" compactData="0" published="0" gridDropZones="0" immersive="1" multipleFieldFilters="0" chartFormat="22" fieldListSortAscending="0" mdxSubqueries="0" applyNumberFormats="0" applyBorderFormats="0" applyFontFormats="0" applyPatternFormats="0" applyAlignmentFormats="0" applyWidthHeightFormats="1" r:id="rId1">
  <location ref="P3:R5" firstHeaderRow="1" firstDataRow="2" firstDataCol="2" rowPageCount="1" colPageCount="1"/>
  <pivotFields count="11">
    <pivotField axis="axisRow" showDropDowns="1" compact="0" outline="0" subtotalTop="1" dragToRow="1" dragToCol="1" dragToPage="1" dragToData="1" dragOff="1" showAll="0" topAutoShow="1" itemPageCount="10" sortType="ascending" defaultSubtotal="0">
      <items count="556">
        <item t="data" sd="1" m="1" x="479"/>
        <item t="data" sd="1" m="1" x="336"/>
        <item t="data" sd="1" m="1" x="485"/>
        <item t="data" sd="1" m="1" x="341"/>
        <item t="data" sd="1" m="1" x="490"/>
        <item t="data" sd="1" m="1" x="345"/>
        <item t="data" sd="1" m="1" x="495"/>
        <item t="data" sd="1" m="1" x="350"/>
        <item t="data" sd="1" m="1" x="500"/>
        <item t="data" sd="1" m="1" x="354"/>
        <item t="data" sd="1" m="1" x="505"/>
        <item t="data" sd="1" m="1" x="358"/>
        <item t="data" sd="1" m="1" x="509"/>
        <item t="data" sd="1" m="1" x="362"/>
        <item t="data" sd="1" m="1" x="513"/>
        <item t="data" sd="1" m="1" x="366"/>
        <item t="data" sd="1" m="1" x="517"/>
        <item t="data" sd="1" m="1" x="370"/>
        <item t="data" sd="1" m="1" x="522"/>
        <item t="data" sd="1" m="1" x="375"/>
        <item t="data" sd="1" m="1" x="527"/>
        <item t="data" sd="1" m="1" x="380"/>
        <item t="data" sd="1" m="1" x="532"/>
        <item t="data" sd="1" m="1" x="385"/>
        <item t="data" sd="1" m="1" x="537"/>
        <item t="data" sd="1" m="1" x="390"/>
        <item t="data" sd="1" m="1" x="542"/>
        <item t="data" sd="1" m="1" x="395"/>
        <item t="data" sd="1" m="1" x="547"/>
        <item t="data" sd="1" m="1" x="399"/>
        <item t="data" sd="1" m="1" x="551"/>
        <item t="data" sd="1" m="1" x="491"/>
        <item t="data" sd="1" m="1" x="346"/>
        <item t="data" sd="1" m="1" x="496"/>
        <item t="data" sd="1" m="1" x="351"/>
        <item t="data" sd="1" m="1" x="501"/>
        <item t="data" sd="1" m="1" x="355"/>
        <item t="data" sd="1" m="1" x="506"/>
        <item t="data" sd="1" m="1" x="359"/>
        <item t="data" sd="1" m="1" x="510"/>
        <item t="data" sd="1" m="1" x="363"/>
        <item t="data" sd="1" m="1" x="514"/>
        <item t="data" sd="1" m="1" x="367"/>
        <item t="data" sd="1" m="1" x="518"/>
        <item t="data" sd="1" m="1" x="371"/>
        <item t="data" sd="1" m="1" x="523"/>
        <item t="data" sd="1" m="1" x="376"/>
        <item t="data" sd="1" m="1" x="528"/>
        <item t="data" sd="1" m="1" x="381"/>
        <item t="data" sd="1" m="1" x="533"/>
        <item t="data" sd="1" m="1" x="386"/>
        <item t="data" sd="1" m="1" x="538"/>
        <item t="data" sd="1" m="1" x="391"/>
        <item t="data" sd="1" m="1" x="543"/>
        <item t="data" sd="1" m="1" x="400"/>
        <item t="data" sd="1" m="1" x="552"/>
        <item t="data" sd="1" m="1" x="404"/>
        <item t="data" sd="1" m="1" x="263"/>
        <item t="data" sd="1" m="1" x="408"/>
        <item t="data" sd="1" m="1" x="502"/>
        <item t="data" sd="1" m="1" x="356"/>
        <item t="data" sd="1" m="1" x="507"/>
        <item t="data" sd="1" m="1" x="360"/>
        <item t="data" sd="1" m="1" x="511"/>
        <item t="data" sd="1" m="1" x="364"/>
        <item t="data" sd="1" m="1" x="515"/>
        <item t="data" sd="1" m="1" x="368"/>
        <item t="data" sd="1" m="1" x="519"/>
        <item t="data" sd="1" m="1" x="372"/>
        <item t="data" sd="1" m="1" x="524"/>
        <item t="data" sd="1" m="1" x="377"/>
        <item t="data" sd="1" m="1" x="529"/>
        <item t="data" sd="1" m="1" x="382"/>
        <item t="data" sd="1" m="1" x="534"/>
        <item t="data" sd="1" m="1" x="387"/>
        <item t="data" sd="1" m="1" x="539"/>
        <item t="data" sd="1" m="1" x="392"/>
        <item t="data" sd="1" m="1" x="544"/>
        <item t="data" sd="1" m="1" x="396"/>
        <item t="data" sd="1" m="1" x="548"/>
        <item t="data" sd="1" m="1" x="401"/>
        <item t="data" sd="1" m="1" x="553"/>
        <item t="data" sd="1" m="1" x="405"/>
        <item t="data" sd="1" m="1" x="264"/>
        <item t="data" sd="1" m="1" x="409"/>
        <item t="data" sd="1" m="1" x="267"/>
        <item t="data" sd="1" m="1" x="412"/>
        <item t="data" sd="1" m="1" x="270"/>
        <item t="data" sd="1" m="1" x="416"/>
        <item t="data" sd="1" m="1" x="274"/>
        <item t="data" sd="1" m="1" x="512"/>
        <item t="data" sd="1" m="1" x="365"/>
        <item t="data" sd="1" m="1" x="516"/>
        <item t="data" sd="1" m="1" x="369"/>
        <item t="data" sd="1" m="1" x="520"/>
        <item t="data" sd="1" m="1" x="373"/>
        <item t="data" sd="1" m="1" x="525"/>
        <item t="data" sd="1" m="1" x="378"/>
        <item t="data" sd="1" m="1" x="530"/>
        <item t="data" sd="1" m="1" x="383"/>
        <item t="data" sd="1" m="1" x="535"/>
        <item t="data" sd="1" m="1" x="388"/>
        <item t="data" sd="1" m="1" x="540"/>
        <item t="data" sd="1" m="1" x="393"/>
        <item t="data" sd="1" m="1" x="545"/>
        <item t="data" sd="1" m="1" x="397"/>
        <item t="data" sd="1" m="1" x="549"/>
        <item t="data" sd="1" m="1" x="402"/>
        <item t="data" sd="1" m="1" x="554"/>
        <item t="data" sd="1" m="1" x="406"/>
        <item t="data" sd="1" m="1" x="265"/>
        <item t="data" sd="1" m="1" x="410"/>
        <item t="data" sd="1" m="1" x="268"/>
        <item t="data" sd="1" m="1" x="413"/>
        <item t="data" sd="1" m="1" x="271"/>
        <item t="data" sd="1" m="1" x="417"/>
        <item t="data" sd="1" m="1" x="275"/>
        <item t="data" sd="1" m="1" x="420"/>
        <item t="data" sd="1" m="1" x="278"/>
        <item t="data" sd="1" m="1" x="424"/>
        <item t="data" sd="1" m="1" x="521"/>
        <item t="data" sd="1" m="1" x="374"/>
        <item t="data" sd="1" m="1" x="526"/>
        <item t="data" sd="1" m="1" x="379"/>
        <item t="data" sd="1" m="1" x="531"/>
        <item t="data" sd="1" m="1" x="384"/>
        <item t="data" sd="1" m="1" x="536"/>
        <item t="data" sd="1" m="1" x="389"/>
        <item t="data" sd="1" m="1" x="541"/>
        <item t="data" sd="1" m="1" x="394"/>
        <item t="data" sd="1" m="1" x="546"/>
        <item t="data" sd="1" m="1" x="398"/>
        <item t="data" sd="1" m="1" x="550"/>
        <item t="data" sd="1" m="1" x="403"/>
        <item t="data" sd="1" m="1" x="555"/>
        <item t="data" sd="1" m="1" x="407"/>
        <item t="data" sd="1" m="1" x="266"/>
        <item t="data" sd="1" m="1" x="411"/>
        <item t="data" sd="1" m="1" x="269"/>
        <item t="data" sd="1" m="1" x="414"/>
        <item t="data" sd="1" m="1" x="272"/>
        <item t="data" sd="1" m="1" x="418"/>
        <item t="data" sd="1" m="1" x="276"/>
        <item t="data" sd="1" m="1" x="421"/>
        <item t="data" sd="1" m="1" x="279"/>
        <item t="data" sd="1" m="1" x="425"/>
        <item t="data" sd="1" m="1" x="282"/>
        <item t="data" sd="1" m="1" x="428"/>
        <item t="data" sd="1" m="1" x="285"/>
        <item t="data" sd="1" m="1" x="432"/>
        <item t="data" sd="1" m="1" x="289"/>
        <item t="data" sd="1" m="1" x="415"/>
        <item t="data" sd="1" m="1" x="273"/>
        <item t="data" sd="1" m="1" x="419"/>
        <item t="data" sd="1" m="1" x="277"/>
        <item t="data" sd="1" m="1" x="422"/>
        <item t="data" sd="1" m="1" x="280"/>
        <item t="data" sd="1" m="1" x="426"/>
        <item t="data" sd="1" m="1" x="283"/>
        <item t="data" sd="1" m="1" x="429"/>
        <item t="data" sd="1" m="1" x="286"/>
        <item t="data" sd="1" m="1" x="433"/>
        <item t="data" sd="1" m="1" x="290"/>
        <item t="data" sd="1" m="1" x="436"/>
        <item t="data" sd="1" m="1" x="293"/>
        <item t="data" sd="1" m="1" x="440"/>
        <item t="data" sd="1" m="1" x="297"/>
        <item t="data" sd="1" m="1" x="444"/>
        <item t="data" sd="1" m="1" x="301"/>
        <item t="data" sd="1" m="1" x="449"/>
        <item t="data" sd="1" m="1" x="306"/>
        <item t="data" sd="1" m="1" x="454"/>
        <item t="data" sd="1" m="1" x="311"/>
        <item t="data" sd="1" m="1" x="459"/>
        <item t="data" sd="1" m="1" x="316"/>
        <item t="data" sd="1" m="1" x="464"/>
        <item t="data" sd="1" m="1" x="321"/>
        <item t="data" sd="1" m="1" x="469"/>
        <item t="data" sd="1" m="1" x="326"/>
        <item t="data" sd="1" m="1" x="474"/>
        <item t="data" sd="1" m="1" x="331"/>
        <item t="data" sd="1" m="1" x="480"/>
        <item t="data" sd="1" m="1" x="423"/>
        <item t="data" sd="1" m="1" x="281"/>
        <item t="data" sd="1" m="1" x="427"/>
        <item t="data" sd="1" m="1" x="284"/>
        <item t="data" sd="1" m="1" x="430"/>
        <item t="data" sd="1" m="1" x="287"/>
        <item t="data" sd="1" m="1" x="434"/>
        <item t="data" sd="1" m="1" x="291"/>
        <item t="data" sd="1" m="1" x="437"/>
        <item t="data" sd="1" m="1" x="294"/>
        <item t="data" sd="1" m="1" x="441"/>
        <item t="data" sd="1" m="1" x="298"/>
        <item t="data" sd="1" m="1" x="445"/>
        <item t="data" sd="1" m="1" x="302"/>
        <item t="data" sd="1" m="1" x="450"/>
        <item t="data" sd="1" m="1" x="307"/>
        <item t="data" sd="1" m="1" x="455"/>
        <item t="data" sd="1" m="1" x="312"/>
        <item t="data" sd="1" m="1" x="460"/>
        <item t="data" sd="1" m="1" x="317"/>
        <item t="data" sd="1" m="1" x="465"/>
        <item t="data" sd="1" m="1" x="322"/>
        <item t="data" sd="1" m="1" x="470"/>
        <item t="data" sd="1" m="1" x="327"/>
        <item t="data" sd="1" m="1" x="475"/>
        <item t="data" sd="1" m="1" x="332"/>
        <item t="data" sd="1" m="1" x="481"/>
        <item t="data" sd="1" m="1" x="337"/>
        <item t="data" sd="1" m="1" x="486"/>
        <item t="data" sd="1" m="1" x="431"/>
        <item t="data" sd="1" m="1" x="288"/>
        <item t="data" sd="1" m="1" x="435"/>
        <item t="data" sd="1" m="1" x="292"/>
        <item t="data" sd="1" m="1" x="438"/>
        <item t="data" sd="1" m="1" x="295"/>
        <item t="data" sd="1" m="1" x="442"/>
        <item t="data" sd="1" m="1" x="299"/>
        <item t="data" sd="1" m="1" x="446"/>
        <item t="data" sd="1" m="1" x="303"/>
        <item t="data" sd="1" m="1" x="451"/>
        <item t="data" sd="1" m="1" x="308"/>
        <item t="data" sd="1" m="1" x="456"/>
        <item t="data" sd="1" m="1" x="313"/>
        <item t="data" sd="1" m="1" x="461"/>
        <item t="data" sd="1" m="1" x="318"/>
        <item t="data" sd="1" m="1" x="466"/>
        <item t="data" sd="1" m="1" x="323"/>
        <item t="data" sd="1" m="1" x="471"/>
        <item t="data" sd="1" m="1" x="328"/>
        <item t="data" sd="1" m="1" x="476"/>
        <item t="data" sd="1" m="1" x="333"/>
        <item t="data" sd="1" m="1" x="482"/>
        <item t="data" sd="1" m="1" x="338"/>
        <item t="data" sd="1" m="1" x="487"/>
        <item t="data" sd="1" m="1" x="342"/>
        <item t="data" sd="1" m="1" x="492"/>
        <item t="data" sd="1" m="1" x="347"/>
        <item t="data" sd="1" m="1" x="497"/>
        <item t="data" sd="1" m="1" x="352"/>
        <item t="data" sd="1" m="1" x="503"/>
        <item t="data" sd="1" m="1" x="439"/>
        <item t="data" sd="1" m="1" x="296"/>
        <item t="data" sd="1" m="1" x="443"/>
        <item t="data" sd="1" m="1" x="300"/>
        <item t="data" sd="1" m="1" x="447"/>
        <item t="data" sd="1" m="1" x="304"/>
        <item t="data" sd="1" m="1" x="452"/>
        <item t="data" sd="1" m="1" x="309"/>
        <item t="data" sd="1" m="1" x="457"/>
        <item t="data" sd="1" m="1" x="314"/>
        <item t="data" sd="1" m="1" x="462"/>
        <item t="data" sd="1" m="1" x="319"/>
        <item t="data" sd="1" m="1" x="467"/>
        <item t="data" sd="1" m="1" x="324"/>
        <item t="data" sd="1" m="1" x="472"/>
        <item t="data" sd="1" m="1" x="329"/>
        <item t="data" sd="1" m="1" x="477"/>
        <item t="data" sd="1" m="1" x="334"/>
        <item t="data" sd="1" m="1" x="483"/>
        <item t="data" sd="1" m="1" x="339"/>
        <item t="data" sd="1" m="1" x="488"/>
        <item t="data" sd="1" m="1" x="343"/>
        <item t="data" sd="1" m="1" x="493"/>
        <item t="data" sd="1" m="1" x="348"/>
        <item t="data" sd="1" m="1" x="498"/>
        <item t="data" sd="1" m="1" x="353"/>
        <item t="data" sd="1" m="1" x="504"/>
        <item t="data" sd="1" m="1" x="357"/>
        <item t="data" sd="1" m="1" x="508"/>
        <item t="data" sd="1" m="1" x="361"/>
        <item t="data" sd="1" m="1" x="448"/>
        <item t="data" sd="1" m="1" x="305"/>
        <item t="data" sd="1" m="1" x="453"/>
        <item t="data" sd="1" m="1" x="310"/>
        <item t="data" sd="1" m="1" x="458"/>
        <item t="data" sd="1" m="1" x="315"/>
        <item t="data" sd="1" m="1" x="463"/>
        <item t="data" sd="1" m="1" x="320"/>
        <item t="data" sd="1" m="1" x="468"/>
        <item t="data" sd="1" m="1" x="325"/>
        <item t="data" sd="1" m="1" x="473"/>
        <item t="data" sd="1" m="1" x="330"/>
        <item t="data" sd="1" m="1" x="478"/>
        <item t="data" sd="1" m="1" x="335"/>
        <item t="data" sd="1" m="1" x="484"/>
        <item t="data" sd="1" m="1" x="340"/>
        <item t="data" sd="1" m="1" x="489"/>
        <item t="data" sd="1" m="1" x="344"/>
        <item t="data" sd="1" m="1" x="494"/>
        <item t="data" sd="1" m="1" x="349"/>
        <item t="data" sd="1" m="1" x="499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</items>
    </pivotField>
    <pivotField axis="axisRow" showDropDowns="1" compact="0" outline="0" subtotalTop="1" dragToRow="1" dragToCol="1" dragToPage="1" dragToData="1" dragOff="1" showAll="0" topAutoShow="1" itemPageCount="10" sortType="manual" defaultSubtotal="1">
      <items count="9">
        <item t="data" sd="1" x="2"/>
        <item t="data" sd="1" x="3"/>
        <item t="data" sd="1" x="4"/>
        <item t="data" sd="1" x="7"/>
        <item t="data" sd="1" x="6"/>
        <item t="data" sd="1" x="0"/>
        <item t="data" sd="1" x="1"/>
        <item t="data" sd="1" x="5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Col" showDropDowns="1" compact="0" outline="0" subtotalTop="1" dragToRow="1" dragToCol="1" dragToPage="1" dragToData="1" dragOff="1" showAll="0" topAutoShow="1" itemPageCount="10" sortType="descending" defaultSubtotal="1">
      <items count="25">
        <item t="data" sd="1" m="1" x="3"/>
        <item t="data" sd="1" m="1" x="23"/>
        <item t="data" sd="1" m="1" x="6"/>
        <item t="data" sd="1" m="1" x="13"/>
        <item t="data" sd="1" m="1" x="21"/>
        <item t="data" sd="1" m="1" x="8"/>
        <item t="data" sd="1" m="1" x="9"/>
        <item t="data" sd="1" m="1" x="10"/>
        <item t="data" sd="1" m="1" x="7"/>
        <item t="data" sd="1" m="1" x="4"/>
        <item t="data" sd="1" m="1" x="20"/>
        <item t="data" sd="1" m="1" x="18"/>
        <item t="data" h="1" sd="1" m="1" x="19"/>
        <item t="data" sd="1" m="1" x="15"/>
        <item t="data" sd="1" m="1" x="22"/>
        <item t="data" sd="1" m="1" x="11"/>
        <item t="data" sd="1" x="0"/>
        <item t="data" sd="1" m="1" x="16"/>
        <item t="data" sd="1" x="1"/>
        <item t="data" h="1" sd="1" m="1" x="12"/>
        <item t="data" sd="1" m="1" x="17"/>
        <item t="data" h="1" sd="1" m="1" x="14"/>
        <item t="data" h="1" sd="1" m="1" x="5"/>
        <item t="data" h="1" sd="1" x="2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16">
        <item t="data" sd="1" m="1" x="10"/>
        <item t="data" sd="1" m="1" x="3"/>
        <item t="data" sd="1" m="1" x="9"/>
        <item t="data" sd="1" m="1" x="7"/>
        <item t="data" h="1" sd="1" x="1"/>
        <item t="data" sd="1" m="1" x="6"/>
        <item t="data" sd="1" m="1" x="8"/>
        <item t="data" h="1" sd="1" m="1" x="12"/>
        <item t="data" sd="1" m="1" x="5"/>
        <item t="data" sd="1" m="1" x="14"/>
        <item t="data" sd="1" m="1" x="11"/>
        <item t="data" sd="1" m="1" x="4"/>
        <item t="data" h="1" sd="1" m="1" x="13"/>
        <item t="data" h="1" sd="1" x="0"/>
        <item t="data" h="1" sd="1" x="2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2">
    <field x="0"/>
    <field x="1"/>
  </rowFields>
  <rowItems count="1">
    <i t="grand" r="0" i="0">
      <x v="0"/>
    </i>
  </rowItems>
  <colFields count="1">
    <field x="3"/>
  </colFields>
  <colItems count="1">
    <i t="grand" r="0" i="0">
      <x v="0"/>
    </i>
  </colItems>
  <pageFields count="1">
    <pageField fld="6" hier="-1"/>
  </pageFields>
  <dataFields count="1">
    <dataField name="합계 : 판매액" fld="10" subtotal="sum" showDataAs="normal" baseField="1" baseItem="6" numFmtId="176"/>
  </dataFields>
  <pivotTableStyleInfo name="PivotStyleLight8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피벗 테이블2" cacheId="6" dataOnRows="1" dataCaption="값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M5" firstHeaderRow="1" firstDataRow="2" firstDataCol="1"/>
  <pivotFields count="16">
    <pivotField showDropDowns="1" compact="0" numFmtId="177" outline="0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Col" showDropDowns="1" compact="0" outline="0" subtotalTop="1" dragToRow="1" dragToCol="1" dragToPage="1" dragToData="1" dragOff="1" showAll="0" topAutoShow="1" itemPageCount="10" sortType="manual" defaultSubtotal="1">
      <items count="15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Items count="1">
    <i t="data" r="0" i="0"/>
  </rowItems>
  <colFields count="1">
    <field x="15"/>
  </colFields>
  <colItems count="12">
    <i t="data" r="0" i="0">
      <x v="0"/>
    </i>
    <i t="data" r="0" i="0">
      <x v="1"/>
    </i>
    <i t="data" r="0" i="0">
      <x v="2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grand" r="0" i="0">
      <x v="0"/>
    </i>
  </colItems>
  <dataFields count="1">
    <dataField name="합계 : 판매액" fld="10" subtotal="sum" showDataAs="normal" baseField="0" baseItem="0"/>
  </dataFields>
  <formats count="2">
    <format action="formatting" dxfId="1">
      <pivotArea type="normal" dataOnly="1" grandRow="1" outline="0" collapsedLevelsAreSubtotals="1" fieldPosition="0"/>
    </format>
    <format action="formatting" dxfId="0">
      <pivotArea type="normal" dataOnly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피벗 테이블2" cacheId="5" dataOnRows="0" dataCaption="값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B5:L16" firstHeaderRow="1" firstDataRow="2" firstDataCol="1" rowPageCount="2" colPageCount="1"/>
  <pivotFields count="18">
    <pivotField axis="axisRow" showDropDowns="1" compact="1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3">
        <item t="data" sd="1" x="6"/>
        <item t="data" sd="1" x="0"/>
        <item t="data" sd="1" x="8"/>
        <item t="data" sd="1" x="7"/>
        <item t="data" sd="1" x="1"/>
        <item t="data" sd="1" x="3"/>
        <item t="data" sd="1" x="4"/>
        <item t="data" sd="1" x="2"/>
        <item t="data" sd="1" x="5"/>
        <item t="data" sd="1" x="9"/>
        <item t="data" sd="1" x="11"/>
        <item t="data" sd="1" x="1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axis="axisPage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1"/>
        <item t="data" sd="1" x="2"/>
        <item t="data" sd="1" x="3"/>
        <item t="default" sd="1"/>
      </items>
    </pivotField>
  </pivotFields>
  <rowFields count="1">
    <field x="0"/>
  </rowFields>
  <rowItems count="10"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grand" r="0" i="0">
      <x v="0"/>
    </i>
  </rowItems>
  <colFields count="1">
    <field x="2"/>
  </colFields>
  <colItems count="10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9"/>
    </i>
    <i t="data" r="0" i="0">
      <x v="10"/>
    </i>
    <i t="data" r="0" i="0">
      <x v="11"/>
    </i>
    <i t="grand" r="0" i="0">
      <x v="0"/>
    </i>
  </colItems>
  <pageFields count="2">
    <pageField fld="17" item="2" hier="-1"/>
    <pageField fld="15" item="2" hier="-1"/>
  </pageFields>
  <dataFields count="1">
    <dataField name="합계 : 광고비(VAT미포함)" fld="9" subtotal="sum" showDataAs="normal" baseField="0" baseItem="336" numFmtId="176"/>
  </dataField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피벗 테이블1" cacheId="5" dataOnRows="0" dataCaption="값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B4:F15" firstHeaderRow="1" firstDataRow="2" firstDataCol="1" rowPageCount="2" colPageCount="1"/>
  <pivotFields count="18">
    <pivotField axis="axisRow" showDropDowns="1" compact="1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4">
        <item t="data" sd="1" x="0"/>
        <item t="data" sd="1" x="2"/>
        <item t="data" sd="1" x="1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axis="axisPage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1"/>
        <item t="data" sd="1" x="2"/>
        <item t="data" sd="1" x="3"/>
        <item t="default" sd="1"/>
      </items>
    </pivotField>
  </pivotFields>
  <rowFields count="1">
    <field x="0"/>
  </rowFields>
  <rowItems count="10"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grand" r="0" i="0">
      <x v="0"/>
    </i>
  </rowItems>
  <colFields count="1">
    <field x="6"/>
  </colFields>
  <colItems count="4">
    <i t="data" r="0" i="0">
      <x v="0"/>
    </i>
    <i t="data" r="0" i="0">
      <x v="1"/>
    </i>
    <i t="data" r="0" i="0">
      <x v="2"/>
    </i>
    <i t="grand" r="0" i="0">
      <x v="0"/>
    </i>
  </colItems>
  <pageFields count="2">
    <pageField fld="17" item="2" hier="-1"/>
    <pageField fld="15" item="2" hier="-1"/>
  </pageFields>
  <dataFields count="1">
    <dataField name="합계 : 판매액" fld="10" subtotal="sum" showDataAs="normal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1.xml" Id="rId2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2.xml" Id="rId1"/><Relationship Type="http://schemas.openxmlformats.org/officeDocument/2006/relationships/pivotTable" Target="/xl/pivotTables/pivotTable3.xml" Id="rId2"/></Relationships>
</file>

<file path=xl/worksheets/_rels/sheet4.xml.rels><Relationships xmlns="http://schemas.openxmlformats.org/package/2006/relationships"><Relationship Type="http://schemas.openxmlformats.org/officeDocument/2006/relationships/pivotTable" Target="/xl/pivotTables/pivotTable4.xml" Id="rId1"/><Relationship Type="http://schemas.openxmlformats.org/officeDocument/2006/relationships/pivotTable" Target="/xl/pivotTables/pivotTable5.xml" Id="rId2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6.xml" Id="rId1"/></Relationships>
</file>

<file path=xl/worksheets/_rels/sheet6.xml.rels><Relationships xmlns="http://schemas.openxmlformats.org/package/2006/relationships"><Relationship Type="http://schemas.openxmlformats.org/officeDocument/2006/relationships/pivotTable" Target="/xl/pivotTables/pivotTable7.xml" Id="rId1"/></Relationships>
</file>

<file path=xl/worksheets/_rels/sheet7.xml.rels><Relationships xmlns="http://schemas.openxmlformats.org/package/2006/relationships"><Relationship Type="http://schemas.openxmlformats.org/officeDocument/2006/relationships/pivotTable" Target="/xl/pivotTables/pivotTable8.xml" Id="rId1"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A1"/>
  <sheetViews>
    <sheetView showGridLines="0" zoomScale="70" zoomScaleNormal="70" workbookViewId="0">
      <selection activeCell="A1" sqref="A1"/>
    </sheetView>
  </sheetViews>
  <sheetFormatPr baseColWidth="8" defaultRowHeight="16.5" outlineLevelCol="0"/>
  <cols>
    <col width="1.59765625" customWidth="1" style="47" min="1" max="1"/>
    <col width="9" customWidth="1" style="47" min="3" max="3"/>
  </cols>
  <sheetData/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theme="5"/>
    <outlinePr summaryBelow="1" summaryRight="1"/>
    <pageSetUpPr/>
  </sheetPr>
  <dimension ref="B33:D265"/>
  <sheetViews>
    <sheetView showGridLines="0" zoomScale="85" zoomScaleNormal="85" workbookViewId="0">
      <selection activeCell="F29" sqref="F29"/>
    </sheetView>
  </sheetViews>
  <sheetFormatPr baseColWidth="8" defaultRowHeight="16.5" outlineLevelCol="0"/>
  <cols>
    <col width="1.59765625" customWidth="1" style="47" min="1" max="1"/>
    <col width="14.59765625" bestFit="1" customWidth="1" style="47" min="2" max="2"/>
    <col width="12.8984375" bestFit="1" customWidth="1" style="3" min="3" max="3"/>
    <col width="8.296875" bestFit="1" customWidth="1" style="47" min="4" max="4"/>
    <col width="28.59765625" bestFit="1" customWidth="1" style="47" min="5" max="12"/>
    <col width="11.59765625" bestFit="1" customWidth="1" style="47" min="13" max="13"/>
    <col width="12.59765625" bestFit="1" customWidth="1" style="47" min="14" max="14"/>
    <col width="30.59765625" bestFit="1" customWidth="1" style="47" min="15" max="20"/>
    <col width="13.59765625" bestFit="1" customWidth="1" style="47" min="21" max="21"/>
    <col width="36.09765625" bestFit="1" customWidth="1" style="47" min="22" max="43"/>
    <col width="11.59765625" bestFit="1" customWidth="1" style="47" min="44" max="44"/>
    <col width="11.09765625" bestFit="1" customWidth="1" style="47" min="45" max="45"/>
    <col width="18.09765625" bestFit="1" customWidth="1" style="47" min="46" max="46"/>
    <col width="13.09765625" bestFit="1" customWidth="1" style="47" min="47" max="47"/>
    <col width="16.09765625" bestFit="1" customWidth="1" style="47" min="48" max="48"/>
    <col width="12.59765625" bestFit="1" customWidth="1" style="47" min="49" max="49"/>
    <col width="11.09765625" bestFit="1" customWidth="1" style="47" min="50" max="50"/>
    <col width="15.09765625" bestFit="1" customWidth="1" style="47" min="51" max="51"/>
    <col width="11.09765625" bestFit="1" customWidth="1" style="47" min="52" max="52"/>
    <col width="15.09765625" bestFit="1" customWidth="1" style="47" min="53" max="53"/>
    <col width="11.09765625" bestFit="1" customWidth="1" style="47" min="54" max="54"/>
    <col width="15.09765625" bestFit="1" customWidth="1" style="47" min="55" max="55"/>
    <col width="11.09765625" bestFit="1" customWidth="1" style="47" min="56" max="56"/>
    <col width="15.09765625" bestFit="1" customWidth="1" style="47" min="57" max="57"/>
    <col width="11.09765625" bestFit="1" customWidth="1" style="47" min="58" max="58"/>
    <col width="15.09765625" bestFit="1" customWidth="1" style="47" min="59" max="59"/>
    <col width="11.09765625" bestFit="1" customWidth="1" style="47" min="60" max="60"/>
    <col width="15.09765625" bestFit="1" customWidth="1" style="47" min="61" max="61"/>
    <col width="11.09765625" bestFit="1" customWidth="1" style="47" min="62" max="62"/>
    <col width="15.09765625" bestFit="1" customWidth="1" style="47" min="63" max="63"/>
    <col width="11.09765625" bestFit="1" customWidth="1" style="47" min="64" max="64"/>
    <col width="15.09765625" bestFit="1" customWidth="1" style="47" min="65" max="65"/>
    <col width="11.09765625" bestFit="1" customWidth="1" style="47" min="66" max="66"/>
    <col width="15.09765625" bestFit="1" customWidth="1" style="47" min="67" max="67"/>
    <col width="11.09765625" bestFit="1" customWidth="1" style="47" min="68" max="68"/>
    <col width="15.09765625" bestFit="1" customWidth="1" style="47" min="69" max="69"/>
    <col width="11.09765625" bestFit="1" customWidth="1" style="47" min="70" max="70"/>
    <col width="24.09765625" bestFit="1" customWidth="1" style="47" min="71" max="71"/>
    <col width="20.09765625" bestFit="1" customWidth="1" style="47" min="72" max="72"/>
    <col width="15.09765625" bestFit="1" customWidth="1" style="47" min="73" max="73"/>
    <col width="11.09765625" bestFit="1" customWidth="1" style="47" min="74" max="74"/>
    <col width="15.09765625" bestFit="1" customWidth="1" style="47" min="75" max="75"/>
    <col width="11.09765625" bestFit="1" customWidth="1" style="47" min="76" max="76"/>
    <col width="15.09765625" bestFit="1" customWidth="1" style="47" min="77" max="77"/>
    <col width="11.09765625" bestFit="1" customWidth="1" style="47" min="78" max="78"/>
    <col width="15.09765625" bestFit="1" customWidth="1" style="47" min="79" max="79"/>
    <col width="11.09765625" bestFit="1" customWidth="1" style="47" min="80" max="80"/>
    <col width="15.09765625" bestFit="1" customWidth="1" style="47" min="81" max="81"/>
    <col width="11.09765625" bestFit="1" customWidth="1" style="47" min="82" max="82"/>
    <col width="15.09765625" bestFit="1" customWidth="1" style="47" min="83" max="83"/>
    <col width="11.09765625" bestFit="1" customWidth="1" style="47" min="84" max="84"/>
    <col width="15.09765625" bestFit="1" customWidth="1" style="47" min="85" max="85"/>
    <col width="11.09765625" bestFit="1" customWidth="1" style="47" min="86" max="86"/>
    <col width="15.09765625" bestFit="1" customWidth="1" style="47" min="87" max="87"/>
    <col width="11.09765625" bestFit="1" customWidth="1" style="47" min="88" max="88"/>
    <col width="28.09765625" bestFit="1" customWidth="1" style="47" min="89" max="89"/>
    <col width="24.09765625" bestFit="1" customWidth="1" style="47" min="90" max="90"/>
    <col width="15.09765625" bestFit="1" customWidth="1" style="47" min="91" max="91"/>
    <col width="11.09765625" bestFit="1" customWidth="1" style="47" min="92" max="92"/>
    <col width="26.09765625" bestFit="1" customWidth="1" style="47" min="93" max="93"/>
    <col width="22.09765625" bestFit="1" customWidth="1" style="47" min="94" max="94"/>
    <col width="20.09765625" bestFit="1" customWidth="1" style="47" min="95" max="95"/>
    <col width="15.59765625" bestFit="1" customWidth="1" style="47" min="96" max="96"/>
  </cols>
  <sheetData>
    <row r="33">
      <c r="B33" s="1" t="inlineStr">
        <is>
          <t>채널</t>
        </is>
      </c>
      <c r="C33" s="39" t="inlineStr">
        <is>
          <t>카페24</t>
        </is>
      </c>
    </row>
    <row r="34">
      <c r="B34" s="1" t="inlineStr">
        <is>
          <t>상품1</t>
        </is>
      </c>
      <c r="C34" s="39" t="inlineStr">
        <is>
          <t>(다중 항목)</t>
        </is>
      </c>
    </row>
    <row r="35">
      <c r="C35" s="39" t="n"/>
    </row>
    <row r="36">
      <c r="B36" s="1" t="inlineStr">
        <is>
          <t>합계 : 판매액</t>
        </is>
      </c>
      <c r="C36" s="39" t="n"/>
      <c r="D36" s="1" t="inlineStr">
        <is>
          <t>상품2</t>
        </is>
      </c>
    </row>
    <row r="37">
      <c r="B37" s="1" t="inlineStr">
        <is>
          <t>일자</t>
        </is>
      </c>
      <c r="C37" s="1" t="inlineStr">
        <is>
          <t>요일</t>
        </is>
      </c>
      <c r="D37" s="39" t="inlineStr">
        <is>
          <t>총합계</t>
        </is>
      </c>
    </row>
    <row r="38">
      <c r="B38" s="39" t="inlineStr">
        <is>
          <t>총합계</t>
        </is>
      </c>
      <c r="C38" s="39" t="n"/>
      <c r="D38" s="48" t="n"/>
    </row>
    <row r="39">
      <c r="C39" s="39" t="n"/>
    </row>
    <row r="40">
      <c r="C40" s="39" t="n"/>
    </row>
    <row r="41">
      <c r="C41" s="39" t="n"/>
    </row>
    <row r="42">
      <c r="C42" s="39" t="n"/>
    </row>
    <row r="43">
      <c r="C43" s="39" t="n"/>
    </row>
    <row r="44">
      <c r="C44" s="39" t="n"/>
    </row>
    <row r="45">
      <c r="C45" s="39" t="n"/>
    </row>
    <row r="46">
      <c r="C46" s="39" t="n"/>
    </row>
    <row r="47">
      <c r="C47" s="39" t="n"/>
    </row>
    <row r="48">
      <c r="C48" s="39" t="n"/>
    </row>
    <row r="49">
      <c r="C49" s="39" t="n"/>
    </row>
    <row r="50">
      <c r="C50" s="39" t="n"/>
    </row>
    <row r="51">
      <c r="C51" s="39" t="n"/>
    </row>
    <row r="52">
      <c r="C52" s="39" t="n"/>
    </row>
    <row r="53">
      <c r="C53" s="39" t="n"/>
    </row>
    <row r="54">
      <c r="C54" s="39" t="n"/>
    </row>
    <row r="55">
      <c r="C55" s="39" t="n"/>
    </row>
    <row r="56">
      <c r="C56" s="39" t="n"/>
    </row>
    <row r="57">
      <c r="C57" s="39" t="n"/>
    </row>
    <row r="58">
      <c r="C58" s="39" t="n"/>
    </row>
    <row r="59">
      <c r="C59" s="39" t="n"/>
    </row>
    <row r="60">
      <c r="C60" s="39" t="n"/>
    </row>
    <row r="61">
      <c r="C61" s="39" t="n"/>
    </row>
    <row r="62">
      <c r="C62" s="39" t="n"/>
    </row>
    <row r="63">
      <c r="C63" s="39" t="n"/>
    </row>
    <row r="64">
      <c r="C64" s="39" t="n"/>
    </row>
    <row r="65">
      <c r="C65" s="39" t="n"/>
    </row>
    <row r="66">
      <c r="C66" s="39" t="n"/>
    </row>
    <row r="67">
      <c r="C67" s="39" t="n"/>
    </row>
    <row r="68">
      <c r="C68" s="39" t="n"/>
    </row>
    <row r="69">
      <c r="C69" s="39" t="n"/>
    </row>
    <row r="70">
      <c r="C70" s="39" t="n"/>
    </row>
    <row r="71">
      <c r="C71" s="39" t="n"/>
    </row>
    <row r="72">
      <c r="C72" s="39" t="n"/>
    </row>
    <row r="73">
      <c r="C73" s="39" t="n"/>
    </row>
    <row r="74">
      <c r="C74" s="39" t="n"/>
    </row>
    <row r="75">
      <c r="C75" s="39" t="n"/>
    </row>
    <row r="76">
      <c r="C76" s="39" t="n"/>
    </row>
    <row r="77">
      <c r="C77" s="39" t="n"/>
    </row>
    <row r="78">
      <c r="C78" s="39" t="n"/>
    </row>
    <row r="79">
      <c r="C79" s="39" t="n"/>
    </row>
    <row r="80">
      <c r="C80" s="39" t="n"/>
    </row>
    <row r="81">
      <c r="C81" s="39" t="n"/>
    </row>
    <row r="82">
      <c r="C82" s="39" t="n"/>
    </row>
    <row r="83">
      <c r="C83" s="39" t="n"/>
    </row>
    <row r="84">
      <c r="C84" s="39" t="n"/>
    </row>
    <row r="85">
      <c r="C85" s="39" t="n"/>
    </row>
    <row r="86">
      <c r="C86" s="39" t="n"/>
    </row>
    <row r="87">
      <c r="C87" s="39" t="n"/>
    </row>
    <row r="88">
      <c r="C88" s="39" t="n"/>
    </row>
    <row r="89">
      <c r="C89" s="39" t="n"/>
    </row>
    <row r="90">
      <c r="C90" s="39" t="n"/>
    </row>
    <row r="91">
      <c r="C91" s="39" t="n"/>
    </row>
    <row r="92">
      <c r="C92" s="39" t="n"/>
    </row>
    <row r="93">
      <c r="C93" s="39" t="n"/>
    </row>
    <row r="94">
      <c r="C94" s="39" t="n"/>
    </row>
    <row r="95">
      <c r="C95" s="39" t="n"/>
    </row>
    <row r="96">
      <c r="C96" s="39" t="n"/>
    </row>
    <row r="97">
      <c r="C97" s="39" t="n"/>
    </row>
    <row r="98">
      <c r="C98" s="39" t="n"/>
    </row>
    <row r="99">
      <c r="C99" s="39" t="n"/>
    </row>
    <row r="100">
      <c r="C100" s="39" t="n"/>
    </row>
    <row r="101">
      <c r="C101" s="39" t="n"/>
    </row>
    <row r="102">
      <c r="C102" s="39" t="n"/>
    </row>
    <row r="103">
      <c r="C103" s="39" t="n"/>
    </row>
    <row r="104">
      <c r="C104" s="39" t="n"/>
    </row>
    <row r="105">
      <c r="C105" s="39" t="n"/>
    </row>
    <row r="106">
      <c r="C106" s="39" t="n"/>
    </row>
    <row r="107">
      <c r="C107" s="39" t="n"/>
    </row>
    <row r="108">
      <c r="C108" s="39" t="n"/>
    </row>
    <row r="109">
      <c r="C109" s="39" t="n"/>
    </row>
    <row r="110">
      <c r="C110" s="39" t="n"/>
    </row>
    <row r="111">
      <c r="C111" s="39" t="n"/>
    </row>
    <row r="112">
      <c r="C112" s="39" t="n"/>
    </row>
    <row r="113">
      <c r="C113" s="39" t="n"/>
    </row>
    <row r="114">
      <c r="C114" s="39" t="n"/>
    </row>
    <row r="115">
      <c r="C115" s="39" t="n"/>
    </row>
    <row r="116">
      <c r="C116" s="39" t="n"/>
    </row>
    <row r="117">
      <c r="C117" s="39" t="n"/>
    </row>
    <row r="118">
      <c r="C118" s="39" t="n"/>
    </row>
    <row r="119">
      <c r="C119" s="39" t="n"/>
    </row>
    <row r="120">
      <c r="C120" s="39" t="n"/>
    </row>
    <row r="121">
      <c r="C121" s="39" t="n"/>
    </row>
    <row r="122">
      <c r="C122" s="39" t="n"/>
    </row>
    <row r="123">
      <c r="C123" s="39" t="n"/>
    </row>
    <row r="124">
      <c r="C124" s="39" t="n"/>
    </row>
    <row r="125">
      <c r="C125" s="39" t="n"/>
    </row>
    <row r="126">
      <c r="C126" s="39" t="n"/>
    </row>
    <row r="127">
      <c r="C127" s="39" t="n"/>
    </row>
    <row r="128">
      <c r="C128" s="39" t="n"/>
    </row>
    <row r="129">
      <c r="C129" s="39" t="n"/>
    </row>
    <row r="130">
      <c r="C130" s="39" t="n"/>
    </row>
    <row r="131">
      <c r="C131" s="39" t="n"/>
    </row>
    <row r="132">
      <c r="C132" s="39" t="n"/>
    </row>
    <row r="133">
      <c r="C133" s="39" t="n"/>
    </row>
    <row r="134">
      <c r="C134" s="39" t="n"/>
    </row>
    <row r="135">
      <c r="C135" s="39" t="n"/>
    </row>
    <row r="136">
      <c r="C136" s="39" t="n"/>
    </row>
    <row r="137">
      <c r="C137" s="39" t="n"/>
    </row>
    <row r="138">
      <c r="C138" s="39" t="n"/>
    </row>
    <row r="139">
      <c r="C139" s="39" t="n"/>
    </row>
    <row r="140">
      <c r="C140" s="39" t="n"/>
    </row>
    <row r="141">
      <c r="C141" s="39" t="n"/>
    </row>
    <row r="142">
      <c r="C142" s="39" t="n"/>
    </row>
    <row r="143">
      <c r="C143" s="39" t="n"/>
    </row>
    <row r="144">
      <c r="C144" s="39" t="n"/>
    </row>
    <row r="145">
      <c r="C145" s="39" t="n"/>
    </row>
    <row r="146">
      <c r="C146" s="39" t="n"/>
    </row>
    <row r="147">
      <c r="C147" s="39" t="n"/>
    </row>
    <row r="148">
      <c r="C148" s="39" t="n"/>
    </row>
    <row r="149">
      <c r="C149" s="39" t="n"/>
    </row>
    <row r="150">
      <c r="C150" s="39" t="n"/>
    </row>
    <row r="151">
      <c r="C151" s="39" t="n"/>
    </row>
    <row r="152">
      <c r="C152" s="39" t="n"/>
    </row>
    <row r="153">
      <c r="C153" s="39" t="n"/>
    </row>
    <row r="154">
      <c r="C154" s="39" t="n"/>
    </row>
    <row r="155">
      <c r="C155" s="39" t="n"/>
    </row>
    <row r="156">
      <c r="C156" s="39" t="n"/>
    </row>
    <row r="157">
      <c r="C157" s="39" t="n"/>
    </row>
    <row r="158">
      <c r="C158" s="39" t="n"/>
    </row>
    <row r="159">
      <c r="C159" s="39" t="n"/>
    </row>
    <row r="160">
      <c r="C160" s="39" t="n"/>
    </row>
    <row r="161">
      <c r="C161" s="39" t="n"/>
    </row>
    <row r="162">
      <c r="C162" s="39" t="n"/>
    </row>
    <row r="163">
      <c r="C163" s="39" t="n"/>
    </row>
    <row r="164">
      <c r="C164" s="39" t="n"/>
    </row>
    <row r="165">
      <c r="C165" s="39" t="n"/>
    </row>
    <row r="166">
      <c r="C166" s="39" t="n"/>
    </row>
    <row r="167">
      <c r="C167" s="39" t="n"/>
    </row>
    <row r="168">
      <c r="C168" s="39" t="n"/>
    </row>
    <row r="169">
      <c r="C169" s="39" t="n"/>
    </row>
    <row r="170">
      <c r="C170" s="39" t="n"/>
    </row>
    <row r="171">
      <c r="C171" s="39" t="n"/>
    </row>
    <row r="172">
      <c r="C172" s="39" t="n"/>
    </row>
    <row r="173">
      <c r="C173" s="39" t="n"/>
    </row>
    <row r="174">
      <c r="C174" s="39" t="n"/>
    </row>
    <row r="175">
      <c r="C175" s="39" t="n"/>
    </row>
    <row r="176">
      <c r="C176" s="39" t="n"/>
    </row>
    <row r="177">
      <c r="C177" s="39" t="n"/>
    </row>
    <row r="178">
      <c r="C178" s="39" t="n"/>
    </row>
    <row r="179">
      <c r="C179" s="39" t="n"/>
    </row>
    <row r="180">
      <c r="C180" s="39" t="n"/>
    </row>
    <row r="181">
      <c r="C181" s="39" t="n"/>
    </row>
    <row r="182">
      <c r="C182" s="39" t="n"/>
    </row>
    <row r="183">
      <c r="C183" s="39" t="n"/>
    </row>
    <row r="184">
      <c r="C184" s="39" t="n"/>
    </row>
    <row r="185">
      <c r="C185" s="39" t="n"/>
    </row>
    <row r="186">
      <c r="C186" s="39" t="n"/>
    </row>
    <row r="187">
      <c r="C187" s="39" t="n"/>
    </row>
    <row r="188">
      <c r="C188" s="39" t="n"/>
    </row>
    <row r="189">
      <c r="C189" s="39" t="n"/>
    </row>
    <row r="190">
      <c r="C190" s="39" t="n"/>
    </row>
    <row r="191">
      <c r="C191" s="39" t="n"/>
    </row>
    <row r="192">
      <c r="C192" s="39" t="n"/>
    </row>
    <row r="193">
      <c r="C193" s="39" t="n"/>
    </row>
    <row r="194">
      <c r="C194" s="39" t="n"/>
    </row>
    <row r="195">
      <c r="C195" s="39" t="n"/>
    </row>
    <row r="196">
      <c r="C196" s="39" t="n"/>
    </row>
    <row r="197">
      <c r="C197" s="39" t="n"/>
    </row>
    <row r="198">
      <c r="C198" s="39" t="n"/>
    </row>
    <row r="199">
      <c r="C199" s="39" t="n"/>
    </row>
    <row r="200">
      <c r="C200" s="39" t="n"/>
    </row>
    <row r="201">
      <c r="C201" s="39" t="n"/>
    </row>
    <row r="202">
      <c r="C202" s="39" t="n"/>
    </row>
    <row r="203">
      <c r="C203" s="39" t="n"/>
    </row>
    <row r="204">
      <c r="C204" s="39" t="n"/>
    </row>
    <row r="205">
      <c r="C205" s="39" t="n"/>
    </row>
    <row r="206">
      <c r="C206" s="39" t="n"/>
    </row>
    <row r="207">
      <c r="C207" s="39" t="n"/>
    </row>
    <row r="208">
      <c r="C208" s="39" t="n"/>
    </row>
    <row r="209">
      <c r="C209" s="39" t="n"/>
    </row>
    <row r="210">
      <c r="C210" s="39" t="n"/>
    </row>
    <row r="211">
      <c r="C211" s="39" t="n"/>
    </row>
    <row r="212">
      <c r="C212" s="39" t="n"/>
    </row>
    <row r="213">
      <c r="C213" s="39" t="n"/>
    </row>
    <row r="214">
      <c r="C214" s="39" t="n"/>
    </row>
    <row r="215">
      <c r="C215" s="39" t="n"/>
    </row>
    <row r="216">
      <c r="C216" s="39" t="n"/>
    </row>
    <row r="217">
      <c r="C217" s="39" t="n"/>
    </row>
    <row r="218">
      <c r="C218" s="39" t="n"/>
    </row>
    <row r="219">
      <c r="C219" s="39" t="n"/>
    </row>
    <row r="220">
      <c r="C220" s="39" t="n"/>
    </row>
    <row r="221">
      <c r="C221" s="39" t="n"/>
    </row>
    <row r="222">
      <c r="C222" s="39" t="n"/>
    </row>
    <row r="223">
      <c r="C223" s="39" t="n"/>
    </row>
    <row r="224">
      <c r="C224" s="39" t="n"/>
    </row>
    <row r="225">
      <c r="C225" s="39" t="n"/>
    </row>
    <row r="226">
      <c r="C226" s="39" t="n"/>
    </row>
    <row r="227">
      <c r="C227" s="39" t="n"/>
    </row>
    <row r="228">
      <c r="C228" s="39" t="n"/>
    </row>
    <row r="229">
      <c r="C229" s="39" t="n"/>
    </row>
    <row r="230">
      <c r="C230" s="39" t="n"/>
    </row>
    <row r="231">
      <c r="C231" s="39" t="n"/>
    </row>
    <row r="232">
      <c r="C232" s="39" t="n"/>
    </row>
    <row r="233">
      <c r="C233" s="39" t="n"/>
    </row>
    <row r="234">
      <c r="C234" s="39" t="n"/>
    </row>
    <row r="235">
      <c r="C235" s="39" t="n"/>
    </row>
    <row r="236">
      <c r="C236" s="39" t="n"/>
    </row>
    <row r="237">
      <c r="C237" s="39" t="n"/>
    </row>
    <row r="238">
      <c r="C238" s="39" t="n"/>
    </row>
    <row r="239">
      <c r="C239" s="39" t="n"/>
    </row>
    <row r="240">
      <c r="C240" s="39" t="n"/>
    </row>
    <row r="241">
      <c r="C241" s="39" t="n"/>
    </row>
    <row r="242">
      <c r="C242" s="39" t="n"/>
    </row>
    <row r="243">
      <c r="C243" s="39" t="n"/>
    </row>
    <row r="244">
      <c r="C244" s="39" t="n"/>
    </row>
    <row r="245">
      <c r="C245" s="39" t="n"/>
    </row>
    <row r="246">
      <c r="C246" s="39" t="n"/>
    </row>
    <row r="247">
      <c r="C247" s="39" t="n"/>
    </row>
    <row r="248">
      <c r="C248" s="39" t="n"/>
    </row>
    <row r="249">
      <c r="C249" s="39" t="n"/>
    </row>
    <row r="250">
      <c r="C250" s="39" t="n"/>
    </row>
    <row r="251">
      <c r="C251" s="39" t="n"/>
    </row>
    <row r="252">
      <c r="C252" s="39" t="n"/>
    </row>
    <row r="253">
      <c r="C253" s="39" t="n"/>
    </row>
    <row r="254">
      <c r="C254" s="39" t="n"/>
    </row>
    <row r="255">
      <c r="C255" s="39" t="n"/>
    </row>
    <row r="256">
      <c r="C256" s="39" t="n"/>
    </row>
    <row r="257">
      <c r="C257" s="39" t="n"/>
    </row>
    <row r="258">
      <c r="C258" s="39" t="n"/>
    </row>
    <row r="259">
      <c r="C259" s="39" t="n"/>
    </row>
    <row r="260">
      <c r="C260" s="39" t="n"/>
    </row>
    <row r="261">
      <c r="C261" s="39" t="n"/>
    </row>
    <row r="262">
      <c r="C262" s="39" t="n"/>
    </row>
    <row r="263">
      <c r="C263" s="39" t="n"/>
    </row>
    <row r="264">
      <c r="C264" s="39" t="n"/>
    </row>
    <row r="265">
      <c r="C265" s="39" t="n"/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B1:O267"/>
  <sheetViews>
    <sheetView showGridLines="0" topLeftCell="A58" zoomScale="70" zoomScaleNormal="70" workbookViewId="0">
      <selection activeCell="P72" sqref="P72"/>
    </sheetView>
  </sheetViews>
  <sheetFormatPr baseColWidth="8" defaultRowHeight="16.5" outlineLevelCol="0"/>
  <cols>
    <col width="1.59765625" customWidth="1" style="47" min="1" max="1"/>
    <col width="15.09765625" bestFit="1" customWidth="1" style="47" min="2" max="2"/>
    <col width="9.69921875" bestFit="1" customWidth="1" style="3" min="3" max="3"/>
    <col width="9.09765625" bestFit="1" customWidth="1" style="47" min="4" max="5"/>
    <col width="8.5" bestFit="1" customWidth="1" style="47" min="6" max="6"/>
    <col width="19" bestFit="1" customWidth="1" style="47" min="7" max="7"/>
    <col width="7.09765625" bestFit="1" customWidth="1" style="47" min="8" max="8"/>
    <col width="8" customWidth="1" style="47" min="9" max="9"/>
    <col width="18.09765625" bestFit="1" customWidth="1" style="47" min="10" max="10"/>
    <col width="9.69921875" bestFit="1" customWidth="1" style="47" min="11" max="11"/>
    <col width="15.69921875" bestFit="1" customWidth="1" style="47" min="12" max="14"/>
    <col width="19" bestFit="1" customWidth="1" style="47" min="15" max="15"/>
    <col width="14" bestFit="1" customWidth="1" style="47" min="16" max="16"/>
    <col width="13.59765625" bestFit="1" customWidth="1" style="47" min="17" max="17"/>
    <col width="36.09765625" bestFit="1" customWidth="1" style="47" min="18" max="31"/>
    <col width="33.09765625" bestFit="1" customWidth="1" style="47" min="32" max="32"/>
    <col width="31.09765625" bestFit="1" customWidth="1" style="47" min="33" max="33"/>
    <col width="20.09765625" bestFit="1" customWidth="1" style="47" min="34" max="34"/>
    <col width="18" bestFit="1" customWidth="1" style="47" min="35" max="35"/>
    <col width="30.59765625" bestFit="1" customWidth="1" style="47" min="36" max="37"/>
    <col width="24.09765625" bestFit="1" customWidth="1" style="47" min="38" max="38"/>
    <col width="22.09765625" bestFit="1" customWidth="1" style="47" min="39" max="39"/>
    <col width="36.09765625" bestFit="1" customWidth="1" style="47" min="40" max="63"/>
    <col width="33.09765625" bestFit="1" customWidth="1" style="47" min="64" max="64"/>
    <col width="31.09765625" bestFit="1" customWidth="1" style="47" min="65" max="65"/>
    <col width="20.09765625" bestFit="1" customWidth="1" style="47" min="66" max="66"/>
    <col width="18" bestFit="1" customWidth="1" style="47" min="67" max="67"/>
    <col width="11.09765625" bestFit="1" customWidth="1" style="47" min="68" max="68"/>
    <col width="15.09765625" bestFit="1" customWidth="1" style="47" min="69" max="69"/>
    <col width="11.09765625" bestFit="1" customWidth="1" style="47" min="70" max="70"/>
    <col width="24.09765625" bestFit="1" customWidth="1" style="47" min="71" max="71"/>
    <col width="20.09765625" bestFit="1" customWidth="1" style="47" min="72" max="72"/>
    <col width="15.09765625" bestFit="1" customWidth="1" style="47" min="73" max="73"/>
    <col width="11.09765625" bestFit="1" customWidth="1" style="47" min="74" max="74"/>
    <col width="15.09765625" bestFit="1" customWidth="1" style="47" min="75" max="75"/>
    <col width="11.09765625" bestFit="1" customWidth="1" style="47" min="76" max="76"/>
    <col width="15.09765625" bestFit="1" customWidth="1" style="47" min="77" max="77"/>
    <col width="11.09765625" bestFit="1" customWidth="1" style="47" min="78" max="78"/>
    <col width="15.09765625" bestFit="1" customWidth="1" style="47" min="79" max="79"/>
    <col width="11.09765625" bestFit="1" customWidth="1" style="47" min="80" max="80"/>
    <col width="15.09765625" bestFit="1" customWidth="1" style="47" min="81" max="81"/>
    <col width="11.09765625" bestFit="1" customWidth="1" style="47" min="82" max="82"/>
    <col width="15.09765625" bestFit="1" customWidth="1" style="47" min="83" max="83"/>
    <col width="11.09765625" bestFit="1" customWidth="1" style="47" min="84" max="84"/>
    <col width="15.09765625" bestFit="1" customWidth="1" style="47" min="85" max="85"/>
    <col width="11.09765625" bestFit="1" customWidth="1" style="47" min="86" max="86"/>
    <col width="15.09765625" bestFit="1" customWidth="1" style="47" min="87" max="87"/>
    <col width="11.09765625" bestFit="1" customWidth="1" style="47" min="88" max="88"/>
    <col width="28.09765625" bestFit="1" customWidth="1" style="47" min="89" max="89"/>
    <col width="24.09765625" bestFit="1" customWidth="1" style="47" min="90" max="90"/>
    <col width="15.09765625" bestFit="1" customWidth="1" style="47" min="91" max="91"/>
    <col width="11.09765625" bestFit="1" customWidth="1" style="47" min="92" max="92"/>
    <col width="26.09765625" bestFit="1" customWidth="1" style="47" min="93" max="93"/>
    <col width="22.09765625" bestFit="1" customWidth="1" style="47" min="94" max="94"/>
    <col width="20.09765625" bestFit="1" customWidth="1" style="47" min="95" max="95"/>
    <col width="15.59765625" bestFit="1" customWidth="1" style="47" min="96" max="96"/>
  </cols>
  <sheetData>
    <row r="1">
      <c r="B1" s="1" t="inlineStr">
        <is>
          <t>채널</t>
        </is>
      </c>
      <c r="C1" s="39" t="inlineStr">
        <is>
          <t>카페24</t>
        </is>
      </c>
      <c r="J1" s="1" t="inlineStr">
        <is>
          <t>채널</t>
        </is>
      </c>
      <c r="K1" s="39" t="inlineStr">
        <is>
          <t>카페24</t>
        </is>
      </c>
    </row>
    <row r="2">
      <c r="C2" s="39" t="n"/>
    </row>
    <row r="3">
      <c r="B3" s="1" t="inlineStr">
        <is>
          <t>합계 : 판매수량</t>
        </is>
      </c>
      <c r="C3" s="39" t="n"/>
      <c r="D3" s="1" t="inlineStr">
        <is>
          <t>상품1</t>
        </is>
      </c>
      <c r="J3" s="1" t="inlineStr">
        <is>
          <t>합계 : 판매액</t>
        </is>
      </c>
      <c r="L3" s="1" t="inlineStr">
        <is>
          <t>상품1</t>
        </is>
      </c>
    </row>
    <row r="4">
      <c r="B4" s="1" t="inlineStr">
        <is>
          <t>일자</t>
        </is>
      </c>
      <c r="C4" s="1" t="inlineStr">
        <is>
          <t>요일</t>
        </is>
      </c>
      <c r="D4" s="39" t="inlineStr">
        <is>
          <t>고체향수</t>
        </is>
      </c>
      <c r="E4" s="39" t="inlineStr">
        <is>
          <t>쇼핑백</t>
        </is>
      </c>
      <c r="F4" s="39" t="inlineStr">
        <is>
          <t>총합계</t>
        </is>
      </c>
      <c r="J4" s="1" t="inlineStr">
        <is>
          <t>일자</t>
        </is>
      </c>
      <c r="K4" s="1" t="inlineStr">
        <is>
          <t>요일</t>
        </is>
      </c>
      <c r="L4" s="39" t="inlineStr">
        <is>
          <t>고체향수</t>
        </is>
      </c>
      <c r="M4" s="39" t="inlineStr">
        <is>
          <t>쇼핑백</t>
        </is>
      </c>
      <c r="N4" s="39" t="inlineStr">
        <is>
          <t>총합계</t>
        </is>
      </c>
    </row>
    <row r="5">
      <c r="B5" s="9" t="n">
        <v>43973</v>
      </c>
      <c r="C5" s="39" t="inlineStr">
        <is>
          <t>금</t>
        </is>
      </c>
      <c r="D5" s="48" t="n">
        <v>2</v>
      </c>
      <c r="E5" s="48" t="n"/>
      <c r="F5" s="48" t="n">
        <v>2</v>
      </c>
      <c r="J5" s="9" t="n">
        <v>43973</v>
      </c>
      <c r="K5" s="39" t="inlineStr">
        <is>
          <t>금</t>
        </is>
      </c>
      <c r="L5" s="48" t="n">
        <v>76000</v>
      </c>
      <c r="M5" s="48" t="n"/>
      <c r="N5" s="48" t="n">
        <v>76000</v>
      </c>
    </row>
    <row r="6">
      <c r="B6" s="9" t="n">
        <v>43974</v>
      </c>
      <c r="C6" s="39" t="inlineStr">
        <is>
          <t>토</t>
        </is>
      </c>
      <c r="D6" s="48" t="n">
        <v>1</v>
      </c>
      <c r="E6" s="48" t="n"/>
      <c r="F6" s="48" t="n">
        <v>1</v>
      </c>
      <c r="J6" s="9" t="n">
        <v>43974</v>
      </c>
      <c r="K6" s="39" t="inlineStr">
        <is>
          <t>토</t>
        </is>
      </c>
      <c r="L6" s="48" t="n">
        <v>38000</v>
      </c>
      <c r="M6" s="48" t="n"/>
      <c r="N6" s="48" t="n">
        <v>38000</v>
      </c>
    </row>
    <row r="7">
      <c r="B7" s="9" t="n">
        <v>43977</v>
      </c>
      <c r="C7" s="39" t="inlineStr">
        <is>
          <t>화</t>
        </is>
      </c>
      <c r="D7" s="48" t="n">
        <v>6</v>
      </c>
      <c r="E7" s="48" t="n"/>
      <c r="F7" s="48" t="n">
        <v>6</v>
      </c>
      <c r="J7" s="9" t="n">
        <v>43977</v>
      </c>
      <c r="K7" s="39" t="inlineStr">
        <is>
          <t>화</t>
        </is>
      </c>
      <c r="L7" s="48" t="n">
        <v>259000</v>
      </c>
      <c r="M7" s="48" t="n"/>
      <c r="N7" s="48" t="n">
        <v>259000</v>
      </c>
    </row>
    <row r="8">
      <c r="B8" s="9" t="n">
        <v>43978</v>
      </c>
      <c r="C8" s="39" t="inlineStr">
        <is>
          <t>수</t>
        </is>
      </c>
      <c r="D8" s="48" t="n">
        <v>11</v>
      </c>
      <c r="E8" s="48" t="n"/>
      <c r="F8" s="48" t="n">
        <v>11</v>
      </c>
      <c r="J8" s="9" t="n">
        <v>43978</v>
      </c>
      <c r="K8" s="39" t="inlineStr">
        <is>
          <t>수</t>
        </is>
      </c>
      <c r="L8" s="48" t="n">
        <v>480000</v>
      </c>
      <c r="M8" s="48" t="n"/>
      <c r="N8" s="48" t="n">
        <v>480000</v>
      </c>
    </row>
    <row r="9">
      <c r="B9" s="9" t="n">
        <v>43979</v>
      </c>
      <c r="C9" s="39" t="inlineStr">
        <is>
          <t>목</t>
        </is>
      </c>
      <c r="D9" s="48" t="n">
        <v>6</v>
      </c>
      <c r="E9" s="48" t="n"/>
      <c r="F9" s="48" t="n">
        <v>6</v>
      </c>
      <c r="J9" s="9" t="n">
        <v>43979</v>
      </c>
      <c r="K9" s="39" t="inlineStr">
        <is>
          <t>목</t>
        </is>
      </c>
      <c r="L9" s="48" t="n">
        <v>228000</v>
      </c>
      <c r="M9" s="48" t="n"/>
      <c r="N9" s="48" t="n">
        <v>228000</v>
      </c>
    </row>
    <row r="10">
      <c r="B10" s="9" t="n">
        <v>43980</v>
      </c>
      <c r="C10" s="39" t="inlineStr">
        <is>
          <t>금</t>
        </is>
      </c>
      <c r="D10" s="48" t="n">
        <v>2</v>
      </c>
      <c r="E10" s="48" t="n"/>
      <c r="F10" s="48" t="n">
        <v>2</v>
      </c>
      <c r="J10" s="9" t="n">
        <v>43980</v>
      </c>
      <c r="K10" s="39" t="inlineStr">
        <is>
          <t>금</t>
        </is>
      </c>
      <c r="L10" s="48" t="n">
        <v>107000</v>
      </c>
      <c r="M10" s="48" t="n"/>
      <c r="N10" s="48" t="n">
        <v>107000</v>
      </c>
    </row>
    <row r="11">
      <c r="B11" s="9" t="n">
        <v>43981</v>
      </c>
      <c r="C11" s="39" t="inlineStr">
        <is>
          <t>토</t>
        </is>
      </c>
      <c r="D11" s="48" t="n">
        <v>5</v>
      </c>
      <c r="E11" s="48" t="n"/>
      <c r="F11" s="48" t="n">
        <v>5</v>
      </c>
      <c r="J11" s="9" t="n">
        <v>43981</v>
      </c>
      <c r="K11" s="39" t="inlineStr">
        <is>
          <t>토</t>
        </is>
      </c>
      <c r="L11" s="48" t="n">
        <v>190000</v>
      </c>
      <c r="M11" s="48" t="n"/>
      <c r="N11" s="48" t="n">
        <v>190000</v>
      </c>
    </row>
    <row r="12">
      <c r="B12" s="9" t="n">
        <v>43982</v>
      </c>
      <c r="C12" s="39" t="inlineStr">
        <is>
          <t>일</t>
        </is>
      </c>
      <c r="D12" s="48" t="n">
        <v>4</v>
      </c>
      <c r="E12" s="48" t="n"/>
      <c r="F12" s="48" t="n">
        <v>4</v>
      </c>
      <c r="J12" s="9" t="n">
        <v>43982</v>
      </c>
      <c r="K12" s="39" t="inlineStr">
        <is>
          <t>일</t>
        </is>
      </c>
      <c r="L12" s="48" t="n">
        <v>183000</v>
      </c>
      <c r="M12" s="48" t="n"/>
      <c r="N12" s="48" t="n">
        <v>183000</v>
      </c>
    </row>
    <row r="13">
      <c r="B13" s="9" t="n">
        <v>43983</v>
      </c>
      <c r="C13" s="39" t="inlineStr">
        <is>
          <t>월</t>
        </is>
      </c>
      <c r="D13" s="48" t="n">
        <v>2</v>
      </c>
      <c r="E13" s="48" t="n"/>
      <c r="F13" s="48" t="n">
        <v>2</v>
      </c>
      <c r="J13" s="9" t="n">
        <v>43983</v>
      </c>
      <c r="K13" s="39" t="inlineStr">
        <is>
          <t>월</t>
        </is>
      </c>
      <c r="L13" s="48" t="n">
        <v>76000</v>
      </c>
      <c r="M13" s="48" t="n"/>
      <c r="N13" s="48" t="n">
        <v>76000</v>
      </c>
    </row>
    <row r="14">
      <c r="B14" s="9" t="n">
        <v>43984</v>
      </c>
      <c r="C14" s="39" t="inlineStr">
        <is>
          <t>화</t>
        </is>
      </c>
      <c r="D14" s="48" t="n">
        <v>3</v>
      </c>
      <c r="E14" s="48" t="n">
        <v>1</v>
      </c>
      <c r="F14" s="48" t="n">
        <v>4</v>
      </c>
      <c r="J14" s="9" t="n">
        <v>43984</v>
      </c>
      <c r="K14" s="39" t="inlineStr">
        <is>
          <t>화</t>
        </is>
      </c>
      <c r="L14" s="48" t="n">
        <v>145000</v>
      </c>
      <c r="M14" s="48" t="n">
        <v>2000</v>
      </c>
      <c r="N14" s="48" t="n">
        <v>147000</v>
      </c>
    </row>
    <row r="15">
      <c r="B15" s="9" t="n">
        <v>43985</v>
      </c>
      <c r="C15" s="39" t="inlineStr">
        <is>
          <t>수</t>
        </is>
      </c>
      <c r="D15" s="48" t="n">
        <v>3</v>
      </c>
      <c r="E15" s="48" t="n"/>
      <c r="F15" s="48" t="n">
        <v>3</v>
      </c>
      <c r="J15" s="9" t="n">
        <v>43985</v>
      </c>
      <c r="K15" s="39" t="inlineStr">
        <is>
          <t>수</t>
        </is>
      </c>
      <c r="L15" s="48" t="n">
        <v>114000</v>
      </c>
      <c r="M15" s="48" t="n"/>
      <c r="N15" s="48" t="n">
        <v>114000</v>
      </c>
    </row>
    <row r="16">
      <c r="B16" s="9" t="n">
        <v>43986</v>
      </c>
      <c r="C16" s="39" t="inlineStr">
        <is>
          <t>목</t>
        </is>
      </c>
      <c r="D16" s="48" t="n">
        <v>26</v>
      </c>
      <c r="E16" s="48" t="n"/>
      <c r="F16" s="48" t="n">
        <v>26</v>
      </c>
      <c r="J16" s="9" t="n">
        <v>43986</v>
      </c>
      <c r="K16" s="39" t="inlineStr">
        <is>
          <t>목</t>
        </is>
      </c>
      <c r="L16" s="48" t="n">
        <v>1019000</v>
      </c>
      <c r="M16" s="48" t="n"/>
      <c r="N16" s="48" t="n">
        <v>1019000</v>
      </c>
    </row>
    <row r="17">
      <c r="B17" s="9" t="n">
        <v>43987</v>
      </c>
      <c r="C17" s="39" t="inlineStr">
        <is>
          <t>금</t>
        </is>
      </c>
      <c r="D17" s="48" t="n">
        <v>12</v>
      </c>
      <c r="E17" s="48" t="n"/>
      <c r="F17" s="48" t="n">
        <v>12</v>
      </c>
      <c r="J17" s="9" t="n">
        <v>43987</v>
      </c>
      <c r="K17" s="39" t="inlineStr">
        <is>
          <t>금</t>
        </is>
      </c>
      <c r="L17" s="48" t="n">
        <v>456000</v>
      </c>
      <c r="M17" s="48" t="n"/>
      <c r="N17" s="48" t="n">
        <v>456000</v>
      </c>
    </row>
    <row r="18">
      <c r="B18" s="9" t="n">
        <v>43988</v>
      </c>
      <c r="C18" s="39" t="inlineStr">
        <is>
          <t>토</t>
        </is>
      </c>
      <c r="D18" s="48" t="n">
        <v>10</v>
      </c>
      <c r="E18" s="48" t="n"/>
      <c r="F18" s="48" t="n">
        <v>10</v>
      </c>
      <c r="J18" s="9" t="n">
        <v>43988</v>
      </c>
      <c r="K18" s="39" t="inlineStr">
        <is>
          <t>토</t>
        </is>
      </c>
      <c r="L18" s="48" t="n">
        <v>411000</v>
      </c>
      <c r="M18" s="48" t="n"/>
      <c r="N18" s="48" t="n">
        <v>411000</v>
      </c>
    </row>
    <row r="19">
      <c r="B19" s="9" t="n">
        <v>43989</v>
      </c>
      <c r="C19" s="39" t="inlineStr">
        <is>
          <t>일</t>
        </is>
      </c>
      <c r="D19" s="48" t="n">
        <v>13</v>
      </c>
      <c r="E19" s="48" t="n"/>
      <c r="F19" s="48" t="n">
        <v>13</v>
      </c>
      <c r="J19" s="9" t="n">
        <v>43989</v>
      </c>
      <c r="K19" s="39" t="inlineStr">
        <is>
          <t>일</t>
        </is>
      </c>
      <c r="L19" s="48" t="n">
        <v>494000</v>
      </c>
      <c r="M19" s="48" t="n"/>
      <c r="N19" s="48" t="n">
        <v>494000</v>
      </c>
    </row>
    <row r="20">
      <c r="B20" s="9" t="n">
        <v>43990</v>
      </c>
      <c r="C20" s="39" t="inlineStr">
        <is>
          <t>월</t>
        </is>
      </c>
      <c r="D20" s="48" t="n">
        <v>23</v>
      </c>
      <c r="E20" s="48" t="n"/>
      <c r="F20" s="48" t="n">
        <v>23</v>
      </c>
      <c r="J20" s="9" t="n">
        <v>43990</v>
      </c>
      <c r="K20" s="39" t="inlineStr">
        <is>
          <t>월</t>
        </is>
      </c>
      <c r="L20" s="48" t="n">
        <v>874000</v>
      </c>
      <c r="M20" s="48" t="n"/>
      <c r="N20" s="48" t="n">
        <v>874000</v>
      </c>
    </row>
    <row r="21">
      <c r="B21" s="9" t="n">
        <v>43991</v>
      </c>
      <c r="C21" s="39" t="inlineStr">
        <is>
          <t>화</t>
        </is>
      </c>
      <c r="D21" s="48" t="n">
        <v>21</v>
      </c>
      <c r="E21" s="48" t="n"/>
      <c r="F21" s="48" t="n">
        <v>21</v>
      </c>
      <c r="J21" s="9" t="n">
        <v>43991</v>
      </c>
      <c r="K21" s="39" t="inlineStr">
        <is>
          <t>화</t>
        </is>
      </c>
      <c r="L21" s="48" t="n">
        <v>798000</v>
      </c>
      <c r="M21" s="48" t="n"/>
      <c r="N21" s="48" t="n">
        <v>798000</v>
      </c>
    </row>
    <row r="22">
      <c r="B22" s="9" t="n">
        <v>43992</v>
      </c>
      <c r="C22" s="39" t="inlineStr">
        <is>
          <t>수</t>
        </is>
      </c>
      <c r="D22" s="48" t="n">
        <v>31</v>
      </c>
      <c r="E22" s="48" t="n"/>
      <c r="F22" s="48" t="n">
        <v>31</v>
      </c>
      <c r="J22" s="9" t="n">
        <v>43992</v>
      </c>
      <c r="K22" s="39" t="inlineStr">
        <is>
          <t>수</t>
        </is>
      </c>
      <c r="L22" s="48" t="n">
        <v>960000</v>
      </c>
      <c r="M22" s="48" t="n"/>
      <c r="N22" s="48" t="n">
        <v>960000</v>
      </c>
    </row>
    <row r="23">
      <c r="B23" s="9" t="n">
        <v>43993</v>
      </c>
      <c r="C23" s="39" t="inlineStr">
        <is>
          <t>목</t>
        </is>
      </c>
      <c r="D23" s="48" t="n">
        <v>20</v>
      </c>
      <c r="E23" s="48" t="n"/>
      <c r="F23" s="48" t="n">
        <v>20</v>
      </c>
      <c r="J23" s="9" t="n">
        <v>43993</v>
      </c>
      <c r="K23" s="39" t="inlineStr">
        <is>
          <t>목</t>
        </is>
      </c>
      <c r="L23" s="48" t="n">
        <v>597200</v>
      </c>
      <c r="M23" s="48" t="n"/>
      <c r="N23" s="48" t="n">
        <v>597200</v>
      </c>
    </row>
    <row r="24">
      <c r="B24" s="9" t="n">
        <v>43994</v>
      </c>
      <c r="C24" s="39" t="inlineStr">
        <is>
          <t>금</t>
        </is>
      </c>
      <c r="D24" s="48" t="n">
        <v>17</v>
      </c>
      <c r="E24" s="48" t="n"/>
      <c r="F24" s="48" t="n">
        <v>17</v>
      </c>
      <c r="J24" s="9" t="n">
        <v>43994</v>
      </c>
      <c r="K24" s="39" t="inlineStr">
        <is>
          <t>금</t>
        </is>
      </c>
      <c r="L24" s="48" t="n">
        <v>489600</v>
      </c>
      <c r="M24" s="48" t="n"/>
      <c r="N24" s="48" t="n">
        <v>489600</v>
      </c>
    </row>
    <row r="25">
      <c r="B25" s="9" t="n">
        <v>43995</v>
      </c>
      <c r="C25" s="39" t="inlineStr">
        <is>
          <t>토</t>
        </is>
      </c>
      <c r="D25" s="48" t="n">
        <v>37</v>
      </c>
      <c r="E25" s="48" t="n"/>
      <c r="F25" s="48" t="n">
        <v>37</v>
      </c>
      <c r="J25" s="9" t="n">
        <v>43995</v>
      </c>
      <c r="K25" s="39" t="inlineStr">
        <is>
          <t>토</t>
        </is>
      </c>
      <c r="L25" s="48" t="n">
        <v>1086800</v>
      </c>
      <c r="M25" s="48" t="n"/>
      <c r="N25" s="48" t="n">
        <v>1086800</v>
      </c>
    </row>
    <row r="26">
      <c r="B26" s="9" t="n">
        <v>43996</v>
      </c>
      <c r="C26" s="39" t="inlineStr">
        <is>
          <t>일</t>
        </is>
      </c>
      <c r="D26" s="48" t="n">
        <v>26</v>
      </c>
      <c r="E26" s="48" t="n"/>
      <c r="F26" s="48" t="n">
        <v>26</v>
      </c>
      <c r="J26" s="9" t="n">
        <v>43996</v>
      </c>
      <c r="K26" s="39" t="inlineStr">
        <is>
          <t>일</t>
        </is>
      </c>
      <c r="L26" s="48" t="n">
        <v>770000</v>
      </c>
      <c r="M26" s="48" t="n"/>
      <c r="N26" s="48" t="n">
        <v>770000</v>
      </c>
    </row>
    <row r="27">
      <c r="B27" s="9" t="n">
        <v>43997</v>
      </c>
      <c r="C27" s="39" t="inlineStr">
        <is>
          <t>월</t>
        </is>
      </c>
      <c r="D27" s="48" t="n">
        <v>25</v>
      </c>
      <c r="E27" s="48" t="n"/>
      <c r="F27" s="48" t="n">
        <v>25</v>
      </c>
      <c r="J27" s="9" t="n">
        <v>43997</v>
      </c>
      <c r="K27" s="39" t="inlineStr">
        <is>
          <t>월</t>
        </is>
      </c>
      <c r="L27" s="48" t="n">
        <v>741200</v>
      </c>
      <c r="M27" s="48" t="n"/>
      <c r="N27" s="48" t="n">
        <v>741200</v>
      </c>
    </row>
    <row r="28">
      <c r="B28" s="9" t="n">
        <v>43998</v>
      </c>
      <c r="C28" s="39" t="inlineStr">
        <is>
          <t>화</t>
        </is>
      </c>
      <c r="D28" s="48" t="n">
        <v>24</v>
      </c>
      <c r="E28" s="48" t="n"/>
      <c r="F28" s="48" t="n">
        <v>24</v>
      </c>
      <c r="J28" s="9" t="n">
        <v>43998</v>
      </c>
      <c r="K28" s="39" t="inlineStr">
        <is>
          <t>화</t>
        </is>
      </c>
      <c r="L28" s="48" t="n">
        <v>712400</v>
      </c>
      <c r="M28" s="48" t="n"/>
      <c r="N28" s="48" t="n">
        <v>712400</v>
      </c>
    </row>
    <row r="29">
      <c r="B29" s="9" t="n">
        <v>43999</v>
      </c>
      <c r="C29" s="39" t="inlineStr">
        <is>
          <t>수</t>
        </is>
      </c>
      <c r="D29" s="48" t="n">
        <v>30</v>
      </c>
      <c r="E29" s="48" t="n"/>
      <c r="F29" s="48" t="n">
        <v>30</v>
      </c>
      <c r="J29" s="9" t="n">
        <v>43999</v>
      </c>
      <c r="K29" s="39" t="inlineStr">
        <is>
          <t>수</t>
        </is>
      </c>
      <c r="L29" s="48" t="n">
        <v>927600</v>
      </c>
      <c r="M29" s="48" t="n"/>
      <c r="N29" s="48" t="n">
        <v>927600</v>
      </c>
    </row>
    <row r="30">
      <c r="B30" s="9" t="n">
        <v>44000</v>
      </c>
      <c r="C30" s="39" t="inlineStr">
        <is>
          <t>목</t>
        </is>
      </c>
      <c r="D30" s="48" t="n">
        <v>62</v>
      </c>
      <c r="E30" s="48" t="n"/>
      <c r="F30" s="48" t="n">
        <v>62</v>
      </c>
      <c r="J30" s="9" t="n">
        <v>44000</v>
      </c>
      <c r="K30" s="39" t="inlineStr">
        <is>
          <t>목</t>
        </is>
      </c>
      <c r="L30" s="48" t="n">
        <v>1785600</v>
      </c>
      <c r="M30" s="48" t="n"/>
      <c r="N30" s="48" t="n">
        <v>1785600</v>
      </c>
    </row>
    <row r="31">
      <c r="B31" s="9" t="n">
        <v>44001</v>
      </c>
      <c r="C31" s="39" t="inlineStr">
        <is>
          <t>금</t>
        </is>
      </c>
      <c r="D31" s="48" t="n">
        <v>65</v>
      </c>
      <c r="E31" s="48" t="n"/>
      <c r="F31" s="48" t="n">
        <v>65</v>
      </c>
      <c r="J31" s="9" t="n">
        <v>44001</v>
      </c>
      <c r="K31" s="39" t="inlineStr">
        <is>
          <t>금</t>
        </is>
      </c>
      <c r="L31" s="48" t="n">
        <v>1893200</v>
      </c>
      <c r="M31" s="48" t="n"/>
      <c r="N31" s="48" t="n">
        <v>1893200</v>
      </c>
    </row>
    <row r="32">
      <c r="B32" s="9" t="n">
        <v>44002</v>
      </c>
      <c r="C32" s="39" t="inlineStr">
        <is>
          <t>토</t>
        </is>
      </c>
      <c r="D32" s="48" t="n">
        <v>92</v>
      </c>
      <c r="E32" s="48" t="n"/>
      <c r="F32" s="48" t="n">
        <v>92</v>
      </c>
      <c r="J32" s="9" t="n">
        <v>44002</v>
      </c>
      <c r="K32" s="39" t="inlineStr">
        <is>
          <t>토</t>
        </is>
      </c>
      <c r="L32" s="48" t="n">
        <v>2840400</v>
      </c>
      <c r="M32" s="48" t="n"/>
      <c r="N32" s="48" t="n">
        <v>2840400</v>
      </c>
    </row>
    <row r="33">
      <c r="B33" s="9" t="n">
        <v>44003</v>
      </c>
      <c r="C33" s="39" t="inlineStr">
        <is>
          <t>일</t>
        </is>
      </c>
      <c r="D33" s="48" t="n">
        <v>95</v>
      </c>
      <c r="E33" s="48" t="n">
        <v>2</v>
      </c>
      <c r="F33" s="48" t="n">
        <v>97</v>
      </c>
      <c r="J33" s="9" t="n">
        <v>44003</v>
      </c>
      <c r="K33" s="39" t="inlineStr">
        <is>
          <t>일</t>
        </is>
      </c>
      <c r="L33" s="48" t="n">
        <v>3355800</v>
      </c>
      <c r="M33" s="48" t="n">
        <v>4000</v>
      </c>
      <c r="N33" s="48" t="n">
        <v>3359800</v>
      </c>
    </row>
    <row r="34">
      <c r="B34" s="9" t="n">
        <v>44004</v>
      </c>
      <c r="C34" s="39" t="inlineStr">
        <is>
          <t>월</t>
        </is>
      </c>
      <c r="D34" s="48" t="n">
        <v>76</v>
      </c>
      <c r="E34" s="48" t="n"/>
      <c r="F34" s="48" t="n">
        <v>76</v>
      </c>
      <c r="J34" s="9" t="n">
        <v>44004</v>
      </c>
      <c r="K34" s="39" t="inlineStr">
        <is>
          <t>월</t>
        </is>
      </c>
      <c r="L34" s="48" t="n">
        <v>2573600</v>
      </c>
      <c r="M34" s="48" t="n"/>
      <c r="N34" s="48" t="n">
        <v>2573600</v>
      </c>
    </row>
    <row r="35">
      <c r="B35" s="9" t="n">
        <v>44005</v>
      </c>
      <c r="C35" s="39" t="inlineStr">
        <is>
          <t>화</t>
        </is>
      </c>
      <c r="D35" s="48" t="n">
        <v>89</v>
      </c>
      <c r="E35" s="48" t="n">
        <v>2</v>
      </c>
      <c r="F35" s="48" t="n">
        <v>91</v>
      </c>
      <c r="J35" s="9" t="n">
        <v>44005</v>
      </c>
      <c r="K35" s="39" t="inlineStr">
        <is>
          <t>화</t>
        </is>
      </c>
      <c r="L35" s="48" t="n">
        <v>3057000</v>
      </c>
      <c r="M35" s="48" t="n">
        <v>4000</v>
      </c>
      <c r="N35" s="48" t="n">
        <v>3061000</v>
      </c>
    </row>
    <row r="36">
      <c r="B36" s="9" t="n">
        <v>44006</v>
      </c>
      <c r="C36" s="39" t="inlineStr">
        <is>
          <t>수</t>
        </is>
      </c>
      <c r="D36" s="48" t="n">
        <v>88</v>
      </c>
      <c r="E36" s="48" t="n"/>
      <c r="F36" s="48" t="n">
        <v>88</v>
      </c>
      <c r="J36" s="9" t="n">
        <v>44006</v>
      </c>
      <c r="K36" s="39" t="inlineStr">
        <is>
          <t>수</t>
        </is>
      </c>
      <c r="L36" s="48" t="n">
        <v>3116000</v>
      </c>
      <c r="M36" s="48" t="n"/>
      <c r="N36" s="48" t="n">
        <v>3116000</v>
      </c>
    </row>
    <row r="37">
      <c r="B37" s="9" t="n">
        <v>44007</v>
      </c>
      <c r="C37" s="39" t="inlineStr">
        <is>
          <t>목</t>
        </is>
      </c>
      <c r="D37" s="48" t="n">
        <v>93</v>
      </c>
      <c r="E37" s="48" t="n">
        <v>1</v>
      </c>
      <c r="F37" s="48" t="n">
        <v>94</v>
      </c>
      <c r="J37" s="9" t="n">
        <v>44007</v>
      </c>
      <c r="K37" s="39" t="inlineStr">
        <is>
          <t>목</t>
        </is>
      </c>
      <c r="L37" s="48" t="n">
        <v>3193000</v>
      </c>
      <c r="M37" s="48" t="n">
        <v>2000</v>
      </c>
      <c r="N37" s="48" t="n">
        <v>3195000</v>
      </c>
    </row>
    <row r="38">
      <c r="B38" s="9" t="n">
        <v>44008</v>
      </c>
      <c r="C38" s="39" t="inlineStr">
        <is>
          <t>금</t>
        </is>
      </c>
      <c r="D38" s="48" t="n">
        <v>75</v>
      </c>
      <c r="E38" s="48" t="n">
        <v>2</v>
      </c>
      <c r="F38" s="48" t="n">
        <v>77</v>
      </c>
      <c r="J38" s="9" t="n">
        <v>44008</v>
      </c>
      <c r="K38" s="39" t="inlineStr">
        <is>
          <t>금</t>
        </is>
      </c>
      <c r="L38" s="48" t="n">
        <v>2612000</v>
      </c>
      <c r="M38" s="48" t="n">
        <v>4000</v>
      </c>
      <c r="N38" s="48" t="n">
        <v>2616000</v>
      </c>
    </row>
    <row r="39">
      <c r="B39" s="9" t="n">
        <v>44009</v>
      </c>
      <c r="C39" s="39" t="inlineStr">
        <is>
          <t>토</t>
        </is>
      </c>
      <c r="D39" s="48" t="n">
        <v>69</v>
      </c>
      <c r="E39" s="48" t="n">
        <v>1</v>
      </c>
      <c r="F39" s="48" t="n">
        <v>70</v>
      </c>
      <c r="J39" s="9" t="n">
        <v>44009</v>
      </c>
      <c r="K39" s="39" t="inlineStr">
        <is>
          <t>토</t>
        </is>
      </c>
      <c r="L39" s="48" t="n">
        <v>2346000</v>
      </c>
      <c r="M39" s="48" t="n">
        <v>2000</v>
      </c>
      <c r="N39" s="48" t="n">
        <v>2348000</v>
      </c>
    </row>
    <row r="40">
      <c r="B40" s="9" t="n">
        <v>44010</v>
      </c>
      <c r="C40" s="39" t="inlineStr">
        <is>
          <t>일</t>
        </is>
      </c>
      <c r="D40" s="48" t="n">
        <v>82</v>
      </c>
      <c r="E40" s="48" t="n">
        <v>2</v>
      </c>
      <c r="F40" s="48" t="n">
        <v>84</v>
      </c>
      <c r="J40" s="9" t="n">
        <v>44010</v>
      </c>
      <c r="K40" s="39" t="inlineStr">
        <is>
          <t>일</t>
        </is>
      </c>
      <c r="L40" s="48" t="n">
        <v>2850000</v>
      </c>
      <c r="M40" s="48" t="n">
        <v>4000</v>
      </c>
      <c r="N40" s="48" t="n">
        <v>2854000</v>
      </c>
    </row>
    <row r="41">
      <c r="B41" s="9" t="n">
        <v>44011</v>
      </c>
      <c r="C41" s="39" t="inlineStr">
        <is>
          <t>월</t>
        </is>
      </c>
      <c r="D41" s="48" t="n">
        <v>59</v>
      </c>
      <c r="E41" s="48" t="n">
        <v>1</v>
      </c>
      <c r="F41" s="48" t="n">
        <v>60</v>
      </c>
      <c r="J41" s="9" t="n">
        <v>44011</v>
      </c>
      <c r="K41" s="39" t="inlineStr">
        <is>
          <t>월</t>
        </is>
      </c>
      <c r="L41" s="48" t="n">
        <v>2006000</v>
      </c>
      <c r="M41" s="48" t="n">
        <v>2000</v>
      </c>
      <c r="N41" s="48" t="n">
        <v>2008000</v>
      </c>
    </row>
    <row r="42">
      <c r="B42" s="9" t="n">
        <v>44012</v>
      </c>
      <c r="C42" s="39" t="inlineStr">
        <is>
          <t>화</t>
        </is>
      </c>
      <c r="D42" s="48" t="n">
        <v>63</v>
      </c>
      <c r="E42" s="48" t="n">
        <v>1</v>
      </c>
      <c r="F42" s="48" t="n">
        <v>64</v>
      </c>
      <c r="J42" s="9" t="n">
        <v>44012</v>
      </c>
      <c r="K42" s="39" t="inlineStr">
        <is>
          <t>화</t>
        </is>
      </c>
      <c r="L42" s="48" t="n">
        <v>2173000</v>
      </c>
      <c r="M42" s="48" t="n">
        <v>2000</v>
      </c>
      <c r="N42" s="48" t="n">
        <v>2175000</v>
      </c>
    </row>
    <row r="43">
      <c r="B43" s="9" t="n">
        <v>44013</v>
      </c>
      <c r="C43" s="39" t="inlineStr">
        <is>
          <t>수</t>
        </is>
      </c>
      <c r="D43" s="48" t="n">
        <v>57</v>
      </c>
      <c r="E43" s="48" t="n"/>
      <c r="F43" s="48" t="n">
        <v>57</v>
      </c>
      <c r="J43" s="9" t="n">
        <v>44013</v>
      </c>
      <c r="K43" s="39" t="inlineStr">
        <is>
          <t>수</t>
        </is>
      </c>
      <c r="L43" s="48" t="n">
        <v>1938000</v>
      </c>
      <c r="M43" s="48" t="n"/>
      <c r="N43" s="48" t="n">
        <v>1938000</v>
      </c>
    </row>
    <row r="44">
      <c r="B44" s="9" t="n">
        <v>44014</v>
      </c>
      <c r="C44" s="39" t="inlineStr">
        <is>
          <t>목</t>
        </is>
      </c>
      <c r="D44" s="48" t="n">
        <v>35</v>
      </c>
      <c r="E44" s="48" t="n">
        <v>1</v>
      </c>
      <c r="F44" s="48" t="n">
        <v>36</v>
      </c>
      <c r="J44" s="9" t="n">
        <v>44014</v>
      </c>
      <c r="K44" s="39" t="inlineStr">
        <is>
          <t>목</t>
        </is>
      </c>
      <c r="L44" s="48" t="n">
        <v>1190000</v>
      </c>
      <c r="M44" s="48" t="n">
        <v>2000</v>
      </c>
      <c r="N44" s="48" t="n">
        <v>1192000</v>
      </c>
    </row>
    <row r="45">
      <c r="B45" s="9" t="n">
        <v>44015</v>
      </c>
      <c r="C45" s="39" t="inlineStr">
        <is>
          <t>금</t>
        </is>
      </c>
      <c r="D45" s="48" t="n">
        <v>21</v>
      </c>
      <c r="E45" s="48" t="n">
        <v>1</v>
      </c>
      <c r="F45" s="48" t="n">
        <v>22</v>
      </c>
      <c r="J45" s="9" t="n">
        <v>44015</v>
      </c>
      <c r="K45" s="39" t="inlineStr">
        <is>
          <t>금</t>
        </is>
      </c>
      <c r="L45" s="48" t="n">
        <v>714000</v>
      </c>
      <c r="M45" s="48" t="n">
        <v>2000</v>
      </c>
      <c r="N45" s="48" t="n">
        <v>716000</v>
      </c>
    </row>
    <row r="46">
      <c r="B46" s="9" t="n">
        <v>44016</v>
      </c>
      <c r="C46" s="39" t="inlineStr">
        <is>
          <t>토</t>
        </is>
      </c>
      <c r="D46" s="48" t="n">
        <v>7</v>
      </c>
      <c r="E46" s="48" t="n"/>
      <c r="F46" s="48" t="n">
        <v>7</v>
      </c>
      <c r="J46" s="9" t="n">
        <v>44016</v>
      </c>
      <c r="K46" s="39" t="inlineStr">
        <is>
          <t>토</t>
        </is>
      </c>
      <c r="L46" s="48" t="n">
        <v>238000</v>
      </c>
      <c r="M46" s="48" t="n"/>
      <c r="N46" s="48" t="n">
        <v>238000</v>
      </c>
    </row>
    <row r="47">
      <c r="B47" s="9" t="n">
        <v>44017</v>
      </c>
      <c r="C47" s="39" t="inlineStr">
        <is>
          <t>일</t>
        </is>
      </c>
      <c r="D47" s="48" t="n">
        <v>15</v>
      </c>
      <c r="E47" s="48" t="n">
        <v>1</v>
      </c>
      <c r="F47" s="48" t="n">
        <v>16</v>
      </c>
      <c r="J47" s="9" t="n">
        <v>44017</v>
      </c>
      <c r="K47" s="39" t="inlineStr">
        <is>
          <t>일</t>
        </is>
      </c>
      <c r="L47" s="48" t="n">
        <v>510000</v>
      </c>
      <c r="M47" s="48" t="n">
        <v>2000</v>
      </c>
      <c r="N47" s="48" t="n">
        <v>512000</v>
      </c>
    </row>
    <row r="48">
      <c r="B48" s="9" t="n">
        <v>44018</v>
      </c>
      <c r="C48" s="39" t="inlineStr">
        <is>
          <t>월</t>
        </is>
      </c>
      <c r="D48" s="48" t="n">
        <v>31</v>
      </c>
      <c r="E48" s="48" t="n"/>
      <c r="F48" s="48" t="n">
        <v>31</v>
      </c>
      <c r="J48" s="9" t="n">
        <v>44018</v>
      </c>
      <c r="K48" s="39" t="inlineStr">
        <is>
          <t>월</t>
        </is>
      </c>
      <c r="L48" s="48" t="n">
        <v>1054000</v>
      </c>
      <c r="M48" s="48" t="n"/>
      <c r="N48" s="48" t="n">
        <v>1054000</v>
      </c>
    </row>
    <row r="49">
      <c r="B49" s="9" t="n">
        <v>44019</v>
      </c>
      <c r="C49" s="39" t="inlineStr">
        <is>
          <t>화</t>
        </is>
      </c>
      <c r="D49" s="48" t="n">
        <v>44</v>
      </c>
      <c r="E49" s="48" t="n"/>
      <c r="F49" s="48" t="n">
        <v>44</v>
      </c>
      <c r="J49" s="9" t="n">
        <v>44019</v>
      </c>
      <c r="K49" s="39" t="inlineStr">
        <is>
          <t>화</t>
        </is>
      </c>
      <c r="L49" s="48" t="n">
        <v>1589000</v>
      </c>
      <c r="M49" s="48" t="n"/>
      <c r="N49" s="48" t="n">
        <v>1589000</v>
      </c>
    </row>
    <row r="50">
      <c r="B50" s="9" t="n">
        <v>44020</v>
      </c>
      <c r="C50" s="39" t="inlineStr">
        <is>
          <t>수</t>
        </is>
      </c>
      <c r="D50" s="48" t="n">
        <v>31</v>
      </c>
      <c r="E50" s="48" t="n">
        <v>1</v>
      </c>
      <c r="F50" s="48" t="n">
        <v>32</v>
      </c>
      <c r="J50" s="9" t="n">
        <v>44020</v>
      </c>
      <c r="K50" s="39" t="inlineStr">
        <is>
          <t>수</t>
        </is>
      </c>
      <c r="L50" s="48" t="n">
        <v>1085000</v>
      </c>
      <c r="M50" s="48" t="n">
        <v>2000</v>
      </c>
      <c r="N50" s="48" t="n">
        <v>1087000</v>
      </c>
    </row>
    <row r="51">
      <c r="B51" s="9" t="n">
        <v>44021</v>
      </c>
      <c r="C51" s="39" t="inlineStr">
        <is>
          <t>목</t>
        </is>
      </c>
      <c r="D51" s="48" t="n">
        <v>42</v>
      </c>
      <c r="E51" s="48" t="n"/>
      <c r="F51" s="48" t="n">
        <v>42</v>
      </c>
      <c r="J51" s="9" t="n">
        <v>44021</v>
      </c>
      <c r="K51" s="39" t="inlineStr">
        <is>
          <t>목</t>
        </is>
      </c>
      <c r="L51" s="48" t="n">
        <v>1459000</v>
      </c>
      <c r="M51" s="48" t="n"/>
      <c r="N51" s="48" t="n">
        <v>1459000</v>
      </c>
    </row>
    <row r="52">
      <c r="B52" s="9" t="n">
        <v>44022</v>
      </c>
      <c r="C52" s="39" t="inlineStr">
        <is>
          <t>금</t>
        </is>
      </c>
      <c r="D52" s="48" t="n">
        <v>30</v>
      </c>
      <c r="E52" s="48" t="n">
        <v>1</v>
      </c>
      <c r="F52" s="48" t="n">
        <v>31</v>
      </c>
      <c r="J52" s="9" t="n">
        <v>44022</v>
      </c>
      <c r="K52" s="39" t="inlineStr">
        <is>
          <t>금</t>
        </is>
      </c>
      <c r="L52" s="48" t="n">
        <v>1020000</v>
      </c>
      <c r="M52" s="48" t="n">
        <v>2000</v>
      </c>
      <c r="N52" s="48" t="n">
        <v>1022000</v>
      </c>
      <c r="O52" s="49" t="n"/>
    </row>
    <row r="53">
      <c r="B53" s="9" t="n">
        <v>44023</v>
      </c>
      <c r="C53" s="39" t="inlineStr">
        <is>
          <t>토</t>
        </is>
      </c>
      <c r="D53" s="48" t="n">
        <v>36</v>
      </c>
      <c r="E53" s="48" t="n">
        <v>1</v>
      </c>
      <c r="F53" s="48" t="n">
        <v>37</v>
      </c>
      <c r="J53" s="9" t="n">
        <v>44023</v>
      </c>
      <c r="K53" s="39" t="inlineStr">
        <is>
          <t>토</t>
        </is>
      </c>
      <c r="L53" s="48" t="n">
        <v>1224000</v>
      </c>
      <c r="M53" s="48" t="n">
        <v>2000</v>
      </c>
      <c r="N53" s="48" t="n">
        <v>1226000</v>
      </c>
    </row>
    <row r="54">
      <c r="B54" s="9" t="n">
        <v>44024</v>
      </c>
      <c r="C54" s="39" t="inlineStr">
        <is>
          <t>일</t>
        </is>
      </c>
      <c r="D54" s="48" t="n">
        <v>68</v>
      </c>
      <c r="E54" s="48" t="n"/>
      <c r="F54" s="48" t="n">
        <v>68</v>
      </c>
      <c r="J54" s="9" t="n">
        <v>44024</v>
      </c>
      <c r="K54" s="39" t="inlineStr">
        <is>
          <t>일</t>
        </is>
      </c>
      <c r="L54" s="48" t="n">
        <v>2312000</v>
      </c>
      <c r="M54" s="48" t="n"/>
      <c r="N54" s="48" t="n">
        <v>2312000</v>
      </c>
    </row>
    <row r="55">
      <c r="B55" s="9" t="n">
        <v>44025</v>
      </c>
      <c r="C55" s="39" t="inlineStr">
        <is>
          <t>월</t>
        </is>
      </c>
      <c r="D55" s="48" t="n">
        <v>50</v>
      </c>
      <c r="E55" s="48" t="n"/>
      <c r="F55" s="48" t="n">
        <v>50</v>
      </c>
      <c r="J55" s="9" t="n">
        <v>44025</v>
      </c>
      <c r="K55" s="39" t="inlineStr">
        <is>
          <t>월</t>
        </is>
      </c>
      <c r="L55" s="48" t="n">
        <v>1762000</v>
      </c>
      <c r="M55" s="48" t="n"/>
      <c r="N55" s="48" t="n">
        <v>1762000</v>
      </c>
    </row>
    <row r="56">
      <c r="B56" s="9" t="n">
        <v>44026</v>
      </c>
      <c r="C56" s="39" t="inlineStr">
        <is>
          <t>화</t>
        </is>
      </c>
      <c r="D56" s="48" t="n">
        <v>82</v>
      </c>
      <c r="E56" s="48" t="n">
        <v>3</v>
      </c>
      <c r="F56" s="48" t="n">
        <v>85</v>
      </c>
      <c r="J56" s="9" t="n">
        <v>44026</v>
      </c>
      <c r="K56" s="39" t="inlineStr">
        <is>
          <t>화</t>
        </is>
      </c>
      <c r="L56" s="48" t="n">
        <v>2881000</v>
      </c>
      <c r="M56" s="48" t="n">
        <v>6000</v>
      </c>
      <c r="N56" s="48" t="n">
        <v>2887000</v>
      </c>
    </row>
    <row r="57">
      <c r="B57" s="9" t="n">
        <v>44027</v>
      </c>
      <c r="C57" s="39" t="inlineStr">
        <is>
          <t>수</t>
        </is>
      </c>
      <c r="D57" s="48" t="n">
        <v>116</v>
      </c>
      <c r="E57" s="48" t="n">
        <v>1</v>
      </c>
      <c r="F57" s="48" t="n">
        <v>117</v>
      </c>
      <c r="J57" s="9" t="n">
        <v>44027</v>
      </c>
      <c r="K57" s="39" t="inlineStr">
        <is>
          <t>수</t>
        </is>
      </c>
      <c r="L57" s="48" t="n">
        <v>3975000</v>
      </c>
      <c r="M57" s="48" t="n">
        <v>2000</v>
      </c>
      <c r="N57" s="48" t="n">
        <v>3977000</v>
      </c>
    </row>
    <row r="58">
      <c r="B58" s="9" t="n">
        <v>44028</v>
      </c>
      <c r="C58" s="39" t="inlineStr">
        <is>
          <t>목</t>
        </is>
      </c>
      <c r="D58" s="48" t="n">
        <v>51</v>
      </c>
      <c r="E58" s="48" t="n"/>
      <c r="F58" s="48" t="n">
        <v>51</v>
      </c>
      <c r="J58" s="9" t="n">
        <v>44028</v>
      </c>
      <c r="K58" s="39" t="inlineStr">
        <is>
          <t>목</t>
        </is>
      </c>
      <c r="L58" s="48" t="n">
        <v>1734000</v>
      </c>
      <c r="M58" s="48" t="n"/>
      <c r="N58" s="48" t="n">
        <v>1734000</v>
      </c>
      <c r="O58" s="49" t="n"/>
    </row>
    <row r="59">
      <c r="B59" s="9" t="n">
        <v>44029</v>
      </c>
      <c r="C59" s="39" t="inlineStr">
        <is>
          <t>금</t>
        </is>
      </c>
      <c r="D59" s="48" t="n">
        <v>89</v>
      </c>
      <c r="E59" s="48" t="n">
        <v>2</v>
      </c>
      <c r="F59" s="48" t="n">
        <v>91</v>
      </c>
      <c r="J59" s="9" t="n">
        <v>44029</v>
      </c>
      <c r="K59" s="39" t="inlineStr">
        <is>
          <t>금</t>
        </is>
      </c>
      <c r="L59" s="48" t="n">
        <v>3026000</v>
      </c>
      <c r="M59" s="48" t="n">
        <v>4000</v>
      </c>
      <c r="N59" s="48" t="n">
        <v>3030000</v>
      </c>
    </row>
    <row r="60">
      <c r="B60" s="9" t="n">
        <v>44030</v>
      </c>
      <c r="C60" s="39" t="inlineStr">
        <is>
          <t>토</t>
        </is>
      </c>
      <c r="D60" s="48" t="n">
        <v>42</v>
      </c>
      <c r="E60" s="48" t="n"/>
      <c r="F60" s="48" t="n">
        <v>42</v>
      </c>
      <c r="J60" s="9" t="n">
        <v>44030</v>
      </c>
      <c r="K60" s="39" t="inlineStr">
        <is>
          <t>토</t>
        </is>
      </c>
      <c r="L60" s="48" t="n">
        <v>1428000</v>
      </c>
      <c r="M60" s="48" t="n"/>
      <c r="N60" s="48" t="n">
        <v>1428000</v>
      </c>
    </row>
    <row r="61">
      <c r="B61" s="9" t="n">
        <v>44031</v>
      </c>
      <c r="C61" s="39" t="inlineStr">
        <is>
          <t>일</t>
        </is>
      </c>
      <c r="D61" s="48" t="n">
        <v>46</v>
      </c>
      <c r="E61" s="48" t="n">
        <v>1</v>
      </c>
      <c r="F61" s="48" t="n">
        <v>47</v>
      </c>
      <c r="J61" s="9" t="n">
        <v>44031</v>
      </c>
      <c r="K61" s="39" t="inlineStr">
        <is>
          <t>일</t>
        </is>
      </c>
      <c r="L61" s="48" t="n">
        <v>1564000</v>
      </c>
      <c r="M61" s="48" t="n">
        <v>2000</v>
      </c>
      <c r="N61" s="48" t="n">
        <v>1566000</v>
      </c>
    </row>
    <row r="62">
      <c r="B62" s="9" t="n">
        <v>44032</v>
      </c>
      <c r="C62" s="39" t="inlineStr">
        <is>
          <t>월</t>
        </is>
      </c>
      <c r="D62" s="48" t="n">
        <v>67</v>
      </c>
      <c r="E62" s="48" t="n"/>
      <c r="F62" s="48" t="n">
        <v>67</v>
      </c>
      <c r="J62" s="9" t="n">
        <v>44032</v>
      </c>
      <c r="K62" s="39" t="inlineStr">
        <is>
          <t>월</t>
        </is>
      </c>
      <c r="L62" s="48" t="n">
        <v>2408200</v>
      </c>
      <c r="M62" s="48" t="n"/>
      <c r="N62" s="48" t="n">
        <v>2408200</v>
      </c>
      <c r="O62" s="49" t="n"/>
    </row>
    <row r="63">
      <c r="B63" s="9" t="n">
        <v>44033</v>
      </c>
      <c r="C63" s="39" t="inlineStr">
        <is>
          <t>화</t>
        </is>
      </c>
      <c r="D63" s="48" t="n">
        <v>98</v>
      </c>
      <c r="E63" s="48" t="n">
        <v>1</v>
      </c>
      <c r="F63" s="48" t="n">
        <v>99</v>
      </c>
      <c r="J63" s="9" t="n">
        <v>44033</v>
      </c>
      <c r="K63" s="39" t="inlineStr">
        <is>
          <t>화</t>
        </is>
      </c>
      <c r="L63" s="48" t="n">
        <v>3642000</v>
      </c>
      <c r="M63" s="48" t="n">
        <v>2000</v>
      </c>
      <c r="N63" s="48" t="n">
        <v>3644000</v>
      </c>
      <c r="O63" s="49" t="n"/>
    </row>
    <row r="64">
      <c r="B64" s="9" t="n">
        <v>44034</v>
      </c>
      <c r="C64" s="39" t="inlineStr">
        <is>
          <t>수</t>
        </is>
      </c>
      <c r="D64" s="48" t="n">
        <v>105</v>
      </c>
      <c r="E64" s="48" t="n">
        <v>1</v>
      </c>
      <c r="F64" s="48" t="n">
        <v>106</v>
      </c>
      <c r="J64" s="9" t="n">
        <v>44034</v>
      </c>
      <c r="K64" s="39" t="inlineStr">
        <is>
          <t>수</t>
        </is>
      </c>
      <c r="L64" s="48" t="n">
        <v>3942000</v>
      </c>
      <c r="M64" s="48" t="n">
        <v>2000</v>
      </c>
      <c r="N64" s="48" t="n">
        <v>3944000</v>
      </c>
    </row>
    <row r="65">
      <c r="B65" s="9" t="n">
        <v>44035</v>
      </c>
      <c r="C65" s="39" t="inlineStr">
        <is>
          <t>목</t>
        </is>
      </c>
      <c r="D65" s="48" t="n">
        <v>116</v>
      </c>
      <c r="E65" s="48" t="n">
        <v>3</v>
      </c>
      <c r="F65" s="48" t="n">
        <v>119</v>
      </c>
      <c r="J65" s="9" t="n">
        <v>44035</v>
      </c>
      <c r="K65" s="39" t="inlineStr">
        <is>
          <t>목</t>
        </is>
      </c>
      <c r="L65" s="48" t="n">
        <v>4371800</v>
      </c>
      <c r="M65" s="48" t="n">
        <v>6000</v>
      </c>
      <c r="N65" s="48" t="n">
        <v>4377800</v>
      </c>
    </row>
    <row r="66">
      <c r="B66" s="9" t="n">
        <v>44036</v>
      </c>
      <c r="C66" s="39" t="inlineStr">
        <is>
          <t>금</t>
        </is>
      </c>
      <c r="D66" s="48" t="n">
        <v>127</v>
      </c>
      <c r="E66" s="48" t="n">
        <v>2</v>
      </c>
      <c r="F66" s="48" t="n">
        <v>129</v>
      </c>
      <c r="J66" s="9" t="n">
        <v>44036</v>
      </c>
      <c r="K66" s="39" t="inlineStr">
        <is>
          <t>금</t>
        </is>
      </c>
      <c r="L66" s="48" t="n">
        <v>4677600</v>
      </c>
      <c r="M66" s="48" t="n">
        <v>4000</v>
      </c>
      <c r="N66" s="48" t="n">
        <v>4681600</v>
      </c>
    </row>
    <row r="67">
      <c r="B67" s="9" t="n">
        <v>44037</v>
      </c>
      <c r="C67" s="39" t="inlineStr">
        <is>
          <t>토</t>
        </is>
      </c>
      <c r="D67" s="48" t="n">
        <v>107</v>
      </c>
      <c r="E67" s="48" t="n">
        <v>2</v>
      </c>
      <c r="F67" s="48" t="n">
        <v>109</v>
      </c>
      <c r="J67" s="9" t="n">
        <v>44037</v>
      </c>
      <c r="K67" s="39" t="inlineStr">
        <is>
          <t>토</t>
        </is>
      </c>
      <c r="L67" s="48" t="n">
        <v>4103000</v>
      </c>
      <c r="M67" s="48" t="n">
        <v>4000</v>
      </c>
      <c r="N67" s="48" t="n">
        <v>4107000</v>
      </c>
    </row>
    <row r="68">
      <c r="B68" s="9" t="n">
        <v>44038</v>
      </c>
      <c r="C68" s="39" t="inlineStr">
        <is>
          <t>일</t>
        </is>
      </c>
      <c r="D68" s="48" t="n">
        <v>152</v>
      </c>
      <c r="E68" s="48" t="n">
        <v>1</v>
      </c>
      <c r="F68" s="48" t="n">
        <v>153</v>
      </c>
      <c r="J68" s="9" t="n">
        <v>44038</v>
      </c>
      <c r="K68" s="39" t="inlineStr">
        <is>
          <t>일</t>
        </is>
      </c>
      <c r="L68" s="48" t="n">
        <v>5781800</v>
      </c>
      <c r="M68" s="48" t="n">
        <v>2000</v>
      </c>
      <c r="N68" s="48" t="n">
        <v>5783800</v>
      </c>
    </row>
    <row r="69">
      <c r="B69" s="9" t="n">
        <v>44039</v>
      </c>
      <c r="C69" s="39" t="inlineStr">
        <is>
          <t>월</t>
        </is>
      </c>
      <c r="D69" s="48" t="n">
        <v>110</v>
      </c>
      <c r="E69" s="48" t="n">
        <v>1</v>
      </c>
      <c r="F69" s="48" t="n">
        <v>111</v>
      </c>
      <c r="J69" s="9" t="n">
        <v>44039</v>
      </c>
      <c r="K69" s="39" t="inlineStr">
        <is>
          <t>월</t>
        </is>
      </c>
      <c r="L69" s="48" t="n">
        <v>4254600</v>
      </c>
      <c r="M69" s="48" t="n">
        <v>2000</v>
      </c>
      <c r="N69" s="48" t="n">
        <v>4256600</v>
      </c>
    </row>
    <row r="70">
      <c r="B70" s="9" t="n">
        <v>44040</v>
      </c>
      <c r="C70" s="39" t="inlineStr">
        <is>
          <t>화</t>
        </is>
      </c>
      <c r="D70" s="48" t="n">
        <v>126</v>
      </c>
      <c r="E70" s="48" t="n">
        <v>2</v>
      </c>
      <c r="F70" s="48" t="n">
        <v>128</v>
      </c>
      <c r="J70" s="9" t="n">
        <v>44040</v>
      </c>
      <c r="K70" s="39" t="inlineStr">
        <is>
          <t>화</t>
        </is>
      </c>
      <c r="L70" s="48" t="n">
        <v>4730400</v>
      </c>
      <c r="M70" s="48" t="n">
        <v>4000</v>
      </c>
      <c r="N70" s="48" t="n">
        <v>4734400</v>
      </c>
    </row>
    <row r="71">
      <c r="B71" s="9" t="n">
        <v>44041</v>
      </c>
      <c r="C71" s="39" t="inlineStr">
        <is>
          <t>수</t>
        </is>
      </c>
      <c r="D71" s="48" t="n">
        <v>103</v>
      </c>
      <c r="E71" s="48" t="n">
        <v>1</v>
      </c>
      <c r="F71" s="48" t="n">
        <v>104</v>
      </c>
      <c r="J71" s="9" t="n">
        <v>44041</v>
      </c>
      <c r="K71" s="39" t="inlineStr">
        <is>
          <t>수</t>
        </is>
      </c>
      <c r="L71" s="48" t="n">
        <v>3867800</v>
      </c>
      <c r="M71" s="48" t="n">
        <v>2000</v>
      </c>
      <c r="N71" s="48" t="n">
        <v>3869800</v>
      </c>
    </row>
    <row r="72">
      <c r="B72" s="9" t="n">
        <v>44042</v>
      </c>
      <c r="C72" s="39" t="inlineStr">
        <is>
          <t>목</t>
        </is>
      </c>
      <c r="D72" s="48" t="n">
        <v>66</v>
      </c>
      <c r="E72" s="48" t="n"/>
      <c r="F72" s="48" t="n">
        <v>66</v>
      </c>
      <c r="J72" s="9" t="n">
        <v>44042</v>
      </c>
      <c r="K72" s="39" t="inlineStr">
        <is>
          <t>목</t>
        </is>
      </c>
      <c r="L72" s="48" t="n">
        <v>2554000</v>
      </c>
      <c r="M72" s="48" t="n"/>
      <c r="N72" s="48" t="n">
        <v>2554000</v>
      </c>
    </row>
    <row r="73">
      <c r="B73" s="9" t="n">
        <v>44043</v>
      </c>
      <c r="C73" s="39" t="inlineStr">
        <is>
          <t>금</t>
        </is>
      </c>
      <c r="D73" s="48" t="n">
        <v>63</v>
      </c>
      <c r="E73" s="48" t="n"/>
      <c r="F73" s="48" t="n">
        <v>63</v>
      </c>
      <c r="J73" s="9" t="n">
        <v>44043</v>
      </c>
      <c r="K73" s="39" t="inlineStr">
        <is>
          <t>금</t>
        </is>
      </c>
      <c r="L73" s="48" t="n">
        <v>2340400</v>
      </c>
      <c r="M73" s="48" t="n"/>
      <c r="N73" s="48" t="n">
        <v>2340400</v>
      </c>
    </row>
    <row r="74">
      <c r="B74" s="9" t="n">
        <v>44044</v>
      </c>
      <c r="C74" s="39" t="inlineStr">
        <is>
          <t>토</t>
        </is>
      </c>
      <c r="D74" s="48" t="n">
        <v>65</v>
      </c>
      <c r="E74" s="48" t="n"/>
      <c r="F74" s="48" t="n">
        <v>65</v>
      </c>
      <c r="J74" s="9" t="n">
        <v>44044</v>
      </c>
      <c r="K74" s="39" t="inlineStr">
        <is>
          <t>토</t>
        </is>
      </c>
      <c r="L74" s="48" t="n">
        <v>2532400</v>
      </c>
      <c r="M74" s="48" t="n"/>
      <c r="N74" s="48" t="n">
        <v>2532400</v>
      </c>
    </row>
    <row r="75">
      <c r="B75" s="9" t="n">
        <v>44045</v>
      </c>
      <c r="C75" s="39" t="inlineStr">
        <is>
          <t>일</t>
        </is>
      </c>
      <c r="D75" s="48" t="n">
        <v>66</v>
      </c>
      <c r="E75" s="48" t="n">
        <v>1</v>
      </c>
      <c r="F75" s="48" t="n">
        <v>67</v>
      </c>
      <c r="J75" s="9" t="n">
        <v>44045</v>
      </c>
      <c r="K75" s="39" t="inlineStr">
        <is>
          <t>일</t>
        </is>
      </c>
      <c r="L75" s="48" t="n">
        <v>2467200</v>
      </c>
      <c r="M75" s="48" t="n">
        <v>2000</v>
      </c>
      <c r="N75" s="48" t="n">
        <v>2469200</v>
      </c>
    </row>
    <row r="76">
      <c r="B76" s="9" t="n">
        <v>44046</v>
      </c>
      <c r="C76" s="39" t="inlineStr">
        <is>
          <t>월</t>
        </is>
      </c>
      <c r="D76" s="48" t="n">
        <v>82</v>
      </c>
      <c r="E76" s="48" t="n"/>
      <c r="F76" s="48" t="n">
        <v>82</v>
      </c>
      <c r="J76" s="9" t="n">
        <v>44046</v>
      </c>
      <c r="K76" s="39" t="inlineStr">
        <is>
          <t>월</t>
        </is>
      </c>
      <c r="L76" s="48" t="n">
        <v>3184800</v>
      </c>
      <c r="M76" s="48" t="n"/>
      <c r="N76" s="48" t="n">
        <v>3184800</v>
      </c>
    </row>
    <row r="77">
      <c r="B77" s="9" t="n">
        <v>44047</v>
      </c>
      <c r="C77" s="39" t="inlineStr">
        <is>
          <t>화</t>
        </is>
      </c>
      <c r="D77" s="48" t="n">
        <v>86</v>
      </c>
      <c r="E77" s="48" t="n">
        <v>1</v>
      </c>
      <c r="F77" s="48" t="n">
        <v>87</v>
      </c>
      <c r="J77" s="9" t="n">
        <v>44047</v>
      </c>
      <c r="K77" s="39" t="inlineStr">
        <is>
          <t>화</t>
        </is>
      </c>
      <c r="L77" s="48" t="n">
        <v>3320800</v>
      </c>
      <c r="M77" s="48" t="n">
        <v>2000</v>
      </c>
      <c r="N77" s="48" t="n">
        <v>3322800</v>
      </c>
    </row>
    <row r="78">
      <c r="B78" s="9" t="n">
        <v>44048</v>
      </c>
      <c r="C78" s="39" t="inlineStr">
        <is>
          <t>수</t>
        </is>
      </c>
      <c r="D78" s="48" t="n">
        <v>80</v>
      </c>
      <c r="E78" s="48" t="n">
        <v>3</v>
      </c>
      <c r="F78" s="48" t="n">
        <v>83</v>
      </c>
      <c r="J78" s="9" t="n">
        <v>44048</v>
      </c>
      <c r="K78" s="39" t="inlineStr">
        <is>
          <t>수</t>
        </is>
      </c>
      <c r="L78" s="48" t="n">
        <v>2918400</v>
      </c>
      <c r="M78" s="48" t="n">
        <v>6000</v>
      </c>
      <c r="N78" s="48" t="n">
        <v>2924400</v>
      </c>
    </row>
    <row r="79">
      <c r="B79" s="9" t="n">
        <v>44049</v>
      </c>
      <c r="C79" s="39" t="inlineStr">
        <is>
          <t>목</t>
        </is>
      </c>
      <c r="D79" s="48" t="n">
        <v>67</v>
      </c>
      <c r="E79" s="48" t="n">
        <v>2</v>
      </c>
      <c r="F79" s="48" t="n">
        <v>69</v>
      </c>
      <c r="J79" s="9" t="n">
        <v>44049</v>
      </c>
      <c r="K79" s="39" t="inlineStr">
        <is>
          <t>목</t>
        </is>
      </c>
      <c r="L79" s="48" t="n">
        <v>2600400</v>
      </c>
      <c r="M79" s="48" t="n">
        <v>4000</v>
      </c>
      <c r="N79" s="48" t="n">
        <v>2604400</v>
      </c>
    </row>
    <row r="80">
      <c r="B80" s="9" t="n">
        <v>44050</v>
      </c>
      <c r="C80" s="39" t="inlineStr">
        <is>
          <t>금</t>
        </is>
      </c>
      <c r="D80" s="48" t="n">
        <v>79</v>
      </c>
      <c r="E80" s="48" t="n">
        <v>1</v>
      </c>
      <c r="F80" s="48" t="n">
        <v>80</v>
      </c>
      <c r="J80" s="9" t="n">
        <v>44050</v>
      </c>
      <c r="K80" s="39" t="inlineStr">
        <is>
          <t>금</t>
        </is>
      </c>
      <c r="L80" s="48" t="n">
        <v>2934000</v>
      </c>
      <c r="M80" s="48" t="n">
        <v>2000</v>
      </c>
      <c r="N80" s="48" t="n">
        <v>2936000</v>
      </c>
    </row>
    <row r="81">
      <c r="B81" s="9" t="n">
        <v>44051</v>
      </c>
      <c r="C81" s="39" t="inlineStr">
        <is>
          <t>토</t>
        </is>
      </c>
      <c r="D81" s="48" t="n">
        <v>76</v>
      </c>
      <c r="E81" s="48" t="n"/>
      <c r="F81" s="48" t="n">
        <v>76</v>
      </c>
      <c r="J81" s="9" t="n">
        <v>44051</v>
      </c>
      <c r="K81" s="39" t="inlineStr">
        <is>
          <t>토</t>
        </is>
      </c>
      <c r="L81" s="48" t="n">
        <v>2832000</v>
      </c>
      <c r="M81" s="48" t="n"/>
      <c r="N81" s="48" t="n">
        <v>2832000</v>
      </c>
    </row>
    <row r="82">
      <c r="B82" s="9" t="n">
        <v>44052</v>
      </c>
      <c r="C82" s="39" t="inlineStr">
        <is>
          <t>일</t>
        </is>
      </c>
      <c r="D82" s="48" t="n">
        <v>91</v>
      </c>
      <c r="E82" s="48" t="n"/>
      <c r="F82" s="48" t="n">
        <v>91</v>
      </c>
      <c r="J82" s="9" t="n">
        <v>44052</v>
      </c>
      <c r="K82" s="39" t="inlineStr">
        <is>
          <t>일</t>
        </is>
      </c>
      <c r="L82" s="48" t="n">
        <v>3441200</v>
      </c>
      <c r="M82" s="48" t="n"/>
      <c r="N82" s="48" t="n">
        <v>3441200</v>
      </c>
    </row>
    <row r="83">
      <c r="B83" s="9" t="n">
        <v>44053</v>
      </c>
      <c r="C83" s="39" t="inlineStr">
        <is>
          <t>월</t>
        </is>
      </c>
      <c r="D83" s="48" t="n">
        <v>86</v>
      </c>
      <c r="E83" s="48" t="n">
        <v>1</v>
      </c>
      <c r="F83" s="48" t="n">
        <v>87</v>
      </c>
      <c r="J83" s="9" t="n">
        <v>44053</v>
      </c>
      <c r="K83" s="39" t="inlineStr">
        <is>
          <t>월</t>
        </is>
      </c>
      <c r="L83" s="48" t="n">
        <v>3320800</v>
      </c>
      <c r="M83" s="48" t="n">
        <v>2000</v>
      </c>
      <c r="N83" s="48" t="n">
        <v>3322800</v>
      </c>
    </row>
    <row r="84">
      <c r="B84" s="9" t="n">
        <v>44054</v>
      </c>
      <c r="C84" s="39" t="inlineStr">
        <is>
          <t>화</t>
        </is>
      </c>
      <c r="D84" s="48" t="n">
        <v>73</v>
      </c>
      <c r="E84" s="48" t="n">
        <v>2</v>
      </c>
      <c r="F84" s="48" t="n">
        <v>75</v>
      </c>
      <c r="J84" s="9" t="n">
        <v>44054</v>
      </c>
      <c r="K84" s="39" t="inlineStr">
        <is>
          <t>화</t>
        </is>
      </c>
      <c r="L84" s="48" t="n">
        <v>2705200</v>
      </c>
      <c r="M84" s="48" t="n">
        <v>4000</v>
      </c>
      <c r="N84" s="48" t="n">
        <v>2709200</v>
      </c>
    </row>
    <row r="85">
      <c r="B85" s="9" t="n">
        <v>44055</v>
      </c>
      <c r="C85" s="39" t="inlineStr">
        <is>
          <t>수</t>
        </is>
      </c>
      <c r="D85" s="48" t="n">
        <v>76</v>
      </c>
      <c r="E85" s="48" t="n">
        <v>2</v>
      </c>
      <c r="F85" s="48" t="n">
        <v>78</v>
      </c>
      <c r="J85" s="9" t="n">
        <v>44055</v>
      </c>
      <c r="K85" s="39" t="inlineStr">
        <is>
          <t>수</t>
        </is>
      </c>
      <c r="L85" s="48" t="n">
        <v>2980800</v>
      </c>
      <c r="M85" s="48" t="n">
        <v>4000</v>
      </c>
      <c r="N85" s="48" t="n">
        <v>2984800</v>
      </c>
    </row>
    <row r="86">
      <c r="B86" s="9" t="n">
        <v>44056</v>
      </c>
      <c r="C86" s="39" t="inlineStr">
        <is>
          <t>목</t>
        </is>
      </c>
      <c r="D86" s="48" t="n">
        <v>62</v>
      </c>
      <c r="E86" s="48" t="n"/>
      <c r="F86" s="48" t="n">
        <v>62</v>
      </c>
      <c r="J86" s="9" t="n">
        <v>44056</v>
      </c>
      <c r="K86" s="39" t="inlineStr">
        <is>
          <t>목</t>
        </is>
      </c>
      <c r="L86" s="48" t="n">
        <v>2405600</v>
      </c>
      <c r="M86" s="48" t="n"/>
      <c r="N86" s="48" t="n">
        <v>2405600</v>
      </c>
    </row>
    <row r="87">
      <c r="B87" s="9" t="n">
        <v>44057</v>
      </c>
      <c r="C87" s="39" t="inlineStr">
        <is>
          <t>금</t>
        </is>
      </c>
      <c r="D87" s="48" t="n">
        <v>51</v>
      </c>
      <c r="E87" s="48" t="n">
        <v>3</v>
      </c>
      <c r="F87" s="48" t="n">
        <v>54</v>
      </c>
      <c r="J87" s="9" t="n">
        <v>44057</v>
      </c>
      <c r="K87" s="39" t="inlineStr">
        <is>
          <t>금</t>
        </is>
      </c>
      <c r="L87" s="48" t="n">
        <v>2056400</v>
      </c>
      <c r="M87" s="48" t="n">
        <v>6000</v>
      </c>
      <c r="N87" s="48" t="n">
        <v>2062400</v>
      </c>
    </row>
    <row r="88">
      <c r="B88" s="9" t="n">
        <v>44058</v>
      </c>
      <c r="C88" s="39" t="inlineStr">
        <is>
          <t>토</t>
        </is>
      </c>
      <c r="D88" s="48" t="n">
        <v>44</v>
      </c>
      <c r="E88" s="48" t="n">
        <v>2</v>
      </c>
      <c r="F88" s="48" t="n">
        <v>46</v>
      </c>
      <c r="J88" s="9" t="n">
        <v>44058</v>
      </c>
      <c r="K88" s="39" t="inlineStr">
        <is>
          <t>토</t>
        </is>
      </c>
      <c r="L88" s="48" t="n">
        <v>1719200</v>
      </c>
      <c r="M88" s="48" t="n">
        <v>4000</v>
      </c>
      <c r="N88" s="48" t="n">
        <v>1723200</v>
      </c>
    </row>
    <row r="89">
      <c r="B89" s="9" t="n">
        <v>44059</v>
      </c>
      <c r="C89" s="39" t="inlineStr">
        <is>
          <t>일</t>
        </is>
      </c>
      <c r="D89" s="48" t="n">
        <v>48</v>
      </c>
      <c r="E89" s="48" t="n">
        <v>2</v>
      </c>
      <c r="F89" s="48" t="n">
        <v>50</v>
      </c>
      <c r="J89" s="9" t="n">
        <v>44059</v>
      </c>
      <c r="K89" s="39" t="inlineStr">
        <is>
          <t>일</t>
        </is>
      </c>
      <c r="L89" s="48" t="n">
        <v>1830400</v>
      </c>
      <c r="M89" s="48" t="n">
        <v>4000</v>
      </c>
      <c r="N89" s="48" t="n">
        <v>1834400</v>
      </c>
    </row>
    <row r="90">
      <c r="B90" s="9" t="n">
        <v>44060</v>
      </c>
      <c r="C90" s="39" t="inlineStr">
        <is>
          <t>월</t>
        </is>
      </c>
      <c r="D90" s="48" t="n">
        <v>62</v>
      </c>
      <c r="E90" s="48" t="n">
        <v>5</v>
      </c>
      <c r="F90" s="48" t="n">
        <v>67</v>
      </c>
      <c r="J90" s="9" t="n">
        <v>44060</v>
      </c>
      <c r="K90" s="39" t="inlineStr">
        <is>
          <t>월</t>
        </is>
      </c>
      <c r="L90" s="48" t="n">
        <v>2331200</v>
      </c>
      <c r="M90" s="48" t="n">
        <v>10000</v>
      </c>
      <c r="N90" s="48" t="n">
        <v>2341200</v>
      </c>
    </row>
    <row r="91">
      <c r="B91" s="9" t="n">
        <v>44061</v>
      </c>
      <c r="C91" s="39" t="inlineStr">
        <is>
          <t>화</t>
        </is>
      </c>
      <c r="D91" s="48" t="n">
        <v>75</v>
      </c>
      <c r="E91" s="48" t="n">
        <v>1</v>
      </c>
      <c r="F91" s="48" t="n">
        <v>76</v>
      </c>
      <c r="J91" s="9" t="n">
        <v>44061</v>
      </c>
      <c r="K91" s="39" t="inlineStr">
        <is>
          <t>화</t>
        </is>
      </c>
      <c r="L91" s="48" t="n">
        <v>2872400</v>
      </c>
      <c r="M91" s="48" t="n">
        <v>2000</v>
      </c>
      <c r="N91" s="48" t="n">
        <v>2874400</v>
      </c>
    </row>
    <row r="92">
      <c r="B92" s="9" t="n">
        <v>44062</v>
      </c>
      <c r="C92" s="39" t="inlineStr">
        <is>
          <t>수</t>
        </is>
      </c>
      <c r="D92" s="48" t="n">
        <v>86</v>
      </c>
      <c r="E92" s="48" t="n">
        <v>1</v>
      </c>
      <c r="F92" s="48" t="n">
        <v>87</v>
      </c>
      <c r="J92" s="9" t="n">
        <v>44062</v>
      </c>
      <c r="K92" s="39" t="inlineStr">
        <is>
          <t>수</t>
        </is>
      </c>
      <c r="L92" s="48" t="n">
        <v>3345600</v>
      </c>
      <c r="M92" s="48" t="n">
        <v>2000</v>
      </c>
      <c r="N92" s="48" t="n">
        <v>3347600</v>
      </c>
    </row>
    <row r="93">
      <c r="B93" s="9" t="n">
        <v>44063</v>
      </c>
      <c r="C93" s="39" t="inlineStr">
        <is>
          <t>목</t>
        </is>
      </c>
      <c r="D93" s="48" t="n">
        <v>83</v>
      </c>
      <c r="E93" s="48" t="n">
        <v>1</v>
      </c>
      <c r="F93" s="48" t="n">
        <v>84</v>
      </c>
      <c r="J93" s="9" t="n">
        <v>44063</v>
      </c>
      <c r="K93" s="39" t="inlineStr">
        <is>
          <t>목</t>
        </is>
      </c>
      <c r="L93" s="48" t="n">
        <v>3144400</v>
      </c>
      <c r="M93" s="48" t="n">
        <v>2000</v>
      </c>
      <c r="N93" s="48" t="n">
        <v>3146400</v>
      </c>
    </row>
    <row r="94">
      <c r="B94" s="9" t="n">
        <v>44064</v>
      </c>
      <c r="C94" s="39" t="inlineStr">
        <is>
          <t>금</t>
        </is>
      </c>
      <c r="D94" s="48" t="n">
        <v>66</v>
      </c>
      <c r="E94" s="48" t="n">
        <v>3</v>
      </c>
      <c r="F94" s="48" t="n">
        <v>69</v>
      </c>
      <c r="J94" s="9" t="n">
        <v>44064</v>
      </c>
      <c r="K94" s="39" t="inlineStr">
        <is>
          <t>금</t>
        </is>
      </c>
      <c r="L94" s="48" t="n">
        <v>2541600</v>
      </c>
      <c r="M94" s="48" t="n">
        <v>6000</v>
      </c>
      <c r="N94" s="48" t="n">
        <v>2547600</v>
      </c>
    </row>
    <row r="95">
      <c r="B95" s="9" t="n">
        <v>44065</v>
      </c>
      <c r="C95" s="39" t="inlineStr">
        <is>
          <t>토</t>
        </is>
      </c>
      <c r="D95" s="48" t="n">
        <v>68</v>
      </c>
      <c r="E95" s="48" t="n">
        <v>2</v>
      </c>
      <c r="F95" s="48" t="n">
        <v>70</v>
      </c>
      <c r="J95" s="9" t="n">
        <v>44065</v>
      </c>
      <c r="K95" s="39" t="inlineStr">
        <is>
          <t>토</t>
        </is>
      </c>
      <c r="L95" s="48" t="n">
        <v>2708800</v>
      </c>
      <c r="M95" s="48" t="n">
        <v>4000</v>
      </c>
      <c r="N95" s="48" t="n">
        <v>2712800</v>
      </c>
    </row>
    <row r="96">
      <c r="B96" s="9" t="n">
        <v>44066</v>
      </c>
      <c r="C96" s="39" t="inlineStr">
        <is>
          <t>일</t>
        </is>
      </c>
      <c r="D96" s="48" t="n">
        <v>92</v>
      </c>
      <c r="E96" s="48" t="n">
        <v>1</v>
      </c>
      <c r="F96" s="48" t="n">
        <v>93</v>
      </c>
      <c r="J96" s="9" t="n">
        <v>44066</v>
      </c>
      <c r="K96" s="39" t="inlineStr">
        <is>
          <t>일</t>
        </is>
      </c>
      <c r="L96" s="48" t="n">
        <v>3673600</v>
      </c>
      <c r="M96" s="48" t="n">
        <v>2000</v>
      </c>
      <c r="N96" s="48" t="n">
        <v>3675600</v>
      </c>
    </row>
    <row r="97">
      <c r="B97" s="9" t="n">
        <v>44067</v>
      </c>
      <c r="C97" s="39" t="inlineStr">
        <is>
          <t>월</t>
        </is>
      </c>
      <c r="D97" s="48" t="n">
        <v>76</v>
      </c>
      <c r="E97" s="48" t="n">
        <v>2</v>
      </c>
      <c r="F97" s="48" t="n">
        <v>78</v>
      </c>
      <c r="J97" s="9" t="n">
        <v>44067</v>
      </c>
      <c r="K97" s="39" t="inlineStr">
        <is>
          <t>월</t>
        </is>
      </c>
      <c r="L97" s="48" t="n">
        <v>3005600</v>
      </c>
      <c r="M97" s="48" t="n">
        <v>4000</v>
      </c>
      <c r="N97" s="48" t="n">
        <v>3009600</v>
      </c>
    </row>
    <row r="98">
      <c r="B98" s="9" t="n">
        <v>44068</v>
      </c>
      <c r="C98" s="39" t="inlineStr">
        <is>
          <t>화</t>
        </is>
      </c>
      <c r="D98" s="48" t="n">
        <v>74</v>
      </c>
      <c r="E98" s="48" t="n">
        <v>3</v>
      </c>
      <c r="F98" s="48" t="n">
        <v>77</v>
      </c>
      <c r="J98" s="9" t="n">
        <v>44068</v>
      </c>
      <c r="K98" s="39" t="inlineStr">
        <is>
          <t>화</t>
        </is>
      </c>
      <c r="L98" s="48" t="n">
        <v>2714400</v>
      </c>
      <c r="M98" s="48" t="n">
        <v>6000</v>
      </c>
      <c r="N98" s="48" t="n">
        <v>2720400</v>
      </c>
    </row>
    <row r="99">
      <c r="B99" s="9" t="n">
        <v>44069</v>
      </c>
      <c r="C99" s="39" t="inlineStr">
        <is>
          <t>수</t>
        </is>
      </c>
      <c r="D99" s="48" t="n">
        <v>89</v>
      </c>
      <c r="E99" s="48" t="n">
        <v>1</v>
      </c>
      <c r="F99" s="48" t="n">
        <v>90</v>
      </c>
      <c r="J99" s="9" t="n">
        <v>44069</v>
      </c>
      <c r="K99" s="39" t="inlineStr">
        <is>
          <t>수</t>
        </is>
      </c>
      <c r="L99" s="48" t="n">
        <v>3422800</v>
      </c>
      <c r="M99" s="48" t="n">
        <v>2000</v>
      </c>
      <c r="N99" s="48" t="n">
        <v>3424800</v>
      </c>
    </row>
    <row r="100">
      <c r="B100" s="9" t="n">
        <v>44070</v>
      </c>
      <c r="C100" s="39" t="inlineStr">
        <is>
          <t>목</t>
        </is>
      </c>
      <c r="D100" s="48" t="n">
        <v>94</v>
      </c>
      <c r="E100" s="48" t="n">
        <v>1</v>
      </c>
      <c r="F100" s="48" t="n">
        <v>95</v>
      </c>
      <c r="J100" s="9" t="n">
        <v>44070</v>
      </c>
      <c r="K100" s="39" t="inlineStr">
        <is>
          <t>목</t>
        </is>
      </c>
      <c r="L100" s="48" t="n">
        <v>3642400</v>
      </c>
      <c r="M100" s="48" t="n">
        <v>2000</v>
      </c>
      <c r="N100" s="48" t="n">
        <v>3644400</v>
      </c>
    </row>
    <row r="101">
      <c r="B101" s="9" t="n">
        <v>44071</v>
      </c>
      <c r="C101" s="39" t="inlineStr">
        <is>
          <t>금</t>
        </is>
      </c>
      <c r="D101" s="48" t="n">
        <v>80</v>
      </c>
      <c r="E101" s="48" t="n"/>
      <c r="F101" s="48" t="n">
        <v>80</v>
      </c>
      <c r="J101" s="9" t="n">
        <v>44071</v>
      </c>
      <c r="K101" s="39" t="inlineStr">
        <is>
          <t>금</t>
        </is>
      </c>
      <c r="L101" s="48" t="n">
        <v>3166400</v>
      </c>
      <c r="M101" s="48" t="n"/>
      <c r="N101" s="48" t="n">
        <v>3166400</v>
      </c>
    </row>
    <row r="102">
      <c r="B102" s="9" t="n">
        <v>44072</v>
      </c>
      <c r="C102" s="39" t="inlineStr">
        <is>
          <t>토</t>
        </is>
      </c>
      <c r="D102" s="48" t="n">
        <v>80</v>
      </c>
      <c r="E102" s="48" t="n">
        <v>1</v>
      </c>
      <c r="F102" s="48" t="n">
        <v>81</v>
      </c>
      <c r="J102" s="9" t="n">
        <v>44072</v>
      </c>
      <c r="K102" s="39" t="inlineStr">
        <is>
          <t>토</t>
        </is>
      </c>
      <c r="L102" s="48" t="n">
        <v>3017600</v>
      </c>
      <c r="M102" s="48" t="n">
        <v>2000</v>
      </c>
      <c r="N102" s="48" t="n">
        <v>3019600</v>
      </c>
    </row>
    <row r="103">
      <c r="B103" s="9" t="n">
        <v>44073</v>
      </c>
      <c r="C103" s="39" t="inlineStr">
        <is>
          <t>일</t>
        </is>
      </c>
      <c r="D103" s="48" t="n">
        <v>96</v>
      </c>
      <c r="E103" s="48" t="n">
        <v>2</v>
      </c>
      <c r="F103" s="48" t="n">
        <v>98</v>
      </c>
      <c r="J103" s="9" t="n">
        <v>44073</v>
      </c>
      <c r="K103" s="39" t="inlineStr">
        <is>
          <t>일</t>
        </is>
      </c>
      <c r="L103" s="48" t="n">
        <v>3760000</v>
      </c>
      <c r="M103" s="48" t="n">
        <v>4000</v>
      </c>
      <c r="N103" s="48" t="n">
        <v>3764000</v>
      </c>
    </row>
    <row r="104">
      <c r="B104" s="9" t="n">
        <v>44074</v>
      </c>
      <c r="C104" s="39" t="inlineStr">
        <is>
          <t>월</t>
        </is>
      </c>
      <c r="D104" s="48" t="n">
        <v>97</v>
      </c>
      <c r="E104" s="48" t="n">
        <v>1</v>
      </c>
      <c r="F104" s="48" t="n">
        <v>98</v>
      </c>
      <c r="J104" s="9" t="n">
        <v>44074</v>
      </c>
      <c r="K104" s="39" t="inlineStr">
        <is>
          <t>월</t>
        </is>
      </c>
      <c r="L104" s="48" t="n">
        <v>3620400</v>
      </c>
      <c r="M104" s="48" t="n">
        <v>2000</v>
      </c>
      <c r="N104" s="48" t="n">
        <v>3622400</v>
      </c>
    </row>
    <row r="105">
      <c r="B105" s="9" t="n">
        <v>44075</v>
      </c>
      <c r="C105" s="39" t="inlineStr">
        <is>
          <t>화</t>
        </is>
      </c>
      <c r="D105" s="48" t="n">
        <v>109</v>
      </c>
      <c r="E105" s="48" t="n">
        <v>2</v>
      </c>
      <c r="F105" s="48" t="n">
        <v>111</v>
      </c>
      <c r="J105" s="9" t="n">
        <v>44075</v>
      </c>
      <c r="K105" s="39" t="inlineStr">
        <is>
          <t>화</t>
        </is>
      </c>
      <c r="L105" s="48" t="n">
        <v>4177200</v>
      </c>
      <c r="M105" s="48" t="n">
        <v>4000</v>
      </c>
      <c r="N105" s="48" t="n">
        <v>4181200</v>
      </c>
    </row>
    <row r="106">
      <c r="B106" s="9" t="n">
        <v>44076</v>
      </c>
      <c r="C106" s="39" t="inlineStr">
        <is>
          <t>수</t>
        </is>
      </c>
      <c r="D106" s="48" t="n">
        <v>106</v>
      </c>
      <c r="E106" s="48" t="n">
        <v>3</v>
      </c>
      <c r="F106" s="48" t="n">
        <v>109</v>
      </c>
      <c r="J106" s="9" t="n">
        <v>44076</v>
      </c>
      <c r="K106" s="39" t="inlineStr">
        <is>
          <t>수</t>
        </is>
      </c>
      <c r="L106" s="48" t="n">
        <v>4000800</v>
      </c>
      <c r="M106" s="48" t="n">
        <v>6000</v>
      </c>
      <c r="N106" s="48" t="n">
        <v>4006800</v>
      </c>
    </row>
    <row r="107">
      <c r="B107" s="9" t="n">
        <v>44077</v>
      </c>
      <c r="C107" s="39" t="inlineStr">
        <is>
          <t>목</t>
        </is>
      </c>
      <c r="D107" s="48" t="n">
        <v>87</v>
      </c>
      <c r="E107" s="48" t="n">
        <v>2</v>
      </c>
      <c r="F107" s="48" t="n">
        <v>89</v>
      </c>
      <c r="J107" s="9" t="n">
        <v>44077</v>
      </c>
      <c r="K107" s="39" t="inlineStr">
        <is>
          <t>목</t>
        </is>
      </c>
      <c r="L107" s="48" t="n">
        <v>3454000</v>
      </c>
      <c r="M107" s="48" t="n">
        <v>4000</v>
      </c>
      <c r="N107" s="48" t="n">
        <v>3458000</v>
      </c>
    </row>
    <row r="108">
      <c r="B108" s="9" t="n">
        <v>44078</v>
      </c>
      <c r="C108" s="39" t="inlineStr">
        <is>
          <t>금</t>
        </is>
      </c>
      <c r="D108" s="48" t="n">
        <v>97</v>
      </c>
      <c r="E108" s="48" t="n"/>
      <c r="F108" s="48" t="n">
        <v>97</v>
      </c>
      <c r="J108" s="9" t="n">
        <v>44078</v>
      </c>
      <c r="K108" s="39" t="inlineStr">
        <is>
          <t>금</t>
        </is>
      </c>
      <c r="L108" s="48" t="n">
        <v>3744400</v>
      </c>
      <c r="M108" s="48" t="n"/>
      <c r="N108" s="48" t="n">
        <v>3744400</v>
      </c>
    </row>
    <row r="109">
      <c r="B109" s="9" t="n">
        <v>44079</v>
      </c>
      <c r="C109" s="39" t="inlineStr">
        <is>
          <t>토</t>
        </is>
      </c>
      <c r="D109" s="48" t="n">
        <v>80</v>
      </c>
      <c r="E109" s="48" t="n">
        <v>2</v>
      </c>
      <c r="F109" s="48" t="n">
        <v>82</v>
      </c>
      <c r="J109" s="9" t="n">
        <v>44079</v>
      </c>
      <c r="K109" s="39" t="inlineStr">
        <is>
          <t>토</t>
        </is>
      </c>
      <c r="L109" s="48" t="n">
        <v>3042400</v>
      </c>
      <c r="M109" s="48" t="n">
        <v>4000</v>
      </c>
      <c r="N109" s="48" t="n">
        <v>3046400</v>
      </c>
    </row>
    <row r="110">
      <c r="B110" s="9" t="n">
        <v>44080</v>
      </c>
      <c r="C110" s="39" t="inlineStr">
        <is>
          <t>일</t>
        </is>
      </c>
      <c r="D110" s="48" t="n">
        <v>83</v>
      </c>
      <c r="E110" s="48" t="n">
        <v>1</v>
      </c>
      <c r="F110" s="48" t="n">
        <v>84</v>
      </c>
      <c r="J110" s="9" t="n">
        <v>44080</v>
      </c>
      <c r="K110" s="39" t="inlineStr">
        <is>
          <t>일</t>
        </is>
      </c>
      <c r="L110" s="48" t="n">
        <v>3130800</v>
      </c>
      <c r="M110" s="48" t="n">
        <v>2000</v>
      </c>
      <c r="N110" s="48" t="n">
        <v>3132800</v>
      </c>
    </row>
    <row r="111">
      <c r="B111" s="9" t="n">
        <v>44081</v>
      </c>
      <c r="C111" s="39" t="inlineStr">
        <is>
          <t>월</t>
        </is>
      </c>
      <c r="D111" s="48" t="n">
        <v>83</v>
      </c>
      <c r="E111" s="48" t="n">
        <v>4</v>
      </c>
      <c r="F111" s="48" t="n">
        <v>87</v>
      </c>
      <c r="J111" s="9" t="n">
        <v>44081</v>
      </c>
      <c r="K111" s="39" t="inlineStr">
        <is>
          <t>월</t>
        </is>
      </c>
      <c r="L111" s="48" t="n">
        <v>3094800</v>
      </c>
      <c r="M111" s="48" t="n">
        <v>8000</v>
      </c>
      <c r="N111" s="48" t="n">
        <v>3102800</v>
      </c>
    </row>
    <row r="112">
      <c r="B112" s="9" t="n">
        <v>44082</v>
      </c>
      <c r="C112" s="39" t="inlineStr">
        <is>
          <t>화</t>
        </is>
      </c>
      <c r="D112" s="48" t="n">
        <v>78</v>
      </c>
      <c r="E112" s="48" t="n">
        <v>7</v>
      </c>
      <c r="F112" s="48" t="n">
        <v>85</v>
      </c>
      <c r="J112" s="9" t="n">
        <v>44082</v>
      </c>
      <c r="K112" s="39" t="inlineStr">
        <is>
          <t>화</t>
        </is>
      </c>
      <c r="L112" s="48" t="n">
        <v>3098400</v>
      </c>
      <c r="M112" s="48" t="n">
        <v>14000</v>
      </c>
      <c r="N112" s="48" t="n">
        <v>3112400</v>
      </c>
    </row>
    <row r="113">
      <c r="B113" s="9" t="n">
        <v>44083</v>
      </c>
      <c r="C113" s="39" t="inlineStr">
        <is>
          <t>수</t>
        </is>
      </c>
      <c r="D113" s="48" t="n">
        <v>89</v>
      </c>
      <c r="E113" s="48" t="n">
        <v>2</v>
      </c>
      <c r="F113" s="48" t="n">
        <v>91</v>
      </c>
      <c r="J113" s="9" t="n">
        <v>44083</v>
      </c>
      <c r="K113" s="39" t="inlineStr">
        <is>
          <t>수</t>
        </is>
      </c>
      <c r="L113" s="48" t="n">
        <v>3497200</v>
      </c>
      <c r="M113" s="48" t="n">
        <v>4000</v>
      </c>
      <c r="N113" s="48" t="n">
        <v>3501200</v>
      </c>
    </row>
    <row r="114">
      <c r="B114" s="9" t="n">
        <v>44084</v>
      </c>
      <c r="C114" s="39" t="inlineStr">
        <is>
          <t>목</t>
        </is>
      </c>
      <c r="D114" s="48" t="n">
        <v>80</v>
      </c>
      <c r="E114" s="48" t="n">
        <v>1</v>
      </c>
      <c r="F114" s="48" t="n">
        <v>81</v>
      </c>
      <c r="J114" s="9" t="n">
        <v>44084</v>
      </c>
      <c r="K114" s="39" t="inlineStr">
        <is>
          <t>목</t>
        </is>
      </c>
      <c r="L114" s="48" t="n">
        <v>2992800</v>
      </c>
      <c r="M114" s="48" t="n">
        <v>2000</v>
      </c>
      <c r="N114" s="48" t="n">
        <v>2994800</v>
      </c>
    </row>
    <row r="115">
      <c r="B115" s="9" t="n">
        <v>44085</v>
      </c>
      <c r="C115" s="39" t="inlineStr">
        <is>
          <t>금</t>
        </is>
      </c>
      <c r="D115" s="48" t="n">
        <v>87</v>
      </c>
      <c r="E115" s="48" t="n">
        <v>3</v>
      </c>
      <c r="F115" s="48" t="n">
        <v>90</v>
      </c>
      <c r="J115" s="9" t="n">
        <v>44085</v>
      </c>
      <c r="K115" s="39" t="inlineStr">
        <is>
          <t>금</t>
        </is>
      </c>
      <c r="L115" s="48" t="n">
        <v>3454000</v>
      </c>
      <c r="M115" s="48" t="n">
        <v>6000</v>
      </c>
      <c r="N115" s="48" t="n">
        <v>3460000</v>
      </c>
    </row>
    <row r="116">
      <c r="B116" s="9" t="n">
        <v>44086</v>
      </c>
      <c r="C116" s="39" t="inlineStr">
        <is>
          <t>토</t>
        </is>
      </c>
      <c r="D116" s="48" t="n">
        <v>77</v>
      </c>
      <c r="E116" s="48" t="n">
        <v>2</v>
      </c>
      <c r="F116" s="48" t="n">
        <v>79</v>
      </c>
      <c r="J116" s="9" t="n">
        <v>44086</v>
      </c>
      <c r="K116" s="39" t="inlineStr">
        <is>
          <t>토</t>
        </is>
      </c>
      <c r="L116" s="48" t="n">
        <v>2940400</v>
      </c>
      <c r="M116" s="48" t="n">
        <v>4000</v>
      </c>
      <c r="N116" s="48" t="n">
        <v>2944400</v>
      </c>
    </row>
    <row r="117">
      <c r="B117" s="9" t="n">
        <v>44087</v>
      </c>
      <c r="C117" s="39" t="inlineStr">
        <is>
          <t>일</t>
        </is>
      </c>
      <c r="D117" s="48" t="n">
        <v>82</v>
      </c>
      <c r="E117" s="48" t="n">
        <v>3</v>
      </c>
      <c r="F117" s="48" t="n">
        <v>85</v>
      </c>
      <c r="J117" s="9" t="n">
        <v>44087</v>
      </c>
      <c r="K117" s="39" t="inlineStr">
        <is>
          <t>일</t>
        </is>
      </c>
      <c r="L117" s="48" t="n">
        <v>3284000</v>
      </c>
      <c r="M117" s="48" t="n">
        <v>6000</v>
      </c>
      <c r="N117" s="48" t="n">
        <v>3290000</v>
      </c>
    </row>
    <row r="118">
      <c r="B118" s="9" t="n">
        <v>44088</v>
      </c>
      <c r="C118" s="39" t="inlineStr">
        <is>
          <t>월</t>
        </is>
      </c>
      <c r="D118" s="48" t="n">
        <v>92</v>
      </c>
      <c r="E118" s="48" t="n">
        <v>3</v>
      </c>
      <c r="F118" s="48" t="n">
        <v>95</v>
      </c>
      <c r="J118" s="9" t="n">
        <v>44088</v>
      </c>
      <c r="K118" s="39" t="inlineStr">
        <is>
          <t>월</t>
        </is>
      </c>
      <c r="L118" s="48" t="n">
        <v>3610400</v>
      </c>
      <c r="M118" s="48" t="n">
        <v>6000</v>
      </c>
      <c r="N118" s="48" t="n">
        <v>3616400</v>
      </c>
    </row>
    <row r="119">
      <c r="B119" s="9" t="n">
        <v>44089</v>
      </c>
      <c r="C119" s="39" t="inlineStr">
        <is>
          <t>화</t>
        </is>
      </c>
      <c r="D119" s="48" t="n">
        <v>98</v>
      </c>
      <c r="E119" s="48" t="n">
        <v>1</v>
      </c>
      <c r="F119" s="48" t="n">
        <v>99</v>
      </c>
      <c r="J119" s="9" t="n">
        <v>44089</v>
      </c>
      <c r="K119" s="39" t="inlineStr">
        <is>
          <t>화</t>
        </is>
      </c>
      <c r="L119" s="48" t="n">
        <v>3902400</v>
      </c>
      <c r="M119" s="48" t="n">
        <v>2000</v>
      </c>
      <c r="N119" s="48" t="n">
        <v>3904400</v>
      </c>
    </row>
    <row r="120">
      <c r="B120" s="9" t="n">
        <v>44090</v>
      </c>
      <c r="C120" s="39" t="inlineStr">
        <is>
          <t>수</t>
        </is>
      </c>
      <c r="D120" s="48" t="n">
        <v>77</v>
      </c>
      <c r="E120" s="48" t="n">
        <v>1</v>
      </c>
      <c r="F120" s="48" t="n">
        <v>78</v>
      </c>
      <c r="J120" s="9" t="n">
        <v>44090</v>
      </c>
      <c r="K120" s="39" t="inlineStr">
        <is>
          <t>수</t>
        </is>
      </c>
      <c r="L120" s="48" t="n">
        <v>2965200</v>
      </c>
      <c r="M120" s="48" t="n">
        <v>2000</v>
      </c>
      <c r="N120" s="48" t="n">
        <v>2967200</v>
      </c>
    </row>
    <row r="121">
      <c r="B121" s="9" t="n">
        <v>44091</v>
      </c>
      <c r="C121" s="39" t="inlineStr">
        <is>
          <t>목</t>
        </is>
      </c>
      <c r="D121" s="48" t="n">
        <v>88</v>
      </c>
      <c r="E121" s="48" t="n">
        <v>1</v>
      </c>
      <c r="F121" s="48" t="n">
        <v>89</v>
      </c>
      <c r="J121" s="9" t="n">
        <v>44091</v>
      </c>
      <c r="K121" s="39" t="inlineStr">
        <is>
          <t>목</t>
        </is>
      </c>
      <c r="L121" s="48" t="n">
        <v>3463200</v>
      </c>
      <c r="M121" s="48" t="n">
        <v>2000</v>
      </c>
      <c r="N121" s="48" t="n">
        <v>3465200</v>
      </c>
    </row>
    <row r="122">
      <c r="B122" s="9" t="n">
        <v>44092</v>
      </c>
      <c r="C122" s="39" t="inlineStr">
        <is>
          <t>금</t>
        </is>
      </c>
      <c r="D122" s="48" t="n">
        <v>86</v>
      </c>
      <c r="E122" s="48" t="n"/>
      <c r="F122" s="48" t="n">
        <v>86</v>
      </c>
      <c r="J122" s="9" t="n">
        <v>44092</v>
      </c>
      <c r="K122" s="39" t="inlineStr">
        <is>
          <t>금</t>
        </is>
      </c>
      <c r="L122" s="48" t="n">
        <v>3568800</v>
      </c>
      <c r="M122" s="48" t="n"/>
      <c r="N122" s="48" t="n">
        <v>3568800</v>
      </c>
    </row>
    <row r="123">
      <c r="B123" s="9" t="n">
        <v>44093</v>
      </c>
      <c r="C123" s="39" t="inlineStr">
        <is>
          <t>토</t>
        </is>
      </c>
      <c r="D123" s="48" t="n">
        <v>84</v>
      </c>
      <c r="E123" s="48" t="n">
        <v>4</v>
      </c>
      <c r="F123" s="48" t="n">
        <v>88</v>
      </c>
      <c r="J123" s="9" t="n">
        <v>44093</v>
      </c>
      <c r="K123" s="39" t="inlineStr">
        <is>
          <t>토</t>
        </is>
      </c>
      <c r="L123" s="48" t="n">
        <v>3426400</v>
      </c>
      <c r="M123" s="48" t="n">
        <v>8000</v>
      </c>
      <c r="N123" s="48" t="n">
        <v>3434400</v>
      </c>
    </row>
    <row r="124">
      <c r="B124" s="9" t="n">
        <v>44094</v>
      </c>
      <c r="C124" s="39" t="inlineStr">
        <is>
          <t>일</t>
        </is>
      </c>
      <c r="D124" s="48" t="n">
        <v>101</v>
      </c>
      <c r="E124" s="48" t="n">
        <v>2</v>
      </c>
      <c r="F124" s="48" t="n">
        <v>103</v>
      </c>
      <c r="J124" s="9" t="n">
        <v>44094</v>
      </c>
      <c r="K124" s="39" t="inlineStr">
        <is>
          <t>일</t>
        </is>
      </c>
      <c r="L124" s="48" t="n">
        <v>3880400</v>
      </c>
      <c r="M124" s="48" t="n">
        <v>4000</v>
      </c>
      <c r="N124" s="48" t="n">
        <v>3884400</v>
      </c>
    </row>
    <row r="125">
      <c r="B125" s="9" t="n">
        <v>44095</v>
      </c>
      <c r="C125" s="39" t="inlineStr">
        <is>
          <t>월</t>
        </is>
      </c>
      <c r="D125" s="48" t="n">
        <v>89</v>
      </c>
      <c r="E125" s="48" t="n">
        <v>2</v>
      </c>
      <c r="F125" s="48" t="n">
        <v>91</v>
      </c>
      <c r="J125" s="9" t="n">
        <v>44095</v>
      </c>
      <c r="K125" s="39" t="inlineStr">
        <is>
          <t>월</t>
        </is>
      </c>
      <c r="L125" s="48" t="n">
        <v>3546800</v>
      </c>
      <c r="M125" s="48" t="n">
        <v>4000</v>
      </c>
      <c r="N125" s="48" t="n">
        <v>3550800</v>
      </c>
    </row>
    <row r="126">
      <c r="B126" s="9" t="n">
        <v>44096</v>
      </c>
      <c r="C126" s="39" t="inlineStr">
        <is>
          <t>화</t>
        </is>
      </c>
      <c r="D126" s="48" t="n">
        <v>97</v>
      </c>
      <c r="E126" s="48" t="n">
        <v>1</v>
      </c>
      <c r="F126" s="48" t="n">
        <v>98</v>
      </c>
      <c r="J126" s="9" t="n">
        <v>44096</v>
      </c>
      <c r="K126" s="39" t="inlineStr">
        <is>
          <t>화</t>
        </is>
      </c>
      <c r="L126" s="48" t="n">
        <v>3794000</v>
      </c>
      <c r="M126" s="48" t="n">
        <v>2000</v>
      </c>
      <c r="N126" s="48" t="n">
        <v>3796000</v>
      </c>
    </row>
    <row r="127">
      <c r="B127" s="9" t="n">
        <v>44097</v>
      </c>
      <c r="C127" s="39" t="inlineStr">
        <is>
          <t>수</t>
        </is>
      </c>
      <c r="D127" s="48" t="n">
        <v>103</v>
      </c>
      <c r="E127" s="48" t="n">
        <v>2</v>
      </c>
      <c r="F127" s="48" t="n">
        <v>105</v>
      </c>
      <c r="J127" s="9" t="n">
        <v>44097</v>
      </c>
      <c r="K127" s="39" t="inlineStr">
        <is>
          <t>수</t>
        </is>
      </c>
      <c r="L127" s="48" t="n">
        <v>4122000</v>
      </c>
      <c r="M127" s="48" t="n">
        <v>4000</v>
      </c>
      <c r="N127" s="48" t="n">
        <v>4126000</v>
      </c>
    </row>
    <row r="128">
      <c r="B128" s="9" t="n">
        <v>44098</v>
      </c>
      <c r="C128" s="39" t="inlineStr">
        <is>
          <t>목</t>
        </is>
      </c>
      <c r="D128" s="48" t="n">
        <v>106</v>
      </c>
      <c r="E128" s="48" t="n">
        <v>4</v>
      </c>
      <c r="F128" s="48" t="n">
        <v>110</v>
      </c>
      <c r="J128" s="9" t="n">
        <v>44098</v>
      </c>
      <c r="K128" s="39" t="inlineStr">
        <is>
          <t>목</t>
        </is>
      </c>
      <c r="L128" s="48" t="n">
        <v>4174400</v>
      </c>
      <c r="M128" s="48" t="n">
        <v>8000</v>
      </c>
      <c r="N128" s="48" t="n">
        <v>4182400</v>
      </c>
    </row>
    <row r="129">
      <c r="B129" s="9" t="n">
        <v>44099</v>
      </c>
      <c r="C129" s="39" t="inlineStr">
        <is>
          <t>금</t>
        </is>
      </c>
      <c r="D129" s="48" t="n">
        <v>107</v>
      </c>
      <c r="E129" s="48" t="n">
        <v>1</v>
      </c>
      <c r="F129" s="48" t="n">
        <v>108</v>
      </c>
      <c r="J129" s="9" t="n">
        <v>44099</v>
      </c>
      <c r="K129" s="39" t="inlineStr">
        <is>
          <t>금</t>
        </is>
      </c>
      <c r="L129" s="48" t="n">
        <v>4158800</v>
      </c>
      <c r="M129" s="48" t="n">
        <v>2000</v>
      </c>
      <c r="N129" s="48" t="n">
        <v>4160800</v>
      </c>
    </row>
    <row r="130">
      <c r="B130" s="9" t="n">
        <v>44100</v>
      </c>
      <c r="C130" s="39" t="inlineStr">
        <is>
          <t>토</t>
        </is>
      </c>
      <c r="D130" s="48" t="n">
        <v>140</v>
      </c>
      <c r="E130" s="48" t="n">
        <v>2</v>
      </c>
      <c r="F130" s="48" t="n">
        <v>142</v>
      </c>
      <c r="J130" s="9" t="n">
        <v>44100</v>
      </c>
      <c r="K130" s="39" t="inlineStr">
        <is>
          <t>토</t>
        </is>
      </c>
      <c r="L130" s="48" t="n">
        <v>5454400</v>
      </c>
      <c r="M130" s="48" t="n">
        <v>4000</v>
      </c>
      <c r="N130" s="48" t="n">
        <v>5458400</v>
      </c>
    </row>
    <row r="131">
      <c r="B131" s="9" t="n">
        <v>44101</v>
      </c>
      <c r="C131" s="39" t="inlineStr">
        <is>
          <t>일</t>
        </is>
      </c>
      <c r="D131" s="48" t="n">
        <v>177</v>
      </c>
      <c r="E131" s="48" t="n">
        <v>5</v>
      </c>
      <c r="F131" s="48" t="n">
        <v>182</v>
      </c>
      <c r="J131" s="9" t="n">
        <v>44101</v>
      </c>
      <c r="K131" s="39" t="inlineStr">
        <is>
          <t>일</t>
        </is>
      </c>
      <c r="L131" s="48" t="n">
        <v>7109200</v>
      </c>
      <c r="M131" s="48" t="n">
        <v>10000</v>
      </c>
      <c r="N131" s="48" t="n">
        <v>7119200</v>
      </c>
    </row>
    <row r="132">
      <c r="B132" s="9" t="n">
        <v>44102</v>
      </c>
      <c r="C132" s="39" t="inlineStr">
        <is>
          <t>월</t>
        </is>
      </c>
      <c r="D132" s="48" t="n">
        <v>165</v>
      </c>
      <c r="E132" s="48" t="n">
        <v>1</v>
      </c>
      <c r="F132" s="48" t="n">
        <v>166</v>
      </c>
      <c r="J132" s="9" t="n">
        <v>44102</v>
      </c>
      <c r="K132" s="39" t="inlineStr">
        <is>
          <t>월</t>
        </is>
      </c>
      <c r="L132" s="48" t="n">
        <v>6577200</v>
      </c>
      <c r="M132" s="48" t="n">
        <v>2000</v>
      </c>
      <c r="N132" s="48" t="n">
        <v>6579200</v>
      </c>
    </row>
    <row r="133">
      <c r="B133" s="9" t="n">
        <v>44103</v>
      </c>
      <c r="C133" s="39" t="inlineStr">
        <is>
          <t>화</t>
        </is>
      </c>
      <c r="D133" s="48" t="n">
        <v>223</v>
      </c>
      <c r="E133" s="48" t="n">
        <v>2</v>
      </c>
      <c r="F133" s="48" t="n">
        <v>225</v>
      </c>
      <c r="J133" s="9" t="n">
        <v>44103</v>
      </c>
      <c r="K133" s="39" t="inlineStr">
        <is>
          <t>화</t>
        </is>
      </c>
      <c r="L133" s="48" t="n">
        <v>9117200</v>
      </c>
      <c r="M133" s="48" t="n">
        <v>4000</v>
      </c>
      <c r="N133" s="48" t="n">
        <v>9121200</v>
      </c>
    </row>
    <row r="134">
      <c r="B134" s="9" t="n">
        <v>44104</v>
      </c>
      <c r="C134" s="39" t="inlineStr">
        <is>
          <t>수</t>
        </is>
      </c>
      <c r="D134" s="48" t="n">
        <v>327</v>
      </c>
      <c r="E134" s="48" t="n">
        <v>3</v>
      </c>
      <c r="F134" s="48" t="n">
        <v>330</v>
      </c>
      <c r="J134" s="9" t="n">
        <v>44104</v>
      </c>
      <c r="K134" s="39" t="inlineStr">
        <is>
          <t>수</t>
        </is>
      </c>
      <c r="L134" s="48" t="n">
        <v>13151600</v>
      </c>
      <c r="M134" s="48" t="n">
        <v>6000</v>
      </c>
      <c r="N134" s="48" t="n">
        <v>13157600</v>
      </c>
    </row>
    <row r="135">
      <c r="B135" s="9" t="n">
        <v>44105</v>
      </c>
      <c r="C135" s="39" t="inlineStr">
        <is>
          <t>목</t>
        </is>
      </c>
      <c r="D135" s="48" t="n">
        <v>343</v>
      </c>
      <c r="E135" s="48" t="n">
        <v>4</v>
      </c>
      <c r="F135" s="48" t="n">
        <v>347</v>
      </c>
      <c r="J135" s="9" t="n">
        <v>44105</v>
      </c>
      <c r="K135" s="39" t="inlineStr">
        <is>
          <t>목</t>
        </is>
      </c>
      <c r="L135" s="48" t="n">
        <v>13670800</v>
      </c>
      <c r="M135" s="48" t="n">
        <v>8000</v>
      </c>
      <c r="N135" s="48" t="n">
        <v>13678800</v>
      </c>
    </row>
    <row r="136">
      <c r="B136" s="9" t="n">
        <v>44106</v>
      </c>
      <c r="C136" s="39" t="inlineStr">
        <is>
          <t>금</t>
        </is>
      </c>
      <c r="D136" s="48" t="n">
        <v>320</v>
      </c>
      <c r="E136" s="48" t="n">
        <v>7</v>
      </c>
      <c r="F136" s="48" t="n">
        <v>327</v>
      </c>
      <c r="J136" s="9" t="n">
        <v>44106</v>
      </c>
      <c r="K136" s="39" t="inlineStr">
        <is>
          <t>금</t>
        </is>
      </c>
      <c r="L136" s="48" t="n">
        <v>12776000</v>
      </c>
      <c r="M136" s="48" t="n">
        <v>14000</v>
      </c>
      <c r="N136" s="48" t="n">
        <v>12790000</v>
      </c>
    </row>
    <row r="137">
      <c r="B137" s="9" t="n">
        <v>44107</v>
      </c>
      <c r="C137" s="39" t="inlineStr">
        <is>
          <t>토</t>
        </is>
      </c>
      <c r="D137" s="48" t="n">
        <v>342</v>
      </c>
      <c r="E137" s="48" t="n">
        <v>9</v>
      </c>
      <c r="F137" s="48" t="n">
        <v>351</v>
      </c>
      <c r="J137" s="9" t="n">
        <v>44107</v>
      </c>
      <c r="K137" s="39" t="inlineStr">
        <is>
          <t>토</t>
        </is>
      </c>
      <c r="L137" s="48" t="n">
        <v>13314400</v>
      </c>
      <c r="M137" s="48" t="n">
        <v>18000</v>
      </c>
      <c r="N137" s="48" t="n">
        <v>13332400</v>
      </c>
    </row>
    <row r="138">
      <c r="B138" s="9" t="n">
        <v>44108</v>
      </c>
      <c r="C138" s="39" t="inlineStr">
        <is>
          <t>일</t>
        </is>
      </c>
      <c r="D138" s="48" t="n">
        <v>311</v>
      </c>
      <c r="E138" s="48" t="n">
        <v>4</v>
      </c>
      <c r="F138" s="48" t="n">
        <v>315</v>
      </c>
      <c r="J138" s="9" t="n">
        <v>44108</v>
      </c>
      <c r="K138" s="39" t="inlineStr">
        <is>
          <t>일</t>
        </is>
      </c>
      <c r="L138" s="48" t="n">
        <v>12409200</v>
      </c>
      <c r="M138" s="48" t="n">
        <v>8000</v>
      </c>
      <c r="N138" s="48" t="n">
        <v>12417200</v>
      </c>
    </row>
    <row r="139">
      <c r="B139" s="9" t="n">
        <v>44109</v>
      </c>
      <c r="C139" s="39" t="inlineStr">
        <is>
          <t>월</t>
        </is>
      </c>
      <c r="D139" s="48" t="n">
        <v>272</v>
      </c>
      <c r="E139" s="48" t="n">
        <v>6</v>
      </c>
      <c r="F139" s="48" t="n">
        <v>278</v>
      </c>
      <c r="J139" s="9" t="n">
        <v>44109</v>
      </c>
      <c r="K139" s="39" t="inlineStr">
        <is>
          <t>월</t>
        </is>
      </c>
      <c r="L139" s="48" t="n">
        <v>11008800</v>
      </c>
      <c r="M139" s="48" t="n">
        <v>12000</v>
      </c>
      <c r="N139" s="48" t="n">
        <v>11020800</v>
      </c>
    </row>
    <row r="140">
      <c r="B140" s="9" t="n">
        <v>44110</v>
      </c>
      <c r="C140" s="39" t="inlineStr">
        <is>
          <t>화</t>
        </is>
      </c>
      <c r="D140" s="48" t="n">
        <v>259</v>
      </c>
      <c r="E140" s="48" t="n">
        <v>6</v>
      </c>
      <c r="F140" s="48" t="n">
        <v>265</v>
      </c>
      <c r="J140" s="9" t="n">
        <v>44110</v>
      </c>
      <c r="K140" s="39" t="inlineStr">
        <is>
          <t>화</t>
        </is>
      </c>
      <c r="L140" s="48" t="n">
        <v>10740400</v>
      </c>
      <c r="M140" s="48" t="n">
        <v>12000</v>
      </c>
      <c r="N140" s="48" t="n">
        <v>10752400</v>
      </c>
    </row>
    <row r="141">
      <c r="B141" s="9" t="n">
        <v>44111</v>
      </c>
      <c r="C141" s="39" t="inlineStr">
        <is>
          <t>수</t>
        </is>
      </c>
      <c r="D141" s="48" t="n">
        <v>266</v>
      </c>
      <c r="E141" s="48" t="n">
        <v>4</v>
      </c>
      <c r="F141" s="48" t="n">
        <v>270</v>
      </c>
      <c r="J141" s="9" t="n">
        <v>44111</v>
      </c>
      <c r="K141" s="39" t="inlineStr">
        <is>
          <t>수</t>
        </is>
      </c>
      <c r="L141" s="48" t="n">
        <v>10940000</v>
      </c>
      <c r="M141" s="48" t="n">
        <v>8000</v>
      </c>
      <c r="N141" s="48" t="n">
        <v>10948000</v>
      </c>
    </row>
    <row r="142">
      <c r="B142" s="9" t="n">
        <v>44112</v>
      </c>
      <c r="C142" s="39" t="inlineStr">
        <is>
          <t>목</t>
        </is>
      </c>
      <c r="D142" s="48" t="n">
        <v>194</v>
      </c>
      <c r="E142" s="48" t="n">
        <v>4</v>
      </c>
      <c r="F142" s="48" t="n">
        <v>198</v>
      </c>
      <c r="J142" s="9" t="n">
        <v>44112</v>
      </c>
      <c r="K142" s="39" t="inlineStr">
        <is>
          <t>목</t>
        </is>
      </c>
      <c r="L142" s="48" t="n">
        <v>7860800</v>
      </c>
      <c r="M142" s="48" t="n">
        <v>8000</v>
      </c>
      <c r="N142" s="48" t="n">
        <v>7868800</v>
      </c>
    </row>
    <row r="143">
      <c r="B143" s="9" t="n">
        <v>44113</v>
      </c>
      <c r="C143" s="39" t="inlineStr">
        <is>
          <t>금</t>
        </is>
      </c>
      <c r="D143" s="48" t="n">
        <v>273</v>
      </c>
      <c r="E143" s="48" t="n">
        <v>5</v>
      </c>
      <c r="F143" s="48" t="n">
        <v>278</v>
      </c>
      <c r="J143" s="9" t="n">
        <v>44113</v>
      </c>
      <c r="K143" s="39" t="inlineStr">
        <is>
          <t>금</t>
        </is>
      </c>
      <c r="L143" s="48" t="n">
        <v>11018000</v>
      </c>
      <c r="M143" s="48" t="n">
        <v>10000</v>
      </c>
      <c r="N143" s="48" t="n">
        <v>11028000</v>
      </c>
    </row>
    <row r="144">
      <c r="B144" s="9" t="n">
        <v>44114</v>
      </c>
      <c r="C144" s="39" t="inlineStr">
        <is>
          <t>토</t>
        </is>
      </c>
      <c r="D144" s="48" t="n">
        <v>279</v>
      </c>
      <c r="E144" s="48" t="n">
        <v>4</v>
      </c>
      <c r="F144" s="48" t="n">
        <v>283</v>
      </c>
      <c r="J144" s="9" t="n">
        <v>44114</v>
      </c>
      <c r="K144" s="39" t="inlineStr">
        <is>
          <t>토</t>
        </is>
      </c>
      <c r="L144" s="48" t="n">
        <v>11122800</v>
      </c>
      <c r="M144" s="48" t="n">
        <v>8000</v>
      </c>
      <c r="N144" s="48" t="n">
        <v>11130800</v>
      </c>
    </row>
    <row r="145">
      <c r="B145" s="9" t="n">
        <v>44115</v>
      </c>
      <c r="C145" s="39" t="inlineStr">
        <is>
          <t>일</t>
        </is>
      </c>
      <c r="D145" s="48" t="n">
        <v>331</v>
      </c>
      <c r="E145" s="48" t="n">
        <v>10</v>
      </c>
      <c r="F145" s="48" t="n">
        <v>341</v>
      </c>
      <c r="J145" s="9" t="n">
        <v>44115</v>
      </c>
      <c r="K145" s="39" t="inlineStr">
        <is>
          <t>일</t>
        </is>
      </c>
      <c r="L145" s="48" t="n">
        <v>13014800</v>
      </c>
      <c r="M145" s="48" t="n">
        <v>20000</v>
      </c>
      <c r="N145" s="48" t="n">
        <v>13034800</v>
      </c>
    </row>
    <row r="146">
      <c r="B146" s="9" t="n">
        <v>44116</v>
      </c>
      <c r="C146" s="39" t="inlineStr">
        <is>
          <t>월</t>
        </is>
      </c>
      <c r="D146" s="48" t="n">
        <v>271</v>
      </c>
      <c r="E146" s="48" t="n">
        <v>5</v>
      </c>
      <c r="F146" s="48" t="n">
        <v>276</v>
      </c>
      <c r="J146" s="9" t="n">
        <v>44116</v>
      </c>
      <c r="K146" s="39" t="inlineStr">
        <is>
          <t>월</t>
        </is>
      </c>
      <c r="L146" s="48" t="n">
        <v>10850800</v>
      </c>
      <c r="M146" s="48" t="n">
        <v>10000</v>
      </c>
      <c r="N146" s="48" t="n">
        <v>10860800</v>
      </c>
    </row>
    <row r="147">
      <c r="B147" s="9" t="n">
        <v>44117</v>
      </c>
      <c r="C147" s="39" t="inlineStr">
        <is>
          <t>화</t>
        </is>
      </c>
      <c r="D147" s="48" t="n">
        <v>289</v>
      </c>
      <c r="E147" s="48" t="n">
        <v>8</v>
      </c>
      <c r="F147" s="48" t="n">
        <v>297</v>
      </c>
      <c r="J147" s="9" t="n">
        <v>44117</v>
      </c>
      <c r="K147" s="39" t="inlineStr">
        <is>
          <t>화</t>
        </is>
      </c>
      <c r="L147" s="48" t="n">
        <v>11487600</v>
      </c>
      <c r="M147" s="48" t="n">
        <v>16000</v>
      </c>
      <c r="N147" s="48" t="n">
        <v>11503600</v>
      </c>
    </row>
    <row r="148">
      <c r="B148" s="9" t="n">
        <v>44118</v>
      </c>
      <c r="C148" s="39" t="inlineStr">
        <is>
          <t>수</t>
        </is>
      </c>
      <c r="D148" s="48" t="n">
        <v>318</v>
      </c>
      <c r="E148" s="48" t="n">
        <v>4</v>
      </c>
      <c r="F148" s="48" t="n">
        <v>322</v>
      </c>
      <c r="J148" s="9" t="n">
        <v>44118</v>
      </c>
      <c r="K148" s="39" t="inlineStr">
        <is>
          <t>수</t>
        </is>
      </c>
      <c r="L148" s="48" t="n">
        <v>12523200</v>
      </c>
      <c r="M148" s="48" t="n">
        <v>8000</v>
      </c>
      <c r="N148" s="48" t="n">
        <v>12531200</v>
      </c>
    </row>
    <row r="149">
      <c r="B149" s="9" t="n">
        <v>44119</v>
      </c>
      <c r="C149" s="39" t="inlineStr">
        <is>
          <t>목</t>
        </is>
      </c>
      <c r="D149" s="48" t="n">
        <v>279</v>
      </c>
      <c r="E149" s="48" t="n">
        <v>6</v>
      </c>
      <c r="F149" s="48" t="n">
        <v>285</v>
      </c>
      <c r="J149" s="9" t="n">
        <v>44119</v>
      </c>
      <c r="K149" s="39" t="inlineStr">
        <is>
          <t>목</t>
        </is>
      </c>
      <c r="L149" s="48" t="n">
        <v>11467600</v>
      </c>
      <c r="M149" s="48" t="n">
        <v>12000</v>
      </c>
      <c r="N149" s="48" t="n">
        <v>11479600</v>
      </c>
    </row>
    <row r="150">
      <c r="B150" s="9" t="n">
        <v>44120</v>
      </c>
      <c r="C150" s="39" t="inlineStr">
        <is>
          <t>금</t>
        </is>
      </c>
      <c r="D150" s="48" t="n">
        <v>264</v>
      </c>
      <c r="E150" s="48" t="n">
        <v>6</v>
      </c>
      <c r="F150" s="48" t="n">
        <v>270</v>
      </c>
      <c r="J150" s="9" t="n">
        <v>44120</v>
      </c>
      <c r="K150" s="39" t="inlineStr">
        <is>
          <t>금</t>
        </is>
      </c>
      <c r="L150" s="48" t="n">
        <v>10786400</v>
      </c>
      <c r="M150" s="48" t="n">
        <v>12000</v>
      </c>
      <c r="N150" s="48" t="n">
        <v>10798400</v>
      </c>
    </row>
    <row r="151">
      <c r="B151" s="9" t="n">
        <v>44121</v>
      </c>
      <c r="C151" s="39" t="inlineStr">
        <is>
          <t>토</t>
        </is>
      </c>
      <c r="D151" s="48" t="n">
        <v>325</v>
      </c>
      <c r="E151" s="48" t="n">
        <v>4</v>
      </c>
      <c r="F151" s="48" t="n">
        <v>329</v>
      </c>
      <c r="J151" s="9" t="n">
        <v>44121</v>
      </c>
      <c r="K151" s="39" t="inlineStr">
        <is>
          <t>토</t>
        </is>
      </c>
      <c r="L151" s="48" t="n">
        <v>13133200</v>
      </c>
      <c r="M151" s="48" t="n">
        <v>8000</v>
      </c>
      <c r="N151" s="48" t="n">
        <v>13141200</v>
      </c>
    </row>
    <row r="152">
      <c r="B152" s="9" t="n">
        <v>44122</v>
      </c>
      <c r="C152" s="39" t="inlineStr">
        <is>
          <t>일</t>
        </is>
      </c>
      <c r="D152" s="48" t="n">
        <v>304</v>
      </c>
      <c r="E152" s="48" t="n">
        <v>7</v>
      </c>
      <c r="F152" s="48" t="n">
        <v>311</v>
      </c>
      <c r="J152" s="9" t="n">
        <v>44122</v>
      </c>
      <c r="K152" s="39" t="inlineStr">
        <is>
          <t>일</t>
        </is>
      </c>
      <c r="L152" s="48" t="n">
        <v>12369600</v>
      </c>
      <c r="M152" s="48" t="n">
        <v>14000</v>
      </c>
      <c r="N152" s="48" t="n">
        <v>12383600</v>
      </c>
    </row>
    <row r="153">
      <c r="B153" s="9" t="n">
        <v>44123</v>
      </c>
      <c r="C153" s="39" t="inlineStr">
        <is>
          <t>월</t>
        </is>
      </c>
      <c r="D153" s="48" t="n">
        <v>295</v>
      </c>
      <c r="E153" s="48" t="n">
        <v>5</v>
      </c>
      <c r="F153" s="48" t="n">
        <v>300</v>
      </c>
      <c r="J153" s="9" t="n">
        <v>44123</v>
      </c>
      <c r="K153" s="39" t="inlineStr">
        <is>
          <t>월</t>
        </is>
      </c>
      <c r="L153" s="48" t="n">
        <v>11666800</v>
      </c>
      <c r="M153" s="48" t="n">
        <v>10000</v>
      </c>
      <c r="N153" s="48" t="n">
        <v>11676800</v>
      </c>
    </row>
    <row r="154">
      <c r="B154" s="9" t="n">
        <v>44124</v>
      </c>
      <c r="C154" s="39" t="inlineStr">
        <is>
          <t>화</t>
        </is>
      </c>
      <c r="D154" s="48" t="n">
        <v>299</v>
      </c>
      <c r="E154" s="48" t="n">
        <v>7</v>
      </c>
      <c r="F154" s="48" t="n">
        <v>306</v>
      </c>
      <c r="J154" s="9" t="n">
        <v>44124</v>
      </c>
      <c r="K154" s="39" t="inlineStr">
        <is>
          <t>화</t>
        </is>
      </c>
      <c r="L154" s="48" t="n">
        <v>11926800</v>
      </c>
      <c r="M154" s="48" t="n">
        <v>14000</v>
      </c>
      <c r="N154" s="48" t="n">
        <v>11940800</v>
      </c>
    </row>
    <row r="155">
      <c r="B155" s="9" t="n">
        <v>44125</v>
      </c>
      <c r="C155" s="39" t="inlineStr">
        <is>
          <t>수</t>
        </is>
      </c>
      <c r="D155" s="48" t="n">
        <v>281</v>
      </c>
      <c r="E155" s="48" t="n">
        <v>5</v>
      </c>
      <c r="F155" s="48" t="n">
        <v>286</v>
      </c>
      <c r="J155" s="9" t="n">
        <v>44125</v>
      </c>
      <c r="K155" s="39" t="inlineStr">
        <is>
          <t>수</t>
        </is>
      </c>
      <c r="L155" s="48" t="n">
        <v>11463600</v>
      </c>
      <c r="M155" s="48" t="n">
        <v>10000</v>
      </c>
      <c r="N155" s="48" t="n">
        <v>11473600</v>
      </c>
    </row>
    <row r="156">
      <c r="B156" s="9" t="n">
        <v>44126</v>
      </c>
      <c r="C156" s="39" t="inlineStr">
        <is>
          <t>목</t>
        </is>
      </c>
      <c r="D156" s="48" t="n">
        <v>308</v>
      </c>
      <c r="E156" s="48" t="n">
        <v>3</v>
      </c>
      <c r="F156" s="48" t="n">
        <v>311</v>
      </c>
      <c r="J156" s="9" t="n">
        <v>44126</v>
      </c>
      <c r="K156" s="39" t="inlineStr">
        <is>
          <t>목</t>
        </is>
      </c>
      <c r="L156" s="48" t="n">
        <v>12679200</v>
      </c>
      <c r="M156" s="48" t="n">
        <v>6000</v>
      </c>
      <c r="N156" s="48" t="n">
        <v>12685200</v>
      </c>
    </row>
    <row r="157">
      <c r="B157" s="9" t="n">
        <v>44127</v>
      </c>
      <c r="C157" s="39" t="inlineStr">
        <is>
          <t>금</t>
        </is>
      </c>
      <c r="D157" s="48" t="n">
        <v>302</v>
      </c>
      <c r="E157" s="48" t="n">
        <v>9</v>
      </c>
      <c r="F157" s="48" t="n">
        <v>311</v>
      </c>
      <c r="J157" s="9" t="n">
        <v>44127</v>
      </c>
      <c r="K157" s="39" t="inlineStr">
        <is>
          <t>금</t>
        </is>
      </c>
      <c r="L157" s="48" t="n">
        <v>12152800</v>
      </c>
      <c r="M157" s="48" t="n">
        <v>18000</v>
      </c>
      <c r="N157" s="48" t="n">
        <v>12170800</v>
      </c>
    </row>
    <row r="158">
      <c r="B158" s="9" t="n">
        <v>44128</v>
      </c>
      <c r="C158" s="39" t="inlineStr">
        <is>
          <t>토</t>
        </is>
      </c>
      <c r="D158" s="48" t="n">
        <v>311</v>
      </c>
      <c r="E158" s="48" t="n">
        <v>10</v>
      </c>
      <c r="F158" s="48" t="n">
        <v>321</v>
      </c>
      <c r="J158" s="9" t="n">
        <v>44128</v>
      </c>
      <c r="K158" s="39" t="inlineStr">
        <is>
          <t>토</t>
        </is>
      </c>
      <c r="L158" s="48" t="n">
        <v>12632400</v>
      </c>
      <c r="M158" s="48" t="n">
        <v>20000</v>
      </c>
      <c r="N158" s="48" t="n">
        <v>12652400</v>
      </c>
    </row>
    <row r="159">
      <c r="B159" s="9" t="n">
        <v>44129</v>
      </c>
      <c r="C159" s="39" t="inlineStr">
        <is>
          <t>일</t>
        </is>
      </c>
      <c r="D159" s="48" t="n">
        <v>315</v>
      </c>
      <c r="E159" s="48" t="n">
        <v>9</v>
      </c>
      <c r="F159" s="48" t="n">
        <v>324</v>
      </c>
      <c r="J159" s="9" t="n">
        <v>44129</v>
      </c>
      <c r="K159" s="39" t="inlineStr">
        <is>
          <t>일</t>
        </is>
      </c>
      <c r="L159" s="48" t="n">
        <v>12619600</v>
      </c>
      <c r="M159" s="48" t="n">
        <v>18000</v>
      </c>
      <c r="N159" s="48" t="n">
        <v>12637600</v>
      </c>
    </row>
    <row r="160">
      <c r="B160" s="9" t="n">
        <v>44130</v>
      </c>
      <c r="C160" s="39" t="inlineStr">
        <is>
          <t>월</t>
        </is>
      </c>
      <c r="D160" s="48" t="n">
        <v>311</v>
      </c>
      <c r="E160" s="48" t="n">
        <v>7</v>
      </c>
      <c r="F160" s="48" t="n">
        <v>318</v>
      </c>
      <c r="J160" s="9" t="n">
        <v>44130</v>
      </c>
      <c r="K160" s="39" t="inlineStr">
        <is>
          <t>월</t>
        </is>
      </c>
      <c r="L160" s="48" t="n">
        <v>12558000</v>
      </c>
      <c r="M160" s="48" t="n">
        <v>14000</v>
      </c>
      <c r="N160" s="48" t="n">
        <v>12572000</v>
      </c>
    </row>
    <row r="161">
      <c r="B161" s="9" t="n">
        <v>44131</v>
      </c>
      <c r="C161" s="39" t="inlineStr">
        <is>
          <t>화</t>
        </is>
      </c>
      <c r="D161" s="48" t="n">
        <v>293</v>
      </c>
      <c r="E161" s="48" t="n">
        <v>3</v>
      </c>
      <c r="F161" s="48" t="n">
        <v>296</v>
      </c>
      <c r="J161" s="9" t="n">
        <v>44131</v>
      </c>
      <c r="K161" s="39" t="inlineStr">
        <is>
          <t>화</t>
        </is>
      </c>
      <c r="L161" s="48" t="n">
        <v>11772400</v>
      </c>
      <c r="M161" s="48" t="n">
        <v>6000</v>
      </c>
      <c r="N161" s="48" t="n">
        <v>11778400</v>
      </c>
    </row>
    <row r="162">
      <c r="B162" s="9" t="n">
        <v>44132</v>
      </c>
      <c r="C162" s="39" t="inlineStr">
        <is>
          <t>수</t>
        </is>
      </c>
      <c r="D162" s="48" t="n">
        <v>339</v>
      </c>
      <c r="E162" s="48" t="n">
        <v>6</v>
      </c>
      <c r="F162" s="48" t="n">
        <v>345</v>
      </c>
      <c r="J162" s="9" t="n">
        <v>44132</v>
      </c>
      <c r="K162" s="39" t="inlineStr">
        <is>
          <t>수</t>
        </is>
      </c>
      <c r="L162" s="48" t="n">
        <v>13670000</v>
      </c>
      <c r="M162" s="48" t="n">
        <v>12000</v>
      </c>
      <c r="N162" s="48" t="n">
        <v>13682000</v>
      </c>
    </row>
    <row r="163">
      <c r="B163" s="9" t="n">
        <v>44133</v>
      </c>
      <c r="C163" s="39" t="inlineStr">
        <is>
          <t>목</t>
        </is>
      </c>
      <c r="D163" s="48" t="n">
        <v>294</v>
      </c>
      <c r="E163" s="48" t="n">
        <v>7</v>
      </c>
      <c r="F163" s="48" t="n">
        <v>301</v>
      </c>
      <c r="J163" s="9" t="n">
        <v>44133</v>
      </c>
      <c r="K163" s="39" t="inlineStr">
        <is>
          <t>목</t>
        </is>
      </c>
      <c r="L163" s="48" t="n">
        <v>11916800</v>
      </c>
      <c r="M163" s="48" t="n">
        <v>14000</v>
      </c>
      <c r="N163" s="48" t="n">
        <v>11930800</v>
      </c>
    </row>
    <row r="164">
      <c r="B164" s="9" t="n">
        <v>44134</v>
      </c>
      <c r="C164" s="39" t="inlineStr">
        <is>
          <t>금</t>
        </is>
      </c>
      <c r="D164" s="48" t="n">
        <v>273</v>
      </c>
      <c r="E164" s="48" t="n">
        <v>1</v>
      </c>
      <c r="F164" s="48" t="n">
        <v>274</v>
      </c>
      <c r="J164" s="9" t="n">
        <v>44134</v>
      </c>
      <c r="K164" s="39" t="inlineStr">
        <is>
          <t>금</t>
        </is>
      </c>
      <c r="L164" s="48" t="n">
        <v>10943600</v>
      </c>
      <c r="M164" s="48" t="n">
        <v>2000</v>
      </c>
      <c r="N164" s="48" t="n">
        <v>10945600</v>
      </c>
    </row>
    <row r="165">
      <c r="B165" s="9" t="n">
        <v>44135</v>
      </c>
      <c r="C165" s="39" t="inlineStr">
        <is>
          <t>토</t>
        </is>
      </c>
      <c r="D165" s="48" t="n">
        <v>322</v>
      </c>
      <c r="E165" s="48" t="n">
        <v>8</v>
      </c>
      <c r="F165" s="48" t="n">
        <v>330</v>
      </c>
      <c r="J165" s="9" t="n">
        <v>44135</v>
      </c>
      <c r="K165" s="39" t="inlineStr">
        <is>
          <t>토</t>
        </is>
      </c>
      <c r="L165" s="48" t="n">
        <v>12857600</v>
      </c>
      <c r="M165" s="48" t="n">
        <v>16000</v>
      </c>
      <c r="N165" s="48" t="n">
        <v>12873600</v>
      </c>
    </row>
    <row r="166">
      <c r="B166" s="9" t="n">
        <v>44136</v>
      </c>
      <c r="C166" s="39" t="inlineStr">
        <is>
          <t>일</t>
        </is>
      </c>
      <c r="D166" s="48" t="n">
        <v>377</v>
      </c>
      <c r="E166" s="48" t="n">
        <v>7</v>
      </c>
      <c r="F166" s="48" t="n">
        <v>384</v>
      </c>
      <c r="J166" s="9" t="n">
        <v>44136</v>
      </c>
      <c r="K166" s="39" t="inlineStr">
        <is>
          <t>일</t>
        </is>
      </c>
      <c r="L166" s="48" t="n">
        <v>14926000</v>
      </c>
      <c r="M166" s="48" t="n">
        <v>14000</v>
      </c>
      <c r="N166" s="48" t="n">
        <v>14940000</v>
      </c>
    </row>
    <row r="167">
      <c r="B167" s="9" t="n">
        <v>44137</v>
      </c>
      <c r="C167" s="39" t="inlineStr">
        <is>
          <t>월</t>
        </is>
      </c>
      <c r="D167" s="48" t="n">
        <v>354</v>
      </c>
      <c r="E167" s="48" t="n">
        <v>10</v>
      </c>
      <c r="F167" s="48" t="n">
        <v>364</v>
      </c>
      <c r="J167" s="9" t="n">
        <v>44137</v>
      </c>
      <c r="K167" s="39" t="inlineStr">
        <is>
          <t>월</t>
        </is>
      </c>
      <c r="L167" s="48" t="n">
        <v>14119200</v>
      </c>
      <c r="M167" s="48" t="n">
        <v>20000</v>
      </c>
      <c r="N167" s="48" t="n">
        <v>14139200</v>
      </c>
    </row>
    <row r="168">
      <c r="B168" s="9" t="n">
        <v>44138</v>
      </c>
      <c r="C168" s="39" t="inlineStr">
        <is>
          <t>화</t>
        </is>
      </c>
      <c r="D168" s="48" t="n">
        <v>382</v>
      </c>
      <c r="E168" s="48" t="n">
        <v>6</v>
      </c>
      <c r="F168" s="48" t="n">
        <v>388</v>
      </c>
      <c r="J168" s="9" t="n">
        <v>44138</v>
      </c>
      <c r="K168" s="39" t="inlineStr">
        <is>
          <t>화</t>
        </is>
      </c>
      <c r="L168" s="48" t="n">
        <v>15691200</v>
      </c>
      <c r="M168" s="48" t="n">
        <v>12000</v>
      </c>
      <c r="N168" s="48" t="n">
        <v>15703200</v>
      </c>
    </row>
    <row r="169">
      <c r="B169" s="9" t="n">
        <v>44139</v>
      </c>
      <c r="C169" s="39" t="inlineStr">
        <is>
          <t>수</t>
        </is>
      </c>
      <c r="D169" s="48" t="n">
        <v>354</v>
      </c>
      <c r="E169" s="48" t="n">
        <v>9</v>
      </c>
      <c r="F169" s="48" t="n">
        <v>363</v>
      </c>
      <c r="J169" s="9" t="n">
        <v>44139</v>
      </c>
      <c r="K169" s="39" t="inlineStr">
        <is>
          <t>수</t>
        </is>
      </c>
      <c r="L169" s="48" t="n">
        <v>14292800</v>
      </c>
      <c r="M169" s="48" t="n">
        <v>18000</v>
      </c>
      <c r="N169" s="48" t="n">
        <v>14310800</v>
      </c>
    </row>
    <row r="170">
      <c r="B170" s="9" t="n">
        <v>44140</v>
      </c>
      <c r="C170" s="39" t="inlineStr">
        <is>
          <t>목</t>
        </is>
      </c>
      <c r="D170" s="48" t="n">
        <v>337</v>
      </c>
      <c r="E170" s="48" t="n">
        <v>2</v>
      </c>
      <c r="F170" s="48" t="n">
        <v>339</v>
      </c>
      <c r="J170" s="9" t="n">
        <v>44140</v>
      </c>
      <c r="K170" s="39" t="inlineStr">
        <is>
          <t>목</t>
        </is>
      </c>
      <c r="L170" s="48" t="n">
        <v>13392400</v>
      </c>
      <c r="M170" s="48" t="n">
        <v>4000</v>
      </c>
      <c r="N170" s="48" t="n">
        <v>13396400</v>
      </c>
    </row>
    <row r="171">
      <c r="B171" s="9" t="n">
        <v>44141</v>
      </c>
      <c r="C171" s="39" t="inlineStr">
        <is>
          <t>금</t>
        </is>
      </c>
      <c r="D171" s="48" t="n">
        <v>329</v>
      </c>
      <c r="E171" s="48" t="n">
        <v>7</v>
      </c>
      <c r="F171" s="48" t="n">
        <v>336</v>
      </c>
      <c r="J171" s="9" t="n">
        <v>44141</v>
      </c>
      <c r="K171" s="39" t="inlineStr">
        <is>
          <t>금</t>
        </is>
      </c>
      <c r="L171" s="48" t="n">
        <v>13591600</v>
      </c>
      <c r="M171" s="48" t="n">
        <v>14000</v>
      </c>
      <c r="N171" s="48" t="n">
        <v>13605600</v>
      </c>
    </row>
    <row r="172">
      <c r="B172" s="9" t="n">
        <v>44142</v>
      </c>
      <c r="C172" s="39" t="inlineStr">
        <is>
          <t>토</t>
        </is>
      </c>
      <c r="D172" s="48" t="n">
        <v>382</v>
      </c>
      <c r="E172" s="48" t="n">
        <v>8</v>
      </c>
      <c r="F172" s="48" t="n">
        <v>390</v>
      </c>
      <c r="J172" s="9" t="n">
        <v>44142</v>
      </c>
      <c r="K172" s="39" t="inlineStr">
        <is>
          <t>토</t>
        </is>
      </c>
      <c r="L172" s="48" t="n">
        <v>15517600</v>
      </c>
      <c r="M172" s="48" t="n">
        <v>16000</v>
      </c>
      <c r="N172" s="48" t="n">
        <v>15533600</v>
      </c>
    </row>
    <row r="173">
      <c r="B173" s="9" t="n">
        <v>44143</v>
      </c>
      <c r="C173" s="39" t="inlineStr">
        <is>
          <t>일</t>
        </is>
      </c>
      <c r="D173" s="48" t="n">
        <v>354</v>
      </c>
      <c r="E173" s="48" t="n">
        <v>9</v>
      </c>
      <c r="F173" s="48" t="n">
        <v>363</v>
      </c>
      <c r="J173" s="9" t="n">
        <v>44143</v>
      </c>
      <c r="K173" s="39" t="inlineStr">
        <is>
          <t>일</t>
        </is>
      </c>
      <c r="L173" s="48" t="n">
        <v>14477600</v>
      </c>
      <c r="M173" s="48" t="n">
        <v>18000</v>
      </c>
      <c r="N173" s="48" t="n">
        <v>14495600</v>
      </c>
    </row>
    <row r="174">
      <c r="B174" s="9" t="n">
        <v>44144</v>
      </c>
      <c r="C174" s="39" t="inlineStr">
        <is>
          <t>월</t>
        </is>
      </c>
      <c r="D174" s="48" t="n">
        <v>307</v>
      </c>
      <c r="E174" s="48" t="n">
        <v>3</v>
      </c>
      <c r="F174" s="48" t="n">
        <v>310</v>
      </c>
      <c r="J174" s="9" t="n">
        <v>44144</v>
      </c>
      <c r="K174" s="39" t="inlineStr">
        <is>
          <t>월</t>
        </is>
      </c>
      <c r="L174" s="48" t="n">
        <v>12174000</v>
      </c>
      <c r="M174" s="48" t="n">
        <v>6000</v>
      </c>
      <c r="N174" s="48" t="n">
        <v>12180000</v>
      </c>
    </row>
    <row r="175">
      <c r="B175" s="9" t="n">
        <v>44145</v>
      </c>
      <c r="C175" s="39" t="inlineStr">
        <is>
          <t>화</t>
        </is>
      </c>
      <c r="D175" s="48" t="n">
        <v>347</v>
      </c>
      <c r="E175" s="48" t="n">
        <v>12</v>
      </c>
      <c r="F175" s="48" t="n">
        <v>359</v>
      </c>
      <c r="J175" s="9" t="n">
        <v>44145</v>
      </c>
      <c r="K175" s="39" t="inlineStr">
        <is>
          <t>화</t>
        </is>
      </c>
      <c r="L175" s="48" t="n">
        <v>14214800</v>
      </c>
      <c r="M175" s="48" t="n">
        <v>24000</v>
      </c>
      <c r="N175" s="48" t="n">
        <v>14238800</v>
      </c>
    </row>
    <row r="176">
      <c r="B176" s="9" t="n">
        <v>44146</v>
      </c>
      <c r="C176" s="39" t="inlineStr">
        <is>
          <t>수</t>
        </is>
      </c>
      <c r="D176" s="48" t="n">
        <v>413</v>
      </c>
      <c r="E176" s="48" t="n">
        <v>7</v>
      </c>
      <c r="F176" s="48" t="n">
        <v>420</v>
      </c>
      <c r="J176" s="9" t="n">
        <v>44146</v>
      </c>
      <c r="K176" s="39" t="inlineStr">
        <is>
          <t>수</t>
        </is>
      </c>
      <c r="L176" s="48" t="n">
        <v>16968400</v>
      </c>
      <c r="M176" s="48" t="n">
        <v>14000</v>
      </c>
      <c r="N176" s="48" t="n">
        <v>16982400</v>
      </c>
    </row>
    <row r="177">
      <c r="B177" s="9" t="n">
        <v>44147</v>
      </c>
      <c r="C177" s="39" t="inlineStr">
        <is>
          <t>목</t>
        </is>
      </c>
      <c r="D177" s="48" t="n">
        <v>364</v>
      </c>
      <c r="E177" s="48" t="n">
        <v>8</v>
      </c>
      <c r="F177" s="48" t="n">
        <v>372</v>
      </c>
      <c r="J177" s="9" t="n">
        <v>44147</v>
      </c>
      <c r="K177" s="39" t="inlineStr">
        <is>
          <t>목</t>
        </is>
      </c>
      <c r="L177" s="48" t="n">
        <v>14781600</v>
      </c>
      <c r="M177" s="48" t="n">
        <v>16000</v>
      </c>
      <c r="N177" s="48" t="n">
        <v>14797600</v>
      </c>
    </row>
    <row r="178">
      <c r="B178" s="9" t="n">
        <v>44148</v>
      </c>
      <c r="C178" s="39" t="inlineStr">
        <is>
          <t>금</t>
        </is>
      </c>
      <c r="D178" s="48" t="n">
        <v>333</v>
      </c>
      <c r="E178" s="48" t="n">
        <v>1</v>
      </c>
      <c r="F178" s="48" t="n">
        <v>334</v>
      </c>
      <c r="J178" s="9" t="n">
        <v>44148</v>
      </c>
      <c r="K178" s="39" t="inlineStr">
        <is>
          <t>금</t>
        </is>
      </c>
      <c r="L178" s="48" t="n">
        <v>13962000</v>
      </c>
      <c r="M178" s="48" t="n">
        <v>2000</v>
      </c>
      <c r="N178" s="48" t="n">
        <v>13964000</v>
      </c>
    </row>
    <row r="179">
      <c r="B179" s="9" t="n">
        <v>44149</v>
      </c>
      <c r="C179" s="39" t="inlineStr">
        <is>
          <t>토</t>
        </is>
      </c>
      <c r="D179" s="48" t="n">
        <v>413</v>
      </c>
      <c r="E179" s="48" t="n">
        <v>10</v>
      </c>
      <c r="F179" s="48" t="n">
        <v>423</v>
      </c>
      <c r="J179" s="9" t="n">
        <v>44149</v>
      </c>
      <c r="K179" s="39" t="inlineStr">
        <is>
          <t>토</t>
        </is>
      </c>
      <c r="L179" s="48" t="n">
        <v>16770000</v>
      </c>
      <c r="M179" s="48" t="n">
        <v>20000</v>
      </c>
      <c r="N179" s="48" t="n">
        <v>16790000</v>
      </c>
    </row>
    <row r="180">
      <c r="B180" s="9" t="n">
        <v>44150</v>
      </c>
      <c r="C180" s="39" t="inlineStr">
        <is>
          <t>일</t>
        </is>
      </c>
      <c r="D180" s="48" t="n">
        <v>288</v>
      </c>
      <c r="E180" s="48" t="n">
        <v>6</v>
      </c>
      <c r="F180" s="48" t="n">
        <v>294</v>
      </c>
      <c r="J180" s="9" t="n">
        <v>44150</v>
      </c>
      <c r="K180" s="39" t="inlineStr">
        <is>
          <t>일</t>
        </is>
      </c>
      <c r="L180" s="48" t="n">
        <v>11588800</v>
      </c>
      <c r="M180" s="48" t="n">
        <v>12000</v>
      </c>
      <c r="N180" s="48" t="n">
        <v>11600800</v>
      </c>
    </row>
    <row r="181">
      <c r="B181" s="9" t="n">
        <v>44151</v>
      </c>
      <c r="C181" s="39" t="inlineStr">
        <is>
          <t>월</t>
        </is>
      </c>
      <c r="D181" s="48" t="n">
        <v>231</v>
      </c>
      <c r="E181" s="48" t="n">
        <v>7</v>
      </c>
      <c r="F181" s="48" t="n">
        <v>238</v>
      </c>
      <c r="J181" s="9" t="n">
        <v>44151</v>
      </c>
      <c r="K181" s="39" t="inlineStr">
        <is>
          <t>월</t>
        </is>
      </c>
      <c r="L181" s="48" t="n">
        <v>9788400</v>
      </c>
      <c r="M181" s="48" t="n">
        <v>14000</v>
      </c>
      <c r="N181" s="48" t="n">
        <v>9802400</v>
      </c>
    </row>
    <row r="182">
      <c r="B182" s="9" t="n">
        <v>44152</v>
      </c>
      <c r="C182" s="39" t="inlineStr">
        <is>
          <t>화</t>
        </is>
      </c>
      <c r="D182" s="48" t="n">
        <v>306</v>
      </c>
      <c r="E182" s="48" t="n">
        <v>6</v>
      </c>
      <c r="F182" s="48" t="n">
        <v>312</v>
      </c>
      <c r="J182" s="9" t="n">
        <v>44152</v>
      </c>
      <c r="K182" s="39" t="inlineStr">
        <is>
          <t>화</t>
        </is>
      </c>
      <c r="L182" s="48" t="n">
        <v>12994400</v>
      </c>
      <c r="M182" s="48" t="n">
        <v>12000</v>
      </c>
      <c r="N182" s="48" t="n">
        <v>13006400</v>
      </c>
    </row>
    <row r="183">
      <c r="B183" s="9" t="n">
        <v>44153</v>
      </c>
      <c r="C183" s="39" t="inlineStr">
        <is>
          <t>수</t>
        </is>
      </c>
      <c r="D183" s="48" t="n">
        <v>260</v>
      </c>
      <c r="E183" s="48" t="n">
        <v>6</v>
      </c>
      <c r="F183" s="48" t="n">
        <v>266</v>
      </c>
      <c r="J183" s="9" t="n">
        <v>44153</v>
      </c>
      <c r="K183" s="39" t="inlineStr">
        <is>
          <t>수</t>
        </is>
      </c>
      <c r="L183" s="48" t="n">
        <v>11182400</v>
      </c>
      <c r="M183" s="48" t="n">
        <v>12000</v>
      </c>
      <c r="N183" s="48" t="n">
        <v>11194400</v>
      </c>
    </row>
    <row r="184">
      <c r="B184" s="9" t="n">
        <v>44154</v>
      </c>
      <c r="C184" s="39" t="inlineStr">
        <is>
          <t>목</t>
        </is>
      </c>
      <c r="D184" s="48" t="n">
        <v>266</v>
      </c>
      <c r="E184" s="48" t="n">
        <v>6</v>
      </c>
      <c r="F184" s="48" t="n">
        <v>272</v>
      </c>
      <c r="J184" s="9" t="n">
        <v>44154</v>
      </c>
      <c r="K184" s="39" t="inlineStr">
        <is>
          <t>목</t>
        </is>
      </c>
      <c r="L184" s="48" t="n">
        <v>11262400</v>
      </c>
      <c r="M184" s="48" t="n">
        <v>12000</v>
      </c>
      <c r="N184" s="48" t="n">
        <v>11274400</v>
      </c>
    </row>
    <row r="185">
      <c r="B185" s="9" t="n">
        <v>44155</v>
      </c>
      <c r="C185" s="39" t="inlineStr">
        <is>
          <t>금</t>
        </is>
      </c>
      <c r="D185" s="48" t="n">
        <v>274</v>
      </c>
      <c r="E185" s="48" t="n">
        <v>9</v>
      </c>
      <c r="F185" s="48" t="n">
        <v>283</v>
      </c>
      <c r="J185" s="9" t="n">
        <v>44155</v>
      </c>
      <c r="K185" s="39" t="inlineStr">
        <is>
          <t>금</t>
        </is>
      </c>
      <c r="L185" s="48" t="n">
        <v>11980800</v>
      </c>
      <c r="M185" s="48" t="n">
        <v>18000</v>
      </c>
      <c r="N185" s="48" t="n">
        <v>11998800</v>
      </c>
    </row>
    <row r="186">
      <c r="B186" s="9" t="n">
        <v>44156</v>
      </c>
      <c r="C186" s="39" t="inlineStr">
        <is>
          <t>토</t>
        </is>
      </c>
      <c r="D186" s="48" t="n">
        <v>326</v>
      </c>
      <c r="E186" s="48" t="n">
        <v>5</v>
      </c>
      <c r="F186" s="48" t="n">
        <v>331</v>
      </c>
      <c r="J186" s="9" t="n">
        <v>44156</v>
      </c>
      <c r="K186" s="39" t="inlineStr">
        <is>
          <t>토</t>
        </is>
      </c>
      <c r="L186" s="48" t="n">
        <v>13922400</v>
      </c>
      <c r="M186" s="48" t="n">
        <v>10000</v>
      </c>
      <c r="N186" s="48" t="n">
        <v>13932400</v>
      </c>
    </row>
    <row r="187">
      <c r="B187" s="9" t="n">
        <v>44157</v>
      </c>
      <c r="C187" s="39" t="inlineStr">
        <is>
          <t>일</t>
        </is>
      </c>
      <c r="D187" s="48" t="n">
        <v>326</v>
      </c>
      <c r="E187" s="48" t="n">
        <v>7</v>
      </c>
      <c r="F187" s="48" t="n">
        <v>333</v>
      </c>
      <c r="J187" s="9" t="n">
        <v>44157</v>
      </c>
      <c r="K187" s="39" t="inlineStr">
        <is>
          <t>일</t>
        </is>
      </c>
      <c r="L187" s="48" t="n">
        <v>14134400</v>
      </c>
      <c r="M187" s="48" t="n">
        <v>14000</v>
      </c>
      <c r="N187" s="48" t="n">
        <v>14148400</v>
      </c>
    </row>
    <row r="188">
      <c r="B188" s="9" t="n">
        <v>44158</v>
      </c>
      <c r="C188" s="39" t="inlineStr">
        <is>
          <t>월</t>
        </is>
      </c>
      <c r="D188" s="48" t="n">
        <v>203</v>
      </c>
      <c r="E188" s="48" t="n">
        <v>4</v>
      </c>
      <c r="F188" s="48" t="n">
        <v>207</v>
      </c>
      <c r="J188" s="9" t="n">
        <v>44158</v>
      </c>
      <c r="K188" s="39" t="inlineStr">
        <is>
          <t>월</t>
        </is>
      </c>
      <c r="L188" s="48" t="n">
        <v>8737200</v>
      </c>
      <c r="M188" s="48" t="n">
        <v>8000</v>
      </c>
      <c r="N188" s="48" t="n">
        <v>8745200</v>
      </c>
    </row>
    <row r="189">
      <c r="B189" s="9" t="n">
        <v>44159</v>
      </c>
      <c r="C189" s="39" t="inlineStr">
        <is>
          <t>화</t>
        </is>
      </c>
      <c r="D189" s="48" t="n">
        <v>205</v>
      </c>
      <c r="E189" s="48" t="n">
        <v>3</v>
      </c>
      <c r="F189" s="48" t="n">
        <v>208</v>
      </c>
      <c r="J189" s="9" t="n">
        <v>44159</v>
      </c>
      <c r="K189" s="39" t="inlineStr">
        <is>
          <t>화</t>
        </is>
      </c>
      <c r="L189" s="48" t="n">
        <v>8433200</v>
      </c>
      <c r="M189" s="48" t="n">
        <v>6000</v>
      </c>
      <c r="N189" s="48" t="n">
        <v>8439200</v>
      </c>
    </row>
    <row r="190">
      <c r="B190" s="9" t="n">
        <v>44160</v>
      </c>
      <c r="C190" s="39" t="inlineStr">
        <is>
          <t>수</t>
        </is>
      </c>
      <c r="D190" s="48" t="n">
        <v>194</v>
      </c>
      <c r="E190" s="48" t="n">
        <v>1</v>
      </c>
      <c r="F190" s="48" t="n">
        <v>195</v>
      </c>
      <c r="J190" s="9" t="n">
        <v>44160</v>
      </c>
      <c r="K190" s="39" t="inlineStr">
        <is>
          <t>수</t>
        </is>
      </c>
      <c r="L190" s="48" t="n">
        <v>8381600</v>
      </c>
      <c r="M190" s="48" t="n">
        <v>2000</v>
      </c>
      <c r="N190" s="48" t="n">
        <v>8383600</v>
      </c>
    </row>
    <row r="191">
      <c r="B191" s="9" t="n">
        <v>44161</v>
      </c>
      <c r="C191" s="39" t="inlineStr">
        <is>
          <t>목</t>
        </is>
      </c>
      <c r="D191" s="48" t="n">
        <v>194</v>
      </c>
      <c r="E191" s="48" t="n">
        <v>6</v>
      </c>
      <c r="F191" s="48" t="n">
        <v>200</v>
      </c>
      <c r="J191" s="9" t="n">
        <v>44161</v>
      </c>
      <c r="K191" s="39" t="inlineStr">
        <is>
          <t>목</t>
        </is>
      </c>
      <c r="L191" s="48" t="n">
        <v>7935200</v>
      </c>
      <c r="M191" s="48" t="n">
        <v>12000</v>
      </c>
      <c r="N191" s="48" t="n">
        <v>7947200</v>
      </c>
    </row>
    <row r="192">
      <c r="B192" s="9" t="n">
        <v>44162</v>
      </c>
      <c r="C192" s="39" t="inlineStr">
        <is>
          <t>금</t>
        </is>
      </c>
      <c r="D192" s="48" t="n">
        <v>210</v>
      </c>
      <c r="E192" s="48" t="n">
        <v>7</v>
      </c>
      <c r="F192" s="48" t="n">
        <v>217</v>
      </c>
      <c r="J192" s="9" t="n">
        <v>44162</v>
      </c>
      <c r="K192" s="39" t="inlineStr">
        <is>
          <t>금</t>
        </is>
      </c>
      <c r="L192" s="48" t="n">
        <v>8898400</v>
      </c>
      <c r="M192" s="48" t="n">
        <v>14000</v>
      </c>
      <c r="N192" s="48" t="n">
        <v>8912400</v>
      </c>
    </row>
    <row r="193">
      <c r="B193" s="9" t="n">
        <v>44163</v>
      </c>
      <c r="C193" s="39" t="inlineStr">
        <is>
          <t>토</t>
        </is>
      </c>
      <c r="D193" s="48" t="n">
        <v>239</v>
      </c>
      <c r="E193" s="48" t="n">
        <v>9</v>
      </c>
      <c r="F193" s="48" t="n">
        <v>248</v>
      </c>
      <c r="J193" s="9" t="n">
        <v>44163</v>
      </c>
      <c r="K193" s="39" t="inlineStr">
        <is>
          <t>토</t>
        </is>
      </c>
      <c r="L193" s="48" t="n">
        <v>10333200</v>
      </c>
      <c r="M193" s="48" t="n">
        <v>18000</v>
      </c>
      <c r="N193" s="48" t="n">
        <v>10351200</v>
      </c>
    </row>
    <row r="194">
      <c r="B194" s="9" t="n">
        <v>44164</v>
      </c>
      <c r="C194" s="39" t="inlineStr">
        <is>
          <t>일</t>
        </is>
      </c>
      <c r="D194" s="48" t="n">
        <v>274</v>
      </c>
      <c r="E194" s="48" t="n">
        <v>7</v>
      </c>
      <c r="F194" s="48" t="n">
        <v>281</v>
      </c>
      <c r="J194" s="9" t="n">
        <v>44164</v>
      </c>
      <c r="K194" s="39" t="inlineStr">
        <is>
          <t>일</t>
        </is>
      </c>
      <c r="L194" s="48" t="n">
        <v>12019200</v>
      </c>
      <c r="M194" s="48" t="n">
        <v>14000</v>
      </c>
      <c r="N194" s="48" t="n">
        <v>12033200</v>
      </c>
    </row>
    <row r="195">
      <c r="B195" s="9" t="n">
        <v>44165</v>
      </c>
      <c r="C195" s="39" t="inlineStr">
        <is>
          <t>월</t>
        </is>
      </c>
      <c r="D195" s="48" t="n">
        <v>212</v>
      </c>
      <c r="E195" s="48" t="n">
        <v>7</v>
      </c>
      <c r="F195" s="48" t="n">
        <v>219</v>
      </c>
      <c r="J195" s="9" t="n">
        <v>44165</v>
      </c>
      <c r="K195" s="39" t="inlineStr">
        <is>
          <t>월</t>
        </is>
      </c>
      <c r="L195" s="48" t="n">
        <v>9068000</v>
      </c>
      <c r="M195" s="48" t="n">
        <v>14000</v>
      </c>
      <c r="N195" s="48" t="n">
        <v>9082000</v>
      </c>
    </row>
    <row r="196">
      <c r="B196" s="9" t="n">
        <v>44166</v>
      </c>
      <c r="C196" s="39" t="inlineStr">
        <is>
          <t>화</t>
        </is>
      </c>
      <c r="D196" s="48" t="n">
        <v>292</v>
      </c>
      <c r="E196" s="48" t="n">
        <v>7</v>
      </c>
      <c r="F196" s="48" t="n">
        <v>299</v>
      </c>
      <c r="J196" s="9" t="n">
        <v>44166</v>
      </c>
      <c r="K196" s="39" t="inlineStr">
        <is>
          <t>화</t>
        </is>
      </c>
      <c r="L196" s="48" t="n">
        <v>12468800</v>
      </c>
      <c r="M196" s="48" t="n">
        <v>14000</v>
      </c>
      <c r="N196" s="48" t="n">
        <v>12482800</v>
      </c>
    </row>
    <row r="197">
      <c r="B197" s="9" t="n">
        <v>44167</v>
      </c>
      <c r="C197" s="39" t="inlineStr">
        <is>
          <t>수</t>
        </is>
      </c>
      <c r="D197" s="48" t="n">
        <v>329</v>
      </c>
      <c r="E197" s="48" t="n">
        <v>12</v>
      </c>
      <c r="F197" s="48" t="n">
        <v>341</v>
      </c>
      <c r="J197" s="9" t="n">
        <v>44167</v>
      </c>
      <c r="K197" s="39" t="inlineStr">
        <is>
          <t>수</t>
        </is>
      </c>
      <c r="L197" s="48" t="n">
        <v>15013200</v>
      </c>
      <c r="M197" s="48" t="n">
        <v>24000</v>
      </c>
      <c r="N197" s="48" t="n">
        <v>15037200</v>
      </c>
    </row>
    <row r="198">
      <c r="B198" s="9" t="n">
        <v>44168</v>
      </c>
      <c r="C198" s="39" t="inlineStr">
        <is>
          <t>목</t>
        </is>
      </c>
      <c r="D198" s="48" t="n">
        <v>1153</v>
      </c>
      <c r="E198" s="48" t="n">
        <v>32</v>
      </c>
      <c r="F198" s="48" t="n">
        <v>1185</v>
      </c>
      <c r="J198" s="9" t="n">
        <v>44168</v>
      </c>
      <c r="K198" s="39" t="inlineStr">
        <is>
          <t>목</t>
        </is>
      </c>
      <c r="L198" s="48" t="n">
        <v>52413200</v>
      </c>
      <c r="M198" s="48" t="n">
        <v>64000</v>
      </c>
      <c r="N198" s="48" t="n">
        <v>52477200</v>
      </c>
    </row>
    <row r="199">
      <c r="B199" s="9" t="n">
        <v>44169</v>
      </c>
      <c r="C199" s="39" t="inlineStr">
        <is>
          <t>금</t>
        </is>
      </c>
      <c r="D199" s="48" t="n">
        <v>247</v>
      </c>
      <c r="E199" s="48" t="n">
        <v>5</v>
      </c>
      <c r="F199" s="48" t="n">
        <v>252</v>
      </c>
      <c r="J199" s="9" t="n">
        <v>44169</v>
      </c>
      <c r="K199" s="39" t="inlineStr">
        <is>
          <t>금</t>
        </is>
      </c>
      <c r="L199" s="48" t="n">
        <v>10880400</v>
      </c>
      <c r="M199" s="48" t="n">
        <v>10000</v>
      </c>
      <c r="N199" s="48" t="n">
        <v>10890400</v>
      </c>
    </row>
    <row r="200">
      <c r="B200" s="9" t="n">
        <v>44170</v>
      </c>
      <c r="C200" s="39" t="inlineStr">
        <is>
          <t>토</t>
        </is>
      </c>
      <c r="D200" s="48" t="n">
        <v>286</v>
      </c>
      <c r="E200" s="48" t="n">
        <v>6</v>
      </c>
      <c r="F200" s="48" t="n">
        <v>292</v>
      </c>
      <c r="J200" s="9" t="n">
        <v>44170</v>
      </c>
      <c r="K200" s="39" t="inlineStr">
        <is>
          <t>토</t>
        </is>
      </c>
      <c r="L200" s="48" t="n">
        <v>13197400</v>
      </c>
      <c r="M200" s="48" t="n">
        <v>12000</v>
      </c>
      <c r="N200" s="48" t="n">
        <v>13209400</v>
      </c>
    </row>
    <row r="201">
      <c r="B201" s="9" t="n">
        <v>44171</v>
      </c>
      <c r="C201" s="39" t="inlineStr">
        <is>
          <t>일</t>
        </is>
      </c>
      <c r="D201" s="48" t="n">
        <v>307</v>
      </c>
      <c r="E201" s="48" t="n">
        <v>8</v>
      </c>
      <c r="F201" s="48" t="n">
        <v>315</v>
      </c>
      <c r="J201" s="9" t="n">
        <v>44171</v>
      </c>
      <c r="K201" s="39" t="inlineStr">
        <is>
          <t>일</t>
        </is>
      </c>
      <c r="L201" s="48" t="n">
        <v>14063400</v>
      </c>
      <c r="M201" s="48" t="n">
        <v>16000</v>
      </c>
      <c r="N201" s="48" t="n">
        <v>14079400</v>
      </c>
    </row>
    <row r="202">
      <c r="B202" s="9" t="n">
        <v>44172</v>
      </c>
      <c r="C202" s="39" t="inlineStr">
        <is>
          <t>월</t>
        </is>
      </c>
      <c r="D202" s="48" t="n">
        <v>505</v>
      </c>
      <c r="E202" s="48" t="n">
        <v>10</v>
      </c>
      <c r="F202" s="48" t="n">
        <v>515</v>
      </c>
      <c r="J202" s="9" t="n">
        <v>44172</v>
      </c>
      <c r="K202" s="39" t="inlineStr">
        <is>
          <t>월</t>
        </is>
      </c>
      <c r="L202" s="48" t="n">
        <v>22741200</v>
      </c>
      <c r="M202" s="48" t="n">
        <v>20000</v>
      </c>
      <c r="N202" s="48" t="n">
        <v>22761200</v>
      </c>
    </row>
    <row r="203">
      <c r="B203" s="9" t="n">
        <v>44173</v>
      </c>
      <c r="C203" s="39" t="inlineStr">
        <is>
          <t>화</t>
        </is>
      </c>
      <c r="D203" s="48" t="n">
        <v>241</v>
      </c>
      <c r="E203" s="48" t="n">
        <v>3</v>
      </c>
      <c r="F203" s="48" t="n">
        <v>244</v>
      </c>
      <c r="J203" s="9" t="n">
        <v>44173</v>
      </c>
      <c r="K203" s="39" t="inlineStr">
        <is>
          <t>화</t>
        </is>
      </c>
      <c r="L203" s="48" t="n">
        <v>11016600</v>
      </c>
      <c r="M203" s="48" t="n">
        <v>6000</v>
      </c>
      <c r="N203" s="48" t="n">
        <v>11022600</v>
      </c>
    </row>
    <row r="204">
      <c r="B204" s="9" t="n">
        <v>44174</v>
      </c>
      <c r="C204" s="39" t="inlineStr">
        <is>
          <t>수</t>
        </is>
      </c>
      <c r="D204" s="48" t="n">
        <v>236</v>
      </c>
      <c r="E204" s="48" t="n">
        <v>4</v>
      </c>
      <c r="F204" s="48" t="n">
        <v>240</v>
      </c>
      <c r="J204" s="9" t="n">
        <v>44174</v>
      </c>
      <c r="K204" s="39" t="inlineStr">
        <is>
          <t>수</t>
        </is>
      </c>
      <c r="L204" s="48" t="n">
        <v>10546800</v>
      </c>
      <c r="M204" s="48" t="n">
        <v>8000</v>
      </c>
      <c r="N204" s="48" t="n">
        <v>10554800</v>
      </c>
    </row>
    <row r="205">
      <c r="B205" s="9" t="n">
        <v>44175</v>
      </c>
      <c r="C205" s="39" t="inlineStr">
        <is>
          <t>목</t>
        </is>
      </c>
      <c r="D205" s="48" t="n">
        <v>245</v>
      </c>
      <c r="E205" s="48" t="n">
        <v>5</v>
      </c>
      <c r="F205" s="48" t="n">
        <v>250</v>
      </c>
      <c r="J205" s="9" t="n">
        <v>44175</v>
      </c>
      <c r="K205" s="39" t="inlineStr">
        <is>
          <t>목</t>
        </is>
      </c>
      <c r="L205" s="48" t="n">
        <v>10762800</v>
      </c>
      <c r="M205" s="48" t="n">
        <v>10000</v>
      </c>
      <c r="N205" s="48" t="n">
        <v>10772800</v>
      </c>
    </row>
    <row r="206">
      <c r="B206" s="9" t="n">
        <v>44176</v>
      </c>
      <c r="C206" s="39" t="inlineStr">
        <is>
          <t>금</t>
        </is>
      </c>
      <c r="D206" s="48" t="n">
        <v>257</v>
      </c>
      <c r="E206" s="48" t="n">
        <v>6</v>
      </c>
      <c r="F206" s="48" t="n">
        <v>263</v>
      </c>
      <c r="J206" s="9" t="n">
        <v>44176</v>
      </c>
      <c r="K206" s="39" t="inlineStr">
        <is>
          <t>금</t>
        </is>
      </c>
      <c r="L206" s="48" t="n">
        <v>11698000</v>
      </c>
      <c r="M206" s="48" t="n">
        <v>12000</v>
      </c>
      <c r="N206" s="48" t="n">
        <v>11710000</v>
      </c>
    </row>
    <row r="207">
      <c r="B207" s="9" t="n">
        <v>44177</v>
      </c>
      <c r="C207" s="39" t="inlineStr">
        <is>
          <t>토</t>
        </is>
      </c>
      <c r="D207" s="48" t="n">
        <v>350</v>
      </c>
      <c r="E207" s="48" t="n">
        <v>8</v>
      </c>
      <c r="F207" s="48" t="n">
        <v>358</v>
      </c>
      <c r="J207" s="9" t="n">
        <v>44177</v>
      </c>
      <c r="K207" s="39" t="inlineStr">
        <is>
          <t>토</t>
        </is>
      </c>
      <c r="L207" s="48" t="n">
        <v>16383400</v>
      </c>
      <c r="M207" s="48" t="n">
        <v>16000</v>
      </c>
      <c r="N207" s="48" t="n">
        <v>16399400</v>
      </c>
    </row>
    <row r="208">
      <c r="B208" s="9" t="n">
        <v>44178</v>
      </c>
      <c r="C208" s="39" t="inlineStr">
        <is>
          <t>일</t>
        </is>
      </c>
      <c r="D208" s="48" t="n">
        <v>343</v>
      </c>
      <c r="E208" s="48" t="n">
        <v>3</v>
      </c>
      <c r="F208" s="48" t="n">
        <v>346</v>
      </c>
      <c r="J208" s="9" t="n">
        <v>44178</v>
      </c>
      <c r="K208" s="39" t="inlineStr">
        <is>
          <t>일</t>
        </is>
      </c>
      <c r="L208" s="48" t="n">
        <v>15713200</v>
      </c>
      <c r="M208" s="48" t="n">
        <v>6000</v>
      </c>
      <c r="N208" s="48" t="n">
        <v>15719200</v>
      </c>
    </row>
    <row r="209">
      <c r="B209" s="9" t="n">
        <v>44179</v>
      </c>
      <c r="C209" s="39" t="inlineStr">
        <is>
          <t>월</t>
        </is>
      </c>
      <c r="D209" s="48" t="n">
        <v>424</v>
      </c>
      <c r="E209" s="48" t="n">
        <v>9</v>
      </c>
      <c r="F209" s="48" t="n">
        <v>433</v>
      </c>
      <c r="J209" s="9" t="n">
        <v>44179</v>
      </c>
      <c r="K209" s="39" t="inlineStr">
        <is>
          <t>월</t>
        </is>
      </c>
      <c r="L209" s="48" t="n">
        <v>19361800</v>
      </c>
      <c r="M209" s="48" t="n">
        <v>18000</v>
      </c>
      <c r="N209" s="48" t="n">
        <v>19379800</v>
      </c>
    </row>
    <row r="210">
      <c r="B210" s="9" t="n">
        <v>44180</v>
      </c>
      <c r="C210" s="39" t="inlineStr">
        <is>
          <t>화</t>
        </is>
      </c>
      <c r="D210" s="48" t="n">
        <v>453</v>
      </c>
      <c r="E210" s="48" t="n">
        <v>14</v>
      </c>
      <c r="F210" s="48" t="n">
        <v>467</v>
      </c>
      <c r="J210" s="9" t="n">
        <v>44180</v>
      </c>
      <c r="K210" s="39" t="inlineStr">
        <is>
          <t>화</t>
        </is>
      </c>
      <c r="L210" s="48" t="n">
        <v>20713800</v>
      </c>
      <c r="M210" s="48" t="n">
        <v>28000</v>
      </c>
      <c r="N210" s="48" t="n">
        <v>20741800</v>
      </c>
    </row>
    <row r="211">
      <c r="B211" s="9" t="n">
        <v>44181</v>
      </c>
      <c r="C211" s="39" t="inlineStr">
        <is>
          <t>수</t>
        </is>
      </c>
      <c r="D211" s="48" t="n">
        <v>411</v>
      </c>
      <c r="E211" s="48" t="n">
        <v>7</v>
      </c>
      <c r="F211" s="48" t="n">
        <v>418</v>
      </c>
      <c r="J211" s="9" t="n">
        <v>44181</v>
      </c>
      <c r="K211" s="39" t="inlineStr">
        <is>
          <t>수</t>
        </is>
      </c>
      <c r="L211" s="48" t="n">
        <v>18867400</v>
      </c>
      <c r="M211" s="48" t="n">
        <v>14000</v>
      </c>
      <c r="N211" s="48" t="n">
        <v>18881400</v>
      </c>
    </row>
    <row r="212">
      <c r="B212" s="9" t="n">
        <v>44182</v>
      </c>
      <c r="C212" s="39" t="inlineStr">
        <is>
          <t>목</t>
        </is>
      </c>
      <c r="D212" s="48" t="n">
        <v>444</v>
      </c>
      <c r="E212" s="48" t="n">
        <v>11</v>
      </c>
      <c r="F212" s="48" t="n">
        <v>455</v>
      </c>
      <c r="J212" s="9" t="n">
        <v>44182</v>
      </c>
      <c r="K212" s="39" t="inlineStr">
        <is>
          <t>목</t>
        </is>
      </c>
      <c r="L212" s="48" t="n">
        <v>20443600</v>
      </c>
      <c r="M212" s="48" t="n">
        <v>22000</v>
      </c>
      <c r="N212" s="48" t="n">
        <v>20465600</v>
      </c>
    </row>
    <row r="213">
      <c r="B213" s="9" t="n">
        <v>44183</v>
      </c>
      <c r="C213" s="39" t="inlineStr">
        <is>
          <t>금</t>
        </is>
      </c>
      <c r="D213" s="48" t="n">
        <v>392</v>
      </c>
      <c r="E213" s="48" t="n">
        <v>6</v>
      </c>
      <c r="F213" s="48" t="n">
        <v>398</v>
      </c>
      <c r="J213" s="9" t="n">
        <v>44183</v>
      </c>
      <c r="K213" s="39" t="inlineStr">
        <is>
          <t>금</t>
        </is>
      </c>
      <c r="L213" s="48" t="n">
        <v>17773200</v>
      </c>
      <c r="M213" s="48" t="n">
        <v>12000</v>
      </c>
      <c r="N213" s="48" t="n">
        <v>17785200</v>
      </c>
    </row>
    <row r="214">
      <c r="B214" s="9" t="n">
        <v>44184</v>
      </c>
      <c r="C214" s="39" t="inlineStr">
        <is>
          <t>토</t>
        </is>
      </c>
      <c r="D214" s="48" t="n">
        <v>497</v>
      </c>
      <c r="E214" s="48" t="n">
        <v>2</v>
      </c>
      <c r="F214" s="48" t="n">
        <v>499</v>
      </c>
      <c r="J214" s="9" t="n">
        <v>44184</v>
      </c>
      <c r="K214" s="39" t="inlineStr">
        <is>
          <t>토</t>
        </is>
      </c>
      <c r="L214" s="48" t="n">
        <v>21077800</v>
      </c>
      <c r="M214" s="48" t="n">
        <v>4000</v>
      </c>
      <c r="N214" s="48" t="n">
        <v>21081800</v>
      </c>
    </row>
    <row r="215">
      <c r="B215" s="9" t="n">
        <v>44185</v>
      </c>
      <c r="C215" s="39" t="inlineStr">
        <is>
          <t>일</t>
        </is>
      </c>
      <c r="D215" s="48" t="n">
        <v>431</v>
      </c>
      <c r="E215" s="48" t="n">
        <v>1</v>
      </c>
      <c r="F215" s="48" t="n">
        <v>432</v>
      </c>
      <c r="J215" s="9" t="n">
        <v>44185</v>
      </c>
      <c r="K215" s="39" t="inlineStr">
        <is>
          <t>일</t>
        </is>
      </c>
      <c r="L215" s="48" t="n">
        <v>18225000</v>
      </c>
      <c r="M215" s="48" t="n">
        <v>2000</v>
      </c>
      <c r="N215" s="48" t="n">
        <v>18227000</v>
      </c>
    </row>
    <row r="216">
      <c r="B216" s="9" t="n">
        <v>44186</v>
      </c>
      <c r="C216" s="39" t="inlineStr">
        <is>
          <t>월</t>
        </is>
      </c>
      <c r="D216" s="48" t="n">
        <v>291</v>
      </c>
      <c r="E216" s="48" t="n">
        <v>1</v>
      </c>
      <c r="F216" s="48" t="n">
        <v>292</v>
      </c>
      <c r="J216" s="9" t="n">
        <v>44186</v>
      </c>
      <c r="K216" s="39" t="inlineStr">
        <is>
          <t>월</t>
        </is>
      </c>
      <c r="L216" s="48" t="n">
        <v>12034000</v>
      </c>
      <c r="M216" s="48" t="n">
        <v>2000</v>
      </c>
      <c r="N216" s="48" t="n">
        <v>12036000</v>
      </c>
    </row>
    <row r="217">
      <c r="B217" s="9" t="n">
        <v>44187</v>
      </c>
      <c r="C217" s="39" t="inlineStr">
        <is>
          <t>화</t>
        </is>
      </c>
      <c r="D217" s="48" t="n">
        <v>289</v>
      </c>
      <c r="E217" s="48" t="n">
        <v>1</v>
      </c>
      <c r="F217" s="48" t="n">
        <v>290</v>
      </c>
      <c r="J217" s="9" t="n">
        <v>44187</v>
      </c>
      <c r="K217" s="39" t="inlineStr">
        <is>
          <t>화</t>
        </is>
      </c>
      <c r="L217" s="48" t="n">
        <v>12603400</v>
      </c>
      <c r="M217" s="48" t="n">
        <v>2000</v>
      </c>
      <c r="N217" s="48" t="n">
        <v>12605400</v>
      </c>
    </row>
    <row r="218">
      <c r="B218" s="9" t="n">
        <v>44188</v>
      </c>
      <c r="C218" s="39" t="inlineStr">
        <is>
          <t>수</t>
        </is>
      </c>
      <c r="D218" s="48" t="n">
        <v>425</v>
      </c>
      <c r="E218" s="48" t="n"/>
      <c r="F218" s="48" t="n">
        <v>425</v>
      </c>
      <c r="J218" s="9" t="n">
        <v>44188</v>
      </c>
      <c r="K218" s="39" t="inlineStr">
        <is>
          <t>수</t>
        </is>
      </c>
      <c r="L218" s="48" t="n">
        <v>18672800</v>
      </c>
      <c r="M218" s="48" t="n"/>
      <c r="N218" s="48" t="n">
        <v>18672800</v>
      </c>
    </row>
    <row r="219">
      <c r="B219" s="9" t="n">
        <v>44189</v>
      </c>
      <c r="C219" s="39" t="inlineStr">
        <is>
          <t>목</t>
        </is>
      </c>
      <c r="D219" s="48" t="n">
        <v>436</v>
      </c>
      <c r="E219" s="48" t="n"/>
      <c r="F219" s="48" t="n">
        <v>436</v>
      </c>
      <c r="J219" s="9" t="n">
        <v>44189</v>
      </c>
      <c r="K219" s="39" t="inlineStr">
        <is>
          <t>목</t>
        </is>
      </c>
      <c r="L219" s="48" t="n">
        <v>18820400</v>
      </c>
      <c r="M219" s="48" t="n"/>
      <c r="N219" s="48" t="n">
        <v>18820400</v>
      </c>
    </row>
    <row r="220">
      <c r="B220" s="9" t="n">
        <v>44190</v>
      </c>
      <c r="C220" s="39" t="inlineStr">
        <is>
          <t>금</t>
        </is>
      </c>
      <c r="D220" s="48" t="n">
        <v>686</v>
      </c>
      <c r="E220" s="48" t="n"/>
      <c r="F220" s="48" t="n">
        <v>686</v>
      </c>
      <c r="J220" s="9" t="n">
        <v>44190</v>
      </c>
      <c r="K220" s="39" t="inlineStr">
        <is>
          <t>금</t>
        </is>
      </c>
      <c r="L220" s="48" t="n">
        <v>29531000</v>
      </c>
      <c r="M220" s="48" t="n"/>
      <c r="N220" s="48" t="n">
        <v>29531000</v>
      </c>
    </row>
    <row r="221">
      <c r="B221" s="9" t="n">
        <v>44191</v>
      </c>
      <c r="C221" s="39" t="inlineStr">
        <is>
          <t>토</t>
        </is>
      </c>
      <c r="D221" s="48" t="n">
        <v>782</v>
      </c>
      <c r="E221" s="48" t="n"/>
      <c r="F221" s="48" t="n">
        <v>782</v>
      </c>
      <c r="J221" s="9" t="n">
        <v>44191</v>
      </c>
      <c r="K221" s="39" t="inlineStr">
        <is>
          <t>토</t>
        </is>
      </c>
      <c r="L221" s="48" t="n">
        <v>33493600</v>
      </c>
      <c r="M221" s="48" t="n"/>
      <c r="N221" s="48" t="n">
        <v>33493600</v>
      </c>
    </row>
    <row r="222">
      <c r="B222" s="9" t="n">
        <v>44192</v>
      </c>
      <c r="C222" s="39" t="inlineStr">
        <is>
          <t>일</t>
        </is>
      </c>
      <c r="D222" s="48" t="n">
        <v>685</v>
      </c>
      <c r="E222" s="48" t="n">
        <v>3</v>
      </c>
      <c r="F222" s="48" t="n">
        <v>688</v>
      </c>
      <c r="J222" s="9" t="n">
        <v>44192</v>
      </c>
      <c r="K222" s="39" t="inlineStr">
        <is>
          <t>일</t>
        </is>
      </c>
      <c r="L222" s="48" t="n">
        <v>30174800</v>
      </c>
      <c r="M222" s="48" t="n">
        <v>6000</v>
      </c>
      <c r="N222" s="48" t="n">
        <v>30180800</v>
      </c>
    </row>
    <row r="223">
      <c r="B223" s="9" t="n">
        <v>44193</v>
      </c>
      <c r="C223" s="39" t="inlineStr">
        <is>
          <t>월</t>
        </is>
      </c>
      <c r="D223" s="48" t="n">
        <v>450</v>
      </c>
      <c r="E223" s="48" t="n"/>
      <c r="F223" s="48" t="n">
        <v>450</v>
      </c>
      <c r="J223" s="9" t="n">
        <v>44193</v>
      </c>
      <c r="K223" s="39" t="inlineStr">
        <is>
          <t>월</t>
        </is>
      </c>
      <c r="L223" s="48" t="n">
        <v>19059600</v>
      </c>
      <c r="M223" s="48" t="n"/>
      <c r="N223" s="48" t="n">
        <v>19059600</v>
      </c>
    </row>
    <row r="224">
      <c r="B224" s="9" t="n">
        <v>44194</v>
      </c>
      <c r="C224" s="39" t="inlineStr">
        <is>
          <t>화</t>
        </is>
      </c>
      <c r="D224" s="48" t="n">
        <v>453</v>
      </c>
      <c r="E224" s="48" t="n"/>
      <c r="F224" s="48" t="n">
        <v>453</v>
      </c>
      <c r="J224" s="9" t="n">
        <v>44194</v>
      </c>
      <c r="K224" s="39" t="inlineStr">
        <is>
          <t>화</t>
        </is>
      </c>
      <c r="L224" s="48" t="n">
        <v>19231600</v>
      </c>
      <c r="M224" s="48" t="n"/>
      <c r="N224" s="48" t="n">
        <v>19231600</v>
      </c>
    </row>
    <row r="225">
      <c r="B225" s="9" t="n">
        <v>44195</v>
      </c>
      <c r="C225" s="39" t="inlineStr">
        <is>
          <t>수</t>
        </is>
      </c>
      <c r="D225" s="48" t="n">
        <v>473</v>
      </c>
      <c r="E225" s="48" t="n">
        <v>1</v>
      </c>
      <c r="F225" s="48" t="n">
        <v>474</v>
      </c>
      <c r="J225" s="9" t="n">
        <v>44195</v>
      </c>
      <c r="K225" s="39" t="inlineStr">
        <is>
          <t>수</t>
        </is>
      </c>
      <c r="L225" s="48" t="n">
        <v>19884800</v>
      </c>
      <c r="M225" s="48" t="n">
        <v>2000</v>
      </c>
      <c r="N225" s="48" t="n">
        <v>19886800</v>
      </c>
    </row>
    <row r="226">
      <c r="B226" s="9" t="n">
        <v>44196</v>
      </c>
      <c r="C226" s="39" t="inlineStr">
        <is>
          <t>목</t>
        </is>
      </c>
      <c r="D226" s="48" t="n">
        <v>451</v>
      </c>
      <c r="E226" s="48" t="n">
        <v>1</v>
      </c>
      <c r="F226" s="48" t="n">
        <v>452</v>
      </c>
      <c r="J226" s="9" t="n">
        <v>44196</v>
      </c>
      <c r="K226" s="39" t="inlineStr">
        <is>
          <t>목</t>
        </is>
      </c>
      <c r="L226" s="48" t="n">
        <v>18434800</v>
      </c>
      <c r="M226" s="48" t="n">
        <v>2000</v>
      </c>
      <c r="N226" s="48" t="n">
        <v>18436800</v>
      </c>
    </row>
    <row r="227">
      <c r="B227" s="9" t="n">
        <v>44197</v>
      </c>
      <c r="C227" s="39" t="inlineStr">
        <is>
          <t>금</t>
        </is>
      </c>
      <c r="D227" s="48" t="n">
        <v>874</v>
      </c>
      <c r="E227" s="48" t="n">
        <v>1</v>
      </c>
      <c r="F227" s="48" t="n">
        <v>875</v>
      </c>
      <c r="J227" s="9" t="n">
        <v>44197</v>
      </c>
      <c r="K227" s="39" t="inlineStr">
        <is>
          <t>금</t>
        </is>
      </c>
      <c r="L227" s="48" t="n">
        <v>33841600</v>
      </c>
      <c r="M227" s="48" t="n">
        <v>2000</v>
      </c>
      <c r="N227" s="48" t="n">
        <v>33843600</v>
      </c>
    </row>
    <row r="228">
      <c r="B228" s="9" t="n">
        <v>44198</v>
      </c>
      <c r="C228" s="39" t="inlineStr">
        <is>
          <t>토</t>
        </is>
      </c>
      <c r="D228" s="48" t="n">
        <v>740</v>
      </c>
      <c r="E228" s="48" t="n"/>
      <c r="F228" s="48" t="n">
        <v>740</v>
      </c>
      <c r="J228" s="9" t="n">
        <v>44198</v>
      </c>
      <c r="K228" s="39" t="inlineStr">
        <is>
          <t>토</t>
        </is>
      </c>
      <c r="L228" s="48" t="n">
        <v>29041600</v>
      </c>
      <c r="M228" s="48" t="n"/>
      <c r="N228" s="48" t="n">
        <v>29041600</v>
      </c>
    </row>
    <row r="229">
      <c r="B229" s="9" t="n">
        <v>44199</v>
      </c>
      <c r="C229" s="39" t="inlineStr">
        <is>
          <t>일</t>
        </is>
      </c>
      <c r="D229" s="48" t="n">
        <v>702</v>
      </c>
      <c r="E229" s="48" t="n">
        <v>1</v>
      </c>
      <c r="F229" s="48" t="n">
        <v>703</v>
      </c>
      <c r="J229" s="9" t="n">
        <v>44199</v>
      </c>
      <c r="K229" s="39" t="inlineStr">
        <is>
          <t>일</t>
        </is>
      </c>
      <c r="L229" s="48" t="n">
        <v>27196800</v>
      </c>
      <c r="M229" s="48" t="n">
        <v>2000</v>
      </c>
      <c r="N229" s="48" t="n">
        <v>27198800</v>
      </c>
    </row>
    <row r="230">
      <c r="B230" s="9" t="n">
        <v>44200</v>
      </c>
      <c r="C230" s="39" t="inlineStr">
        <is>
          <t>월</t>
        </is>
      </c>
      <c r="D230" s="48" t="n">
        <v>689</v>
      </c>
      <c r="E230" s="48" t="n"/>
      <c r="F230" s="48" t="n">
        <v>689</v>
      </c>
      <c r="J230" s="9" t="n">
        <v>44200</v>
      </c>
      <c r="K230" s="39" t="inlineStr">
        <is>
          <t>월</t>
        </is>
      </c>
      <c r="L230" s="48" t="n">
        <v>26620400</v>
      </c>
      <c r="M230" s="48" t="n"/>
      <c r="N230" s="48" t="n">
        <v>26620400</v>
      </c>
    </row>
    <row r="231">
      <c r="B231" s="9" t="n">
        <v>44201</v>
      </c>
      <c r="C231" s="39" t="inlineStr">
        <is>
          <t>화</t>
        </is>
      </c>
      <c r="D231" s="48" t="n">
        <v>693</v>
      </c>
      <c r="E231" s="48" t="n">
        <v>1</v>
      </c>
      <c r="F231" s="48" t="n">
        <v>694</v>
      </c>
      <c r="J231" s="9" t="n">
        <v>44201</v>
      </c>
      <c r="K231" s="39" t="inlineStr">
        <is>
          <t>화</t>
        </is>
      </c>
      <c r="L231" s="48" t="n">
        <v>27215600</v>
      </c>
      <c r="M231" s="48" t="n">
        <v>2000</v>
      </c>
      <c r="N231" s="48" t="n">
        <v>27217600</v>
      </c>
    </row>
    <row r="232">
      <c r="B232" s="9" t="n">
        <v>44202</v>
      </c>
      <c r="C232" s="39" t="inlineStr">
        <is>
          <t>수</t>
        </is>
      </c>
      <c r="D232" s="48" t="n">
        <v>630</v>
      </c>
      <c r="E232" s="48" t="n">
        <v>1</v>
      </c>
      <c r="F232" s="48" t="n">
        <v>631</v>
      </c>
      <c r="J232" s="9" t="n">
        <v>44202</v>
      </c>
      <c r="K232" s="39" t="inlineStr">
        <is>
          <t>수</t>
        </is>
      </c>
      <c r="L232" s="48" t="n">
        <v>24646400</v>
      </c>
      <c r="M232" s="48" t="n">
        <v>2000</v>
      </c>
      <c r="N232" s="48" t="n">
        <v>24648400</v>
      </c>
    </row>
    <row r="233">
      <c r="B233" s="9" t="n">
        <v>44203</v>
      </c>
      <c r="C233" s="39" t="inlineStr">
        <is>
          <t>목</t>
        </is>
      </c>
      <c r="D233" s="48" t="n">
        <v>609</v>
      </c>
      <c r="E233" s="48" t="n"/>
      <c r="F233" s="48" t="n">
        <v>609</v>
      </c>
      <c r="J233" s="9" t="n">
        <v>44203</v>
      </c>
      <c r="K233" s="39" t="inlineStr">
        <is>
          <t>목</t>
        </is>
      </c>
      <c r="L233" s="48" t="n">
        <v>23910000</v>
      </c>
      <c r="M233" s="48" t="n"/>
      <c r="N233" s="48" t="n">
        <v>23910000</v>
      </c>
    </row>
    <row r="234">
      <c r="B234" s="9" t="n">
        <v>44204</v>
      </c>
      <c r="C234" s="39" t="inlineStr">
        <is>
          <t>금</t>
        </is>
      </c>
      <c r="D234" s="48" t="n">
        <v>528</v>
      </c>
      <c r="E234" s="48" t="n">
        <v>1</v>
      </c>
      <c r="F234" s="48" t="n">
        <v>529</v>
      </c>
      <c r="J234" s="9" t="n">
        <v>44204</v>
      </c>
      <c r="K234" s="39" t="inlineStr">
        <is>
          <t>금</t>
        </is>
      </c>
      <c r="L234" s="48" t="n">
        <v>20600000</v>
      </c>
      <c r="M234" s="48" t="n">
        <v>2000</v>
      </c>
      <c r="N234" s="48" t="n">
        <v>20602000</v>
      </c>
    </row>
    <row r="235">
      <c r="B235" s="9" t="n">
        <v>44205</v>
      </c>
      <c r="C235" s="39" t="inlineStr">
        <is>
          <t>토</t>
        </is>
      </c>
      <c r="D235" s="48" t="n">
        <v>722</v>
      </c>
      <c r="E235" s="48" t="n"/>
      <c r="F235" s="48" t="n">
        <v>722</v>
      </c>
      <c r="J235" s="9" t="n">
        <v>44205</v>
      </c>
      <c r="K235" s="39" t="inlineStr">
        <is>
          <t>토</t>
        </is>
      </c>
      <c r="L235" s="48" t="n">
        <v>27721600</v>
      </c>
      <c r="M235" s="48" t="n"/>
      <c r="N235" s="48" t="n">
        <v>27721600</v>
      </c>
    </row>
    <row r="236">
      <c r="B236" s="9" t="n">
        <v>44206</v>
      </c>
      <c r="C236" s="39" t="inlineStr">
        <is>
          <t>일</t>
        </is>
      </c>
      <c r="D236" s="48" t="n">
        <v>811</v>
      </c>
      <c r="E236" s="48" t="n">
        <v>2</v>
      </c>
      <c r="F236" s="48" t="n">
        <v>813</v>
      </c>
      <c r="J236" s="9" t="n">
        <v>44206</v>
      </c>
      <c r="K236" s="39" t="inlineStr">
        <is>
          <t>일</t>
        </is>
      </c>
      <c r="L236" s="48" t="n">
        <v>31303600</v>
      </c>
      <c r="M236" s="48" t="n">
        <v>4000</v>
      </c>
      <c r="N236" s="48" t="n">
        <v>31307600</v>
      </c>
    </row>
    <row r="237">
      <c r="B237" s="9" t="n">
        <v>44207</v>
      </c>
      <c r="C237" s="39" t="inlineStr">
        <is>
          <t>월</t>
        </is>
      </c>
      <c r="D237" s="48" t="n">
        <v>553</v>
      </c>
      <c r="E237" s="48" t="n"/>
      <c r="F237" s="48" t="n">
        <v>553</v>
      </c>
      <c r="J237" s="9" t="n">
        <v>44207</v>
      </c>
      <c r="K237" s="39" t="inlineStr">
        <is>
          <t>월</t>
        </is>
      </c>
      <c r="L237" s="48" t="n">
        <v>21795600</v>
      </c>
      <c r="M237" s="48" t="n"/>
      <c r="N237" s="48" t="n">
        <v>21795600</v>
      </c>
    </row>
    <row r="238">
      <c r="B238" s="9" t="n">
        <v>44208</v>
      </c>
      <c r="C238" s="39" t="inlineStr">
        <is>
          <t>화</t>
        </is>
      </c>
      <c r="D238" s="48" t="n">
        <v>686</v>
      </c>
      <c r="E238" s="48" t="n"/>
      <c r="F238" s="48" t="n">
        <v>686</v>
      </c>
      <c r="J238" s="9" t="n">
        <v>44208</v>
      </c>
      <c r="K238" s="39" t="inlineStr">
        <is>
          <t>화</t>
        </is>
      </c>
      <c r="L238" s="48" t="n">
        <v>25275200</v>
      </c>
      <c r="M238" s="48" t="n"/>
      <c r="N238" s="48" t="n">
        <v>25275200</v>
      </c>
    </row>
    <row r="239">
      <c r="B239" s="9" t="n">
        <v>44209</v>
      </c>
      <c r="C239" s="39" t="inlineStr">
        <is>
          <t>수</t>
        </is>
      </c>
      <c r="D239" s="48" t="n">
        <v>735</v>
      </c>
      <c r="E239" s="48" t="n">
        <v>1</v>
      </c>
      <c r="F239" s="48" t="n">
        <v>736</v>
      </c>
      <c r="J239" s="9" t="n">
        <v>44209</v>
      </c>
      <c r="K239" s="39" t="inlineStr">
        <is>
          <t>수</t>
        </is>
      </c>
      <c r="L239" s="48" t="n">
        <v>25698800</v>
      </c>
      <c r="M239" s="48" t="n">
        <v>2000</v>
      </c>
      <c r="N239" s="48" t="n">
        <v>25700800</v>
      </c>
    </row>
    <row r="240">
      <c r="B240" s="9" t="n">
        <v>44210</v>
      </c>
      <c r="C240" s="39" t="inlineStr">
        <is>
          <t>목</t>
        </is>
      </c>
      <c r="D240" s="48" t="n">
        <v>552</v>
      </c>
      <c r="E240" s="48" t="n">
        <v>1</v>
      </c>
      <c r="F240" s="48" t="n">
        <v>553</v>
      </c>
      <c r="J240" s="9" t="n">
        <v>44210</v>
      </c>
      <c r="K240" s="39" t="inlineStr">
        <is>
          <t>목</t>
        </is>
      </c>
      <c r="L240" s="48" t="n">
        <v>19532800</v>
      </c>
      <c r="M240" s="48" t="n">
        <v>2000</v>
      </c>
      <c r="N240" s="48" t="n">
        <v>19534800</v>
      </c>
    </row>
    <row r="241">
      <c r="B241" s="9" t="n">
        <v>44211</v>
      </c>
      <c r="C241" s="39" t="inlineStr">
        <is>
          <t>금</t>
        </is>
      </c>
      <c r="D241" s="48" t="n">
        <v>550</v>
      </c>
      <c r="E241" s="48" t="n">
        <v>3</v>
      </c>
      <c r="F241" s="48" t="n">
        <v>553</v>
      </c>
      <c r="J241" s="9" t="n">
        <v>44211</v>
      </c>
      <c r="K241" s="39" t="inlineStr">
        <is>
          <t>금</t>
        </is>
      </c>
      <c r="L241" s="48" t="n">
        <v>20062400</v>
      </c>
      <c r="M241" s="48" t="n">
        <v>6000</v>
      </c>
      <c r="N241" s="48" t="n">
        <v>20068400</v>
      </c>
    </row>
    <row r="242">
      <c r="B242" s="9" t="n">
        <v>44212</v>
      </c>
      <c r="C242" s="39" t="inlineStr">
        <is>
          <t>토</t>
        </is>
      </c>
      <c r="D242" s="48" t="n">
        <v>604</v>
      </c>
      <c r="E242" s="48" t="n">
        <v>13</v>
      </c>
      <c r="F242" s="48" t="n">
        <v>617</v>
      </c>
      <c r="J242" s="9" t="n">
        <v>44212</v>
      </c>
      <c r="K242" s="39" t="inlineStr">
        <is>
          <t>토</t>
        </is>
      </c>
      <c r="L242" s="48" t="n">
        <v>24355200</v>
      </c>
      <c r="M242" s="48" t="n">
        <v>26000</v>
      </c>
      <c r="N242" s="48" t="n">
        <v>24381200</v>
      </c>
    </row>
    <row r="243">
      <c r="B243" s="9" t="n">
        <v>44213</v>
      </c>
      <c r="C243" s="39" t="inlineStr">
        <is>
          <t>일</t>
        </is>
      </c>
      <c r="D243" s="48" t="n">
        <v>706</v>
      </c>
      <c r="E243" s="48" t="n">
        <v>12</v>
      </c>
      <c r="F243" s="48" t="n">
        <v>718</v>
      </c>
      <c r="J243" s="9" t="n">
        <v>44213</v>
      </c>
      <c r="K243" s="39" t="inlineStr">
        <is>
          <t>일</t>
        </is>
      </c>
      <c r="L243" s="48" t="n">
        <v>28096000</v>
      </c>
      <c r="M243" s="48" t="n">
        <v>24000</v>
      </c>
      <c r="N243" s="48" t="n">
        <v>28120000</v>
      </c>
    </row>
    <row r="244">
      <c r="B244" s="9" t="n">
        <v>44214</v>
      </c>
      <c r="C244" s="39" t="inlineStr">
        <is>
          <t>월</t>
        </is>
      </c>
      <c r="D244" s="48" t="n">
        <v>543</v>
      </c>
      <c r="E244" s="48" t="n">
        <v>19</v>
      </c>
      <c r="F244" s="48" t="n">
        <v>562</v>
      </c>
      <c r="J244" s="9" t="n">
        <v>44214</v>
      </c>
      <c r="K244" s="39" t="inlineStr">
        <is>
          <t>월</t>
        </is>
      </c>
      <c r="L244" s="48" t="n">
        <v>21718800</v>
      </c>
      <c r="M244" s="48" t="n">
        <v>38000</v>
      </c>
      <c r="N244" s="48" t="n">
        <v>21756800</v>
      </c>
    </row>
    <row r="245">
      <c r="B245" s="9" t="n">
        <v>44215</v>
      </c>
      <c r="C245" s="39" t="inlineStr">
        <is>
          <t>화</t>
        </is>
      </c>
      <c r="D245" s="48" t="n">
        <v>457</v>
      </c>
      <c r="E245" s="48" t="n">
        <v>13</v>
      </c>
      <c r="F245" s="48" t="n">
        <v>470</v>
      </c>
      <c r="J245" s="9" t="n">
        <v>44215</v>
      </c>
      <c r="K245" s="39" t="inlineStr">
        <is>
          <t>화</t>
        </is>
      </c>
      <c r="L245" s="48" t="n">
        <v>18712400</v>
      </c>
      <c r="M245" s="48" t="n">
        <v>26000</v>
      </c>
      <c r="N245" s="48" t="n">
        <v>18738400</v>
      </c>
    </row>
    <row r="246">
      <c r="B246" s="9" t="n">
        <v>44216</v>
      </c>
      <c r="C246" s="39" t="inlineStr">
        <is>
          <t>수</t>
        </is>
      </c>
      <c r="D246" s="48" t="n">
        <v>465</v>
      </c>
      <c r="E246" s="48" t="n">
        <v>13</v>
      </c>
      <c r="F246" s="48" t="n">
        <v>478</v>
      </c>
      <c r="J246" s="9" t="n">
        <v>44216</v>
      </c>
      <c r="K246" s="39" t="inlineStr">
        <is>
          <t>수</t>
        </is>
      </c>
      <c r="L246" s="48" t="n">
        <v>19778000</v>
      </c>
      <c r="M246" s="48" t="n">
        <v>26000</v>
      </c>
      <c r="N246" s="48" t="n">
        <v>19804000</v>
      </c>
    </row>
    <row r="247">
      <c r="B247" s="9" t="n">
        <v>44217</v>
      </c>
      <c r="C247" s="39" t="inlineStr">
        <is>
          <t>목</t>
        </is>
      </c>
      <c r="D247" s="48" t="n">
        <v>480</v>
      </c>
      <c r="E247" s="48" t="n">
        <v>16</v>
      </c>
      <c r="F247" s="48" t="n">
        <v>496</v>
      </c>
      <c r="J247" s="9" t="n">
        <v>44217</v>
      </c>
      <c r="K247" s="39" t="inlineStr">
        <is>
          <t>목</t>
        </is>
      </c>
      <c r="L247" s="48" t="n">
        <v>20614400</v>
      </c>
      <c r="M247" s="48" t="n">
        <v>32000</v>
      </c>
      <c r="N247" s="48" t="n">
        <v>20646400</v>
      </c>
    </row>
    <row r="248">
      <c r="B248" s="9" t="n">
        <v>44218</v>
      </c>
      <c r="C248" s="39" t="inlineStr">
        <is>
          <t>금</t>
        </is>
      </c>
      <c r="D248" s="48" t="n">
        <v>400</v>
      </c>
      <c r="E248" s="48" t="n">
        <v>6</v>
      </c>
      <c r="F248" s="48" t="n">
        <v>406</v>
      </c>
      <c r="J248" s="9" t="n">
        <v>44218</v>
      </c>
      <c r="K248" s="39" t="inlineStr">
        <is>
          <t>금</t>
        </is>
      </c>
      <c r="L248" s="48" t="n">
        <v>17063200</v>
      </c>
      <c r="M248" s="48" t="n">
        <v>12000</v>
      </c>
      <c r="N248" s="48" t="n">
        <v>17075200</v>
      </c>
    </row>
    <row r="249">
      <c r="B249" s="9" t="n">
        <v>44219</v>
      </c>
      <c r="C249" s="39" t="inlineStr">
        <is>
          <t>토</t>
        </is>
      </c>
      <c r="D249" s="48" t="n">
        <v>615</v>
      </c>
      <c r="E249" s="48" t="n">
        <v>18</v>
      </c>
      <c r="F249" s="48" t="n">
        <v>633</v>
      </c>
      <c r="J249" s="9" t="n">
        <v>44219</v>
      </c>
      <c r="K249" s="39" t="inlineStr">
        <is>
          <t>토</t>
        </is>
      </c>
      <c r="L249" s="48" t="n">
        <v>25994000</v>
      </c>
      <c r="M249" s="48" t="n">
        <v>36000</v>
      </c>
      <c r="N249" s="48" t="n">
        <v>26030000</v>
      </c>
    </row>
    <row r="250">
      <c r="B250" s="9" t="n">
        <v>44220</v>
      </c>
      <c r="C250" s="39" t="inlineStr">
        <is>
          <t>일</t>
        </is>
      </c>
      <c r="D250" s="48" t="n">
        <v>659</v>
      </c>
      <c r="E250" s="48" t="n">
        <v>18</v>
      </c>
      <c r="F250" s="48" t="n">
        <v>677</v>
      </c>
      <c r="J250" s="9" t="n">
        <v>44220</v>
      </c>
      <c r="K250" s="39" t="inlineStr">
        <is>
          <t>일</t>
        </is>
      </c>
      <c r="L250" s="48" t="n">
        <v>27961200</v>
      </c>
      <c r="M250" s="48" t="n">
        <v>36000</v>
      </c>
      <c r="N250" s="48" t="n">
        <v>27997200</v>
      </c>
    </row>
    <row r="251">
      <c r="B251" s="9" t="n">
        <v>44221</v>
      </c>
      <c r="C251" s="39" t="inlineStr">
        <is>
          <t>월</t>
        </is>
      </c>
      <c r="D251" s="48" t="n">
        <v>487</v>
      </c>
      <c r="E251" s="48" t="n">
        <v>8</v>
      </c>
      <c r="F251" s="48" t="n">
        <v>495</v>
      </c>
      <c r="J251" s="9" t="n">
        <v>44221</v>
      </c>
      <c r="K251" s="39" t="inlineStr">
        <is>
          <t>월</t>
        </is>
      </c>
      <c r="L251" s="48" t="n">
        <v>20682800</v>
      </c>
      <c r="M251" s="48" t="n">
        <v>16000</v>
      </c>
      <c r="N251" s="48" t="n">
        <v>20698800</v>
      </c>
    </row>
    <row r="252">
      <c r="B252" s="9" t="n">
        <v>44222</v>
      </c>
      <c r="C252" s="39" t="inlineStr">
        <is>
          <t>화</t>
        </is>
      </c>
      <c r="D252" s="48" t="n">
        <v>400</v>
      </c>
      <c r="E252" s="48" t="n">
        <v>13</v>
      </c>
      <c r="F252" s="48" t="n">
        <v>413</v>
      </c>
      <c r="J252" s="9" t="n">
        <v>44222</v>
      </c>
      <c r="K252" s="39" t="inlineStr">
        <is>
          <t>화</t>
        </is>
      </c>
      <c r="L252" s="48" t="n">
        <v>17596800</v>
      </c>
      <c r="M252" s="48" t="n">
        <v>26000</v>
      </c>
      <c r="N252" s="48" t="n">
        <v>17622800</v>
      </c>
    </row>
    <row r="253">
      <c r="B253" s="9" t="n">
        <v>44223</v>
      </c>
      <c r="C253" s="39" t="inlineStr">
        <is>
          <t>수</t>
        </is>
      </c>
      <c r="D253" s="48" t="n">
        <v>456</v>
      </c>
      <c r="E253" s="48" t="n">
        <v>10</v>
      </c>
      <c r="F253" s="48" t="n">
        <v>466</v>
      </c>
      <c r="J253" s="9" t="n">
        <v>44223</v>
      </c>
      <c r="K253" s="39" t="inlineStr">
        <is>
          <t>수</t>
        </is>
      </c>
      <c r="L253" s="48" t="n">
        <v>19769600</v>
      </c>
      <c r="M253" s="48" t="n">
        <v>20000</v>
      </c>
      <c r="N253" s="48" t="n">
        <v>19789600</v>
      </c>
    </row>
    <row r="254">
      <c r="B254" s="9" t="n">
        <v>44224</v>
      </c>
      <c r="C254" s="39" t="inlineStr">
        <is>
          <t>목</t>
        </is>
      </c>
      <c r="D254" s="48" t="n">
        <v>424</v>
      </c>
      <c r="E254" s="48" t="n">
        <v>8</v>
      </c>
      <c r="F254" s="48" t="n">
        <v>432</v>
      </c>
      <c r="J254" s="9" t="n">
        <v>44224</v>
      </c>
      <c r="K254" s="39" t="inlineStr">
        <is>
          <t>목</t>
        </is>
      </c>
      <c r="L254" s="48" t="n">
        <v>18115200</v>
      </c>
      <c r="M254" s="48" t="n">
        <v>16000</v>
      </c>
      <c r="N254" s="48" t="n">
        <v>18131200</v>
      </c>
    </row>
    <row r="255">
      <c r="B255" s="9" t="n">
        <v>44225</v>
      </c>
      <c r="C255" s="39" t="inlineStr">
        <is>
          <t>금</t>
        </is>
      </c>
      <c r="D255" s="48" t="n">
        <v>385</v>
      </c>
      <c r="E255" s="48" t="n">
        <v>8</v>
      </c>
      <c r="F255" s="48" t="n">
        <v>393</v>
      </c>
      <c r="J255" s="9" t="n">
        <v>44225</v>
      </c>
      <c r="K255" s="39" t="inlineStr">
        <is>
          <t>금</t>
        </is>
      </c>
      <c r="L255" s="48" t="n">
        <v>16810000</v>
      </c>
      <c r="M255" s="48" t="n">
        <v>16000</v>
      </c>
      <c r="N255" s="48" t="n">
        <v>16826000</v>
      </c>
    </row>
    <row r="256">
      <c r="B256" s="9" t="n">
        <v>44226</v>
      </c>
      <c r="C256" s="39" t="inlineStr">
        <is>
          <t>토</t>
        </is>
      </c>
      <c r="D256" s="48" t="n">
        <v>409</v>
      </c>
      <c r="E256" s="48" t="n">
        <v>16</v>
      </c>
      <c r="F256" s="48" t="n">
        <v>425</v>
      </c>
      <c r="J256" s="9" t="n">
        <v>44226</v>
      </c>
      <c r="K256" s="39" t="inlineStr">
        <is>
          <t>토</t>
        </is>
      </c>
      <c r="L256" s="48" t="n">
        <v>17204400</v>
      </c>
      <c r="M256" s="48" t="n">
        <v>32000</v>
      </c>
      <c r="N256" s="48" t="n">
        <v>17236400</v>
      </c>
    </row>
    <row r="257">
      <c r="B257" s="9" t="n">
        <v>44227</v>
      </c>
      <c r="C257" s="39" t="inlineStr">
        <is>
          <t>일</t>
        </is>
      </c>
      <c r="D257" s="48" t="n">
        <v>472</v>
      </c>
      <c r="E257" s="48" t="n">
        <v>17</v>
      </c>
      <c r="F257" s="48" t="n">
        <v>489</v>
      </c>
      <c r="J257" s="9" t="n">
        <v>44227</v>
      </c>
      <c r="K257" s="39" t="inlineStr">
        <is>
          <t>일</t>
        </is>
      </c>
      <c r="L257" s="48" t="n">
        <v>20685600</v>
      </c>
      <c r="M257" s="48" t="n">
        <v>34000</v>
      </c>
      <c r="N257" s="48" t="n">
        <v>20719600</v>
      </c>
    </row>
    <row r="258">
      <c r="B258" s="9" t="n">
        <v>44228</v>
      </c>
      <c r="C258" s="39" t="inlineStr">
        <is>
          <t>월</t>
        </is>
      </c>
      <c r="D258" s="48" t="n">
        <v>466</v>
      </c>
      <c r="E258" s="48" t="n">
        <v>7</v>
      </c>
      <c r="F258" s="48" t="n">
        <v>473</v>
      </c>
      <c r="J258" s="9" t="n">
        <v>44228</v>
      </c>
      <c r="K258" s="39" t="inlineStr">
        <is>
          <t>월</t>
        </is>
      </c>
      <c r="L258" s="48" t="n">
        <v>19671200</v>
      </c>
      <c r="M258" s="48" t="n">
        <v>14000</v>
      </c>
      <c r="N258" s="48" t="n">
        <v>19685200</v>
      </c>
    </row>
    <row r="259">
      <c r="B259" s="9" t="n">
        <v>44229</v>
      </c>
      <c r="C259" s="39" t="inlineStr">
        <is>
          <t>화</t>
        </is>
      </c>
      <c r="D259" s="48" t="n">
        <v>445</v>
      </c>
      <c r="E259" s="48" t="n">
        <v>7</v>
      </c>
      <c r="F259" s="48" t="n">
        <v>452</v>
      </c>
      <c r="J259" s="9" t="n">
        <v>44229</v>
      </c>
      <c r="K259" s="39" t="inlineStr">
        <is>
          <t>화</t>
        </is>
      </c>
      <c r="L259" s="48" t="n">
        <v>18701200</v>
      </c>
      <c r="M259" s="48" t="n">
        <v>14000</v>
      </c>
      <c r="N259" s="48" t="n">
        <v>18715200</v>
      </c>
    </row>
    <row r="260">
      <c r="B260" s="9" t="n">
        <v>44230</v>
      </c>
      <c r="C260" s="39" t="inlineStr">
        <is>
          <t>수</t>
        </is>
      </c>
      <c r="D260" s="48" t="n">
        <v>657</v>
      </c>
      <c r="E260" s="48" t="n">
        <v>19</v>
      </c>
      <c r="F260" s="48" t="n">
        <v>676</v>
      </c>
      <c r="J260" s="9" t="n">
        <v>44230</v>
      </c>
      <c r="K260" s="39" t="inlineStr">
        <is>
          <t>수</t>
        </is>
      </c>
      <c r="L260" s="48" t="n">
        <v>30199600</v>
      </c>
      <c r="M260" s="48" t="n">
        <v>38000</v>
      </c>
      <c r="N260" s="48" t="n">
        <v>30237600</v>
      </c>
    </row>
    <row r="261">
      <c r="B261" s="9" t="n">
        <v>44231</v>
      </c>
      <c r="C261" s="39" t="inlineStr">
        <is>
          <t>목</t>
        </is>
      </c>
      <c r="D261" s="48" t="n">
        <v>441</v>
      </c>
      <c r="E261" s="48" t="n">
        <v>13</v>
      </c>
      <c r="F261" s="48" t="n">
        <v>454</v>
      </c>
      <c r="J261" s="9" t="n">
        <v>44231</v>
      </c>
      <c r="K261" s="39" t="inlineStr">
        <is>
          <t>목</t>
        </is>
      </c>
      <c r="L261" s="48" t="n">
        <v>19672400</v>
      </c>
      <c r="M261" s="48" t="n">
        <v>26000</v>
      </c>
      <c r="N261" s="48" t="n">
        <v>19698400</v>
      </c>
    </row>
    <row r="262">
      <c r="B262" s="9" t="n">
        <v>44232</v>
      </c>
      <c r="C262" s="39" t="inlineStr">
        <is>
          <t>금</t>
        </is>
      </c>
      <c r="D262" s="48" t="n">
        <v>356</v>
      </c>
      <c r="E262" s="48" t="n">
        <v>9</v>
      </c>
      <c r="F262" s="48" t="n">
        <v>365</v>
      </c>
      <c r="J262" s="9" t="n">
        <v>44232</v>
      </c>
      <c r="K262" s="39" t="inlineStr">
        <is>
          <t>금</t>
        </is>
      </c>
      <c r="L262" s="48" t="n">
        <v>16270400</v>
      </c>
      <c r="M262" s="48" t="n">
        <v>18000</v>
      </c>
      <c r="N262" s="48" t="n">
        <v>16288400</v>
      </c>
    </row>
    <row r="263">
      <c r="B263" s="9" t="n">
        <v>44233</v>
      </c>
      <c r="C263" s="39" t="inlineStr">
        <is>
          <t>토</t>
        </is>
      </c>
      <c r="D263" s="48" t="n">
        <v>393</v>
      </c>
      <c r="E263" s="48" t="n">
        <v>5</v>
      </c>
      <c r="F263" s="48" t="n">
        <v>398</v>
      </c>
      <c r="J263" s="9" t="n">
        <v>44233</v>
      </c>
      <c r="K263" s="39" t="inlineStr">
        <is>
          <t>토</t>
        </is>
      </c>
      <c r="L263" s="48" t="n">
        <v>18049200</v>
      </c>
      <c r="M263" s="48" t="n">
        <v>10000</v>
      </c>
      <c r="N263" s="48" t="n">
        <v>18059200</v>
      </c>
    </row>
    <row r="264">
      <c r="B264" s="9" t="n">
        <v>44234</v>
      </c>
      <c r="C264" s="39" t="inlineStr">
        <is>
          <t>일</t>
        </is>
      </c>
      <c r="D264" s="48" t="n">
        <v>450</v>
      </c>
      <c r="E264" s="48" t="n">
        <v>13</v>
      </c>
      <c r="F264" s="48" t="n">
        <v>463</v>
      </c>
      <c r="J264" s="9" t="n">
        <v>44234</v>
      </c>
      <c r="K264" s="39" t="inlineStr">
        <is>
          <t>일</t>
        </is>
      </c>
      <c r="L264" s="48" t="n">
        <v>20185600</v>
      </c>
      <c r="M264" s="48" t="n">
        <v>26000</v>
      </c>
      <c r="N264" s="48" t="n">
        <v>20211600</v>
      </c>
    </row>
    <row r="265">
      <c r="B265" s="9" t="n">
        <v>44235</v>
      </c>
      <c r="C265" s="39" t="inlineStr">
        <is>
          <t>월</t>
        </is>
      </c>
      <c r="D265" s="48" t="n">
        <v>303</v>
      </c>
      <c r="E265" s="48" t="n">
        <v>8</v>
      </c>
      <c r="F265" s="48" t="n">
        <v>311</v>
      </c>
      <c r="J265" s="9" t="n">
        <v>44235</v>
      </c>
      <c r="K265" s="39" t="inlineStr">
        <is>
          <t>월</t>
        </is>
      </c>
      <c r="L265" s="48" t="n">
        <v>13476400</v>
      </c>
      <c r="M265" s="48" t="n">
        <v>16000</v>
      </c>
      <c r="N265" s="48" t="n">
        <v>13492400</v>
      </c>
    </row>
    <row r="266">
      <c r="B266" s="9" t="n">
        <v>44236</v>
      </c>
      <c r="C266" s="39" t="inlineStr">
        <is>
          <t>화</t>
        </is>
      </c>
      <c r="D266" s="48" t="n">
        <v>350</v>
      </c>
      <c r="E266" s="48" t="n">
        <v>8</v>
      </c>
      <c r="F266" s="48" t="n">
        <v>358</v>
      </c>
      <c r="J266" s="9" t="n">
        <v>44236</v>
      </c>
      <c r="K266" s="39" t="inlineStr">
        <is>
          <t>화</t>
        </is>
      </c>
      <c r="L266" s="48" t="n">
        <v>15248000</v>
      </c>
      <c r="M266" s="48" t="n">
        <v>16000</v>
      </c>
      <c r="N266" s="48" t="n">
        <v>15264000</v>
      </c>
    </row>
    <row r="267">
      <c r="B267" s="39" t="inlineStr">
        <is>
          <t>총합계</t>
        </is>
      </c>
      <c r="C267" s="39" t="n"/>
      <c r="D267" s="48" t="n">
        <v>62547</v>
      </c>
      <c r="E267" s="48" t="n">
        <v>1005</v>
      </c>
      <c r="F267" s="48" t="n">
        <v>63552</v>
      </c>
      <c r="J267" s="39" t="inlineStr">
        <is>
          <t>총합계</t>
        </is>
      </c>
      <c r="L267" s="48" t="n">
        <v>2564850400</v>
      </c>
      <c r="M267" s="48" t="n">
        <v>2010000</v>
      </c>
      <c r="N267" s="48" t="n">
        <v>2566860400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FFFF00"/>
    <outlinePr summaryBelow="1" summaryRight="1"/>
    <pageSetUpPr/>
  </sheetPr>
  <dimension ref="B1:AB240"/>
  <sheetViews>
    <sheetView showGridLines="0" zoomScale="70" zoomScaleNormal="70" workbookViewId="0">
      <selection activeCell="F30" sqref="F30"/>
    </sheetView>
  </sheetViews>
  <sheetFormatPr baseColWidth="8" defaultRowHeight="16.5" outlineLevelCol="0"/>
  <cols>
    <col width="1.59765625" customWidth="1" style="47" min="1" max="1"/>
    <col width="15.09765625" bestFit="1" customWidth="1" style="47" min="2" max="2"/>
    <col width="13.3984375" bestFit="1" customWidth="1" style="3" min="3" max="3"/>
    <col width="7.69921875" bestFit="1" customWidth="1" style="47" min="4" max="4"/>
    <col width="14.59765625" bestFit="1" customWidth="1" style="47" min="5" max="7"/>
    <col width="7.09765625" bestFit="1" customWidth="1" style="47" min="8" max="8"/>
    <col width="20.59765625" bestFit="1" customWidth="1" style="47" min="9" max="9"/>
    <col width="7.59765625" bestFit="1" customWidth="1" style="47" min="10" max="10"/>
    <col width="20.59765625" bestFit="1" customWidth="1" style="47" min="11" max="13"/>
    <col width="8.59765625" bestFit="1" customWidth="1" style="47" min="14" max="14"/>
    <col width="8" customWidth="1" style="47" min="15" max="15"/>
    <col width="18.09765625" bestFit="1" customWidth="1" style="47" min="16" max="16"/>
    <col width="13.3984375" bestFit="1" customWidth="1" style="47" min="17" max="17"/>
    <col width="7.69921875" bestFit="1" customWidth="1" style="47" min="18" max="18"/>
    <col width="14.59765625" bestFit="1" customWidth="1" style="47" min="19" max="21"/>
    <col width="14" bestFit="1" customWidth="1" style="47" min="22" max="22"/>
    <col width="20.59765625" bestFit="1" customWidth="1" style="47" min="23" max="23"/>
    <col width="13.59765625" bestFit="1" customWidth="1" style="47" min="24" max="24"/>
    <col width="20.59765625" bestFit="1" customWidth="1" style="47" min="25" max="27"/>
    <col width="13.59765625" bestFit="1" customWidth="1" style="47" min="28" max="28"/>
    <col width="36.09765625" bestFit="1" customWidth="1" style="47" min="29" max="37"/>
    <col width="33.09765625" bestFit="1" customWidth="1" style="47" min="38" max="38"/>
    <col width="31.09765625" bestFit="1" customWidth="1" style="47" min="39" max="39"/>
    <col width="20.09765625" bestFit="1" customWidth="1" style="47" min="40" max="40"/>
    <col width="18" bestFit="1" customWidth="1" style="47" min="41" max="41"/>
    <col width="30.59765625" bestFit="1" customWidth="1" style="47" min="42" max="43"/>
    <col width="24.09765625" bestFit="1" customWidth="1" style="47" min="44" max="44"/>
    <col width="22.09765625" bestFit="1" customWidth="1" style="47" min="45" max="45"/>
    <col width="36.09765625" bestFit="1" customWidth="1" style="47" min="46" max="69"/>
    <col width="33.09765625" bestFit="1" customWidth="1" style="47" min="70" max="70"/>
    <col width="31.09765625" bestFit="1" customWidth="1" style="47" min="71" max="71"/>
    <col width="20.09765625" bestFit="1" customWidth="1" style="47" min="72" max="72"/>
    <col width="18" bestFit="1" customWidth="1" style="47" min="73" max="73"/>
    <col width="11.09765625" bestFit="1" customWidth="1" style="47" min="74" max="74"/>
    <col width="15.09765625" bestFit="1" customWidth="1" style="47" min="75" max="75"/>
    <col width="11.09765625" bestFit="1" customWidth="1" style="47" min="76" max="76"/>
    <col width="24.09765625" bestFit="1" customWidth="1" style="47" min="77" max="77"/>
    <col width="20.09765625" bestFit="1" customWidth="1" style="47" min="78" max="78"/>
    <col width="15.09765625" bestFit="1" customWidth="1" style="47" min="79" max="79"/>
    <col width="11.09765625" bestFit="1" customWidth="1" style="47" min="80" max="80"/>
    <col width="15.09765625" bestFit="1" customWidth="1" style="47" min="81" max="81"/>
    <col width="11.09765625" bestFit="1" customWidth="1" style="47" min="82" max="82"/>
    <col width="15.09765625" bestFit="1" customWidth="1" style="47" min="83" max="83"/>
    <col width="11.09765625" bestFit="1" customWidth="1" style="47" min="84" max="84"/>
    <col width="15.09765625" bestFit="1" customWidth="1" style="47" min="85" max="85"/>
    <col width="11.09765625" bestFit="1" customWidth="1" style="47" min="86" max="86"/>
    <col width="15.09765625" bestFit="1" customWidth="1" style="47" min="87" max="87"/>
    <col width="11.09765625" bestFit="1" customWidth="1" style="47" min="88" max="88"/>
    <col width="15.09765625" bestFit="1" customWidth="1" style="47" min="89" max="89"/>
    <col width="11.09765625" bestFit="1" customWidth="1" style="47" min="90" max="90"/>
    <col width="15.09765625" bestFit="1" customWidth="1" style="47" min="91" max="91"/>
    <col width="11.09765625" bestFit="1" customWidth="1" style="47" min="92" max="92"/>
    <col width="15.09765625" bestFit="1" customWidth="1" style="47" min="93" max="93"/>
    <col width="11.09765625" bestFit="1" customWidth="1" style="47" min="94" max="94"/>
    <col width="28.09765625" bestFit="1" customWidth="1" style="47" min="95" max="95"/>
    <col width="24.09765625" bestFit="1" customWidth="1" style="47" min="96" max="96"/>
    <col width="15.09765625" bestFit="1" customWidth="1" style="47" min="97" max="97"/>
    <col width="11.09765625" bestFit="1" customWidth="1" style="47" min="98" max="98"/>
    <col width="26.09765625" bestFit="1" customWidth="1" style="47" min="99" max="99"/>
    <col width="22.09765625" bestFit="1" customWidth="1" style="47" min="100" max="100"/>
    <col width="20.09765625" bestFit="1" customWidth="1" style="47" min="101" max="101"/>
    <col width="15.59765625" bestFit="1" customWidth="1" style="47" min="102" max="102"/>
  </cols>
  <sheetData>
    <row r="1">
      <c r="B1" s="1" t="inlineStr">
        <is>
          <t>상품1</t>
        </is>
      </c>
      <c r="C1" s="39" t="inlineStr">
        <is>
          <t>(다중 항목)</t>
        </is>
      </c>
      <c r="P1" s="1" t="inlineStr">
        <is>
          <t>상품1</t>
        </is>
      </c>
      <c r="Q1" s="39" t="inlineStr">
        <is>
          <t>(다중 항목)</t>
        </is>
      </c>
    </row>
    <row r="2">
      <c r="C2" s="39" t="n"/>
    </row>
    <row r="3">
      <c r="B3" s="1" t="inlineStr">
        <is>
          <t>합계 : 판매수량</t>
        </is>
      </c>
      <c r="C3" s="39" t="n"/>
      <c r="D3" s="1" t="inlineStr">
        <is>
          <t>채널</t>
        </is>
      </c>
      <c r="P3" s="1" t="inlineStr">
        <is>
          <t>합계 : 판매액</t>
        </is>
      </c>
      <c r="R3" s="1" t="inlineStr">
        <is>
          <t>채널</t>
        </is>
      </c>
    </row>
    <row r="4">
      <c r="B4" s="1" t="inlineStr">
        <is>
          <t>일자</t>
        </is>
      </c>
      <c r="C4" s="1" t="inlineStr">
        <is>
          <t>요일</t>
        </is>
      </c>
      <c r="D4" s="39" t="inlineStr">
        <is>
          <t>총합계</t>
        </is>
      </c>
      <c r="P4" s="1" t="inlineStr">
        <is>
          <t>일자</t>
        </is>
      </c>
      <c r="Q4" s="1" t="inlineStr">
        <is>
          <t>요일</t>
        </is>
      </c>
      <c r="R4" s="39" t="inlineStr">
        <is>
          <t>총합계</t>
        </is>
      </c>
    </row>
    <row r="5">
      <c r="B5" s="39" t="inlineStr">
        <is>
          <t>총합계</t>
        </is>
      </c>
      <c r="C5" s="39" t="n"/>
      <c r="D5" s="48" t="n"/>
      <c r="P5" s="39" t="inlineStr">
        <is>
          <t>총합계</t>
        </is>
      </c>
      <c r="R5" s="48" t="n"/>
    </row>
    <row r="6">
      <c r="C6" s="39" t="n"/>
    </row>
    <row r="7">
      <c r="C7" s="39" t="n"/>
    </row>
    <row r="8">
      <c r="C8" s="39" t="n"/>
    </row>
    <row r="9">
      <c r="C9" s="39" t="n"/>
    </row>
    <row r="10">
      <c r="C10" s="39" t="n"/>
    </row>
    <row r="11">
      <c r="C11" s="39" t="n"/>
    </row>
    <row r="12">
      <c r="C12" s="39" t="n"/>
    </row>
    <row r="13">
      <c r="C13" s="39" t="n"/>
    </row>
    <row r="14">
      <c r="C14" s="39" t="n"/>
    </row>
    <row r="15">
      <c r="C15" s="39" t="n"/>
    </row>
    <row r="16">
      <c r="C16" s="39" t="n"/>
    </row>
    <row r="17">
      <c r="C17" s="39" t="n"/>
    </row>
    <row r="18">
      <c r="C18" s="39" t="n"/>
    </row>
    <row r="19">
      <c r="C19" s="39" t="n"/>
    </row>
    <row r="20">
      <c r="C20" s="39" t="n"/>
    </row>
    <row r="21">
      <c r="C21" s="39" t="n"/>
    </row>
    <row r="22">
      <c r="C22" s="39" t="n"/>
    </row>
    <row r="23">
      <c r="C23" s="39" t="n"/>
    </row>
    <row r="24">
      <c r="C24" s="39" t="n"/>
    </row>
    <row r="25">
      <c r="C25" s="39" t="n"/>
    </row>
    <row r="26">
      <c r="C26" s="39" t="n"/>
    </row>
    <row r="27">
      <c r="C27" s="39" t="n"/>
    </row>
    <row r="28">
      <c r="C28" s="39" t="n"/>
    </row>
    <row r="29">
      <c r="C29" s="39" t="n"/>
    </row>
    <row r="30">
      <c r="C30" s="39" t="n"/>
    </row>
    <row r="31">
      <c r="C31" s="39" t="n"/>
    </row>
    <row r="32">
      <c r="C32" s="39" t="n"/>
    </row>
    <row r="33">
      <c r="C33" s="39" t="n"/>
    </row>
    <row r="34">
      <c r="C34" s="39" t="n"/>
    </row>
    <row r="35">
      <c r="C35" s="39" t="n"/>
    </row>
    <row r="36">
      <c r="C36" s="39" t="n"/>
    </row>
    <row r="37">
      <c r="C37" s="39" t="n"/>
    </row>
    <row r="38">
      <c r="C38" s="39" t="n"/>
    </row>
    <row r="39">
      <c r="C39" s="39" t="n"/>
    </row>
    <row r="40">
      <c r="C40" s="39" t="n"/>
    </row>
    <row r="41">
      <c r="C41" s="39" t="n"/>
    </row>
    <row r="42">
      <c r="C42" s="39" t="n"/>
    </row>
    <row r="43">
      <c r="C43" s="39" t="n"/>
    </row>
    <row r="44">
      <c r="C44" s="39" t="n"/>
    </row>
    <row r="45">
      <c r="C45" s="39" t="n"/>
    </row>
    <row r="46">
      <c r="C46" s="39" t="n"/>
    </row>
    <row r="47">
      <c r="C47" s="39" t="n"/>
    </row>
    <row r="48">
      <c r="C48" s="39" t="n"/>
    </row>
    <row r="49">
      <c r="C49" s="39" t="n"/>
    </row>
    <row r="50">
      <c r="C50" s="39" t="n"/>
    </row>
    <row r="51">
      <c r="C51" s="39" t="n"/>
    </row>
    <row r="52">
      <c r="C52" s="39" t="n"/>
    </row>
    <row r="53">
      <c r="C53" s="39" t="n"/>
    </row>
    <row r="54">
      <c r="C54" s="39" t="n"/>
    </row>
    <row r="55">
      <c r="C55" s="39" t="n"/>
    </row>
    <row r="56">
      <c r="C56" s="39" t="n"/>
    </row>
    <row r="57">
      <c r="C57" s="39" t="n"/>
    </row>
    <row r="58">
      <c r="C58" s="39" t="n"/>
    </row>
    <row r="59">
      <c r="C59" s="39" t="n"/>
    </row>
    <row r="60">
      <c r="C60" s="39" t="n"/>
      <c r="I60" s="48" t="n"/>
      <c r="J60" s="48" t="n"/>
      <c r="K60" s="48" t="n"/>
      <c r="L60" s="48" t="n"/>
      <c r="M60" s="48" t="n"/>
      <c r="N60" s="48" t="n"/>
    </row>
    <row r="61">
      <c r="C61" s="39" t="n"/>
      <c r="I61" s="48" t="n"/>
      <c r="J61" s="48" t="n"/>
      <c r="K61" s="48" t="n"/>
      <c r="L61" s="48" t="n"/>
      <c r="M61" s="48" t="n"/>
      <c r="N61" s="48" t="n"/>
      <c r="W61" s="48" t="n"/>
      <c r="X61" s="48" t="n"/>
      <c r="Y61" s="48" t="n"/>
      <c r="Z61" s="48" t="n"/>
      <c r="AA61" s="48" t="n"/>
      <c r="AB61" s="48" t="n"/>
    </row>
    <row r="62">
      <c r="C62" s="39" t="n"/>
      <c r="I62" s="48" t="n"/>
      <c r="J62" s="48" t="n"/>
      <c r="K62" s="48" t="n"/>
      <c r="L62" s="48" t="n"/>
      <c r="M62" s="48" t="n"/>
      <c r="N62" s="48" t="n"/>
      <c r="W62" s="48" t="n"/>
      <c r="X62" s="48" t="n"/>
      <c r="Y62" s="48" t="n"/>
      <c r="Z62" s="48" t="n"/>
      <c r="AA62" s="48" t="n"/>
      <c r="AB62" s="48" t="n"/>
    </row>
    <row r="63">
      <c r="C63" s="39" t="n"/>
      <c r="I63" s="48" t="n"/>
      <c r="J63" s="48" t="n"/>
      <c r="K63" s="48" t="n"/>
      <c r="L63" s="48" t="n"/>
      <c r="M63" s="48" t="n"/>
      <c r="N63" s="48" t="n"/>
      <c r="W63" s="48" t="n"/>
      <c r="X63" s="48" t="n"/>
      <c r="Y63" s="48" t="n"/>
      <c r="Z63" s="48" t="n"/>
      <c r="AA63" s="48" t="n"/>
      <c r="AB63" s="48" t="n"/>
    </row>
    <row r="64">
      <c r="C64" s="39" t="n"/>
      <c r="I64" s="48" t="n"/>
      <c r="J64" s="48" t="n"/>
      <c r="K64" s="48" t="n"/>
      <c r="L64" s="48" t="n"/>
      <c r="M64" s="48" t="n"/>
      <c r="N64" s="48" t="n"/>
      <c r="W64" s="48" t="n"/>
      <c r="X64" s="48" t="n"/>
      <c r="Y64" s="48" t="n"/>
      <c r="Z64" s="48" t="n"/>
      <c r="AA64" s="48" t="n"/>
      <c r="AB64" s="48" t="n"/>
    </row>
    <row r="65">
      <c r="C65" s="39" t="n"/>
      <c r="I65" s="48" t="n"/>
      <c r="J65" s="48" t="n"/>
      <c r="K65" s="48" t="n"/>
      <c r="L65" s="48" t="n"/>
      <c r="M65" s="48" t="n"/>
      <c r="N65" s="48" t="n"/>
      <c r="W65" s="48" t="n"/>
      <c r="X65" s="48" t="n"/>
      <c r="Y65" s="48" t="n"/>
      <c r="Z65" s="48" t="n"/>
      <c r="AA65" s="48" t="n"/>
      <c r="AB65" s="48" t="n"/>
    </row>
    <row r="66">
      <c r="C66" s="39" t="n"/>
      <c r="I66" s="48" t="n"/>
      <c r="J66" s="48" t="n"/>
      <c r="K66" s="48" t="n"/>
      <c r="L66" s="48" t="n"/>
      <c r="M66" s="48" t="n"/>
      <c r="N66" s="48" t="n"/>
      <c r="W66" s="48" t="n"/>
      <c r="X66" s="48" t="n"/>
      <c r="Y66" s="48" t="n"/>
      <c r="Z66" s="48" t="n"/>
      <c r="AA66" s="48" t="n"/>
      <c r="AB66" s="48" t="n"/>
    </row>
    <row r="67">
      <c r="C67" s="39" t="n"/>
      <c r="I67" s="48" t="n"/>
      <c r="J67" s="48" t="n"/>
      <c r="K67" s="48" t="n"/>
      <c r="L67" s="48" t="n"/>
      <c r="M67" s="48" t="n"/>
      <c r="N67" s="48" t="n"/>
      <c r="W67" s="48" t="n"/>
      <c r="X67" s="48" t="n"/>
      <c r="Y67" s="48" t="n"/>
      <c r="Z67" s="48" t="n"/>
      <c r="AA67" s="48" t="n"/>
      <c r="AB67" s="48" t="n"/>
    </row>
    <row r="68">
      <c r="C68" s="39" t="n"/>
      <c r="I68" s="48" t="n"/>
      <c r="J68" s="48" t="n"/>
      <c r="K68" s="48" t="n"/>
      <c r="L68" s="48" t="n"/>
      <c r="M68" s="48" t="n"/>
      <c r="N68" s="48" t="n"/>
      <c r="W68" s="48" t="n"/>
      <c r="X68" s="48" t="n"/>
      <c r="Y68" s="48" t="n"/>
      <c r="Z68" s="48" t="n"/>
      <c r="AA68" s="48" t="n"/>
      <c r="AB68" s="48" t="n"/>
    </row>
    <row r="69">
      <c r="C69" s="39" t="n"/>
      <c r="I69" s="48" t="n"/>
      <c r="J69" s="48" t="n"/>
      <c r="K69" s="48" t="n"/>
      <c r="L69" s="48" t="n"/>
      <c r="M69" s="48" t="n"/>
      <c r="N69" s="48" t="n"/>
      <c r="W69" s="48" t="n"/>
      <c r="X69" s="48" t="n"/>
      <c r="Y69" s="48" t="n"/>
      <c r="Z69" s="48" t="n"/>
      <c r="AA69" s="48" t="n"/>
      <c r="AB69" s="48" t="n"/>
    </row>
    <row r="70">
      <c r="C70" s="39" t="n"/>
      <c r="I70" s="48" t="n"/>
      <c r="J70" s="48" t="n"/>
      <c r="K70" s="48" t="n"/>
      <c r="L70" s="48" t="n"/>
      <c r="M70" s="48" t="n"/>
      <c r="N70" s="48" t="n"/>
      <c r="W70" s="48" t="n"/>
      <c r="X70" s="48" t="n"/>
      <c r="Y70" s="48" t="n"/>
      <c r="Z70" s="48" t="n"/>
      <c r="AA70" s="48" t="n"/>
      <c r="AB70" s="48" t="n"/>
    </row>
    <row r="71">
      <c r="C71" s="39" t="n"/>
      <c r="I71" s="48" t="n"/>
      <c r="J71" s="48" t="n"/>
      <c r="K71" s="48" t="n"/>
      <c r="L71" s="48" t="n"/>
      <c r="M71" s="48" t="n"/>
      <c r="N71" s="48" t="n"/>
      <c r="W71" s="48" t="n"/>
      <c r="X71" s="48" t="n"/>
      <c r="Y71" s="48" t="n"/>
      <c r="Z71" s="48" t="n"/>
      <c r="AA71" s="48" t="n"/>
      <c r="AB71" s="48" t="n"/>
    </row>
    <row r="72">
      <c r="C72" s="39" t="n"/>
      <c r="I72" s="48" t="n"/>
      <c r="J72" s="48" t="n"/>
      <c r="K72" s="48" t="n"/>
      <c r="L72" s="48" t="n"/>
      <c r="M72" s="48" t="n"/>
      <c r="N72" s="48" t="n"/>
      <c r="W72" s="48" t="n"/>
      <c r="X72" s="48" t="n"/>
      <c r="Y72" s="48" t="n"/>
      <c r="Z72" s="48" t="n"/>
      <c r="AA72" s="48" t="n"/>
      <c r="AB72" s="48" t="n"/>
    </row>
    <row r="73">
      <c r="C73" s="39" t="n"/>
      <c r="I73" s="48" t="n"/>
      <c r="J73" s="48" t="n"/>
      <c r="K73" s="48" t="n"/>
      <c r="L73" s="48" t="n"/>
      <c r="M73" s="48" t="n"/>
      <c r="N73" s="48" t="n"/>
      <c r="W73" s="48" t="n"/>
      <c r="X73" s="48" t="n"/>
      <c r="Y73" s="48" t="n"/>
      <c r="Z73" s="48" t="n"/>
      <c r="AA73" s="48" t="n"/>
      <c r="AB73" s="48" t="n"/>
    </row>
    <row r="74">
      <c r="C74" s="39" t="n"/>
      <c r="I74" s="48" t="n"/>
      <c r="J74" s="48" t="n"/>
      <c r="K74" s="48" t="n"/>
      <c r="L74" s="48" t="n"/>
      <c r="M74" s="48" t="n"/>
      <c r="N74" s="48" t="n"/>
      <c r="W74" s="48" t="n"/>
      <c r="X74" s="48" t="n"/>
      <c r="Y74" s="48" t="n"/>
      <c r="Z74" s="48" t="n"/>
      <c r="AA74" s="48" t="n"/>
      <c r="AB74" s="48" t="n"/>
    </row>
    <row r="75">
      <c r="C75" s="39" t="n"/>
    </row>
    <row r="76">
      <c r="C76" s="39" t="n"/>
    </row>
    <row r="77">
      <c r="C77" s="39" t="n"/>
    </row>
    <row r="78">
      <c r="C78" s="39" t="n"/>
    </row>
    <row r="79">
      <c r="C79" s="39" t="n"/>
    </row>
    <row r="80">
      <c r="C80" s="39" t="n"/>
    </row>
    <row r="81">
      <c r="C81" s="39" t="n"/>
    </row>
    <row r="82">
      <c r="C82" s="39" t="n"/>
    </row>
    <row r="83">
      <c r="C83" s="39" t="n"/>
    </row>
    <row r="84">
      <c r="C84" s="39" t="n"/>
    </row>
    <row r="85">
      <c r="C85" s="39" t="n"/>
    </row>
    <row r="86">
      <c r="C86" s="39" t="n"/>
    </row>
    <row r="87">
      <c r="C87" s="39" t="n"/>
    </row>
    <row r="88">
      <c r="C88" s="39" t="n"/>
    </row>
    <row r="89">
      <c r="C89" s="39" t="n"/>
    </row>
    <row r="90">
      <c r="C90" s="39" t="n"/>
    </row>
    <row r="91">
      <c r="C91" s="39" t="n"/>
    </row>
    <row r="92">
      <c r="C92" s="39" t="n"/>
    </row>
    <row r="93">
      <c r="C93" s="39" t="n"/>
    </row>
    <row r="94">
      <c r="C94" s="39" t="n"/>
    </row>
    <row r="95">
      <c r="C95" s="39" t="n"/>
    </row>
    <row r="96">
      <c r="C96" s="39" t="n"/>
    </row>
    <row r="97">
      <c r="C97" s="39" t="n"/>
    </row>
    <row r="98">
      <c r="C98" s="39" t="n"/>
    </row>
    <row r="99">
      <c r="C99" s="39" t="n"/>
    </row>
    <row r="100">
      <c r="C100" s="39" t="n"/>
    </row>
    <row r="101">
      <c r="C101" s="39" t="n"/>
    </row>
    <row r="102">
      <c r="C102" s="39" t="n"/>
    </row>
    <row r="103">
      <c r="C103" s="39" t="n"/>
    </row>
    <row r="104">
      <c r="C104" s="39" t="n"/>
    </row>
    <row r="105">
      <c r="C105" s="39" t="n"/>
    </row>
    <row r="106">
      <c r="C106" s="39" t="n"/>
    </row>
    <row r="107">
      <c r="C107" s="39" t="n"/>
    </row>
    <row r="108">
      <c r="C108" s="39" t="n"/>
    </row>
    <row r="109">
      <c r="C109" s="39" t="n"/>
    </row>
    <row r="110">
      <c r="C110" s="39" t="n"/>
    </row>
    <row r="111">
      <c r="C111" s="39" t="n"/>
    </row>
    <row r="112">
      <c r="C112" s="39" t="n"/>
    </row>
    <row r="113">
      <c r="C113" s="39" t="n"/>
    </row>
    <row r="114">
      <c r="C114" s="39" t="n"/>
    </row>
    <row r="115">
      <c r="C115" s="39" t="n"/>
    </row>
    <row r="116">
      <c r="C116" s="39" t="n"/>
    </row>
    <row r="117">
      <c r="C117" s="39" t="n"/>
    </row>
    <row r="118">
      <c r="C118" s="39" t="n"/>
    </row>
    <row r="119">
      <c r="C119" s="39" t="n"/>
    </row>
    <row r="120">
      <c r="C120" s="39" t="n"/>
    </row>
    <row r="121">
      <c r="C121" s="39" t="n"/>
    </row>
    <row r="122">
      <c r="C122" s="39" t="n"/>
    </row>
    <row r="123">
      <c r="C123" s="39" t="n"/>
    </row>
    <row r="124">
      <c r="C124" s="39" t="n"/>
    </row>
    <row r="125">
      <c r="C125" s="39" t="n"/>
    </row>
    <row r="126">
      <c r="C126" s="39" t="n"/>
    </row>
    <row r="127">
      <c r="C127" s="39" t="n"/>
    </row>
    <row r="128">
      <c r="C128" s="39" t="n"/>
    </row>
    <row r="129">
      <c r="C129" s="39" t="n"/>
    </row>
    <row r="130">
      <c r="C130" s="39" t="n"/>
    </row>
    <row r="131">
      <c r="C131" s="39" t="n"/>
    </row>
    <row r="132">
      <c r="C132" s="39" t="n"/>
    </row>
    <row r="133">
      <c r="C133" s="39" t="n"/>
    </row>
    <row r="134">
      <c r="C134" s="39" t="n"/>
    </row>
    <row r="135">
      <c r="C135" s="39" t="n"/>
    </row>
    <row r="136">
      <c r="C136" s="39" t="n"/>
    </row>
    <row r="137">
      <c r="C137" s="39" t="n"/>
    </row>
    <row r="138">
      <c r="C138" s="39" t="n"/>
    </row>
    <row r="139">
      <c r="C139" s="39" t="n"/>
    </row>
    <row r="140">
      <c r="C140" s="39" t="n"/>
    </row>
    <row r="141">
      <c r="C141" s="39" t="n"/>
    </row>
    <row r="142">
      <c r="C142" s="39" t="n"/>
    </row>
    <row r="143">
      <c r="C143" s="39" t="n"/>
    </row>
    <row r="144">
      <c r="C144" s="39" t="n"/>
    </row>
    <row r="145">
      <c r="C145" s="39" t="n"/>
    </row>
    <row r="146">
      <c r="C146" s="39" t="n"/>
    </row>
    <row r="147">
      <c r="C147" s="39" t="n"/>
    </row>
    <row r="148">
      <c r="C148" s="39" t="n"/>
    </row>
    <row r="149">
      <c r="C149" s="39" t="n"/>
    </row>
    <row r="150">
      <c r="C150" s="39" t="n"/>
    </row>
    <row r="151">
      <c r="C151" s="39" t="n"/>
    </row>
    <row r="152">
      <c r="C152" s="39" t="n"/>
    </row>
    <row r="153">
      <c r="C153" s="39" t="n"/>
    </row>
    <row r="154">
      <c r="C154" s="39" t="n"/>
    </row>
    <row r="155">
      <c r="C155" s="39" t="n"/>
    </row>
    <row r="156">
      <c r="C156" s="39" t="n"/>
    </row>
    <row r="157">
      <c r="C157" s="39" t="n"/>
    </row>
    <row r="158">
      <c r="C158" s="39" t="n"/>
    </row>
    <row r="159">
      <c r="C159" s="39" t="n"/>
    </row>
    <row r="160">
      <c r="C160" s="39" t="n"/>
    </row>
    <row r="161">
      <c r="C161" s="39" t="n"/>
    </row>
    <row r="162">
      <c r="C162" s="39" t="n"/>
    </row>
    <row r="163">
      <c r="C163" s="39" t="n"/>
    </row>
    <row r="164">
      <c r="C164" s="39" t="n"/>
    </row>
    <row r="165">
      <c r="C165" s="39" t="n"/>
    </row>
    <row r="166">
      <c r="C166" s="39" t="n"/>
    </row>
    <row r="167">
      <c r="C167" s="39" t="n"/>
    </row>
    <row r="168">
      <c r="C168" s="39" t="n"/>
    </row>
    <row r="169">
      <c r="C169" s="39" t="n"/>
    </row>
    <row r="170">
      <c r="C170" s="39" t="n"/>
    </row>
    <row r="171">
      <c r="C171" s="39" t="n"/>
    </row>
    <row r="172">
      <c r="C172" s="39" t="n"/>
    </row>
    <row r="173">
      <c r="C173" s="39" t="n"/>
    </row>
    <row r="174">
      <c r="C174" s="39" t="n"/>
    </row>
    <row r="175">
      <c r="C175" s="39" t="n"/>
    </row>
    <row r="176">
      <c r="C176" s="39" t="n"/>
    </row>
    <row r="177">
      <c r="C177" s="39" t="n"/>
    </row>
    <row r="178">
      <c r="C178" s="39" t="n"/>
    </row>
    <row r="179">
      <c r="C179" s="39" t="n"/>
    </row>
    <row r="180">
      <c r="C180" s="39" t="n"/>
    </row>
    <row r="181">
      <c r="C181" s="39" t="n"/>
    </row>
    <row r="182">
      <c r="C182" s="39" t="n"/>
    </row>
    <row r="183">
      <c r="C183" s="39" t="n"/>
    </row>
    <row r="184">
      <c r="C184" s="39" t="n"/>
    </row>
    <row r="185">
      <c r="C185" s="39" t="n"/>
    </row>
    <row r="186">
      <c r="C186" s="39" t="n"/>
    </row>
    <row r="187">
      <c r="C187" s="39" t="n"/>
    </row>
    <row r="188">
      <c r="C188" s="39" t="n"/>
    </row>
    <row r="189">
      <c r="C189" s="39" t="n"/>
    </row>
    <row r="190">
      <c r="C190" s="39" t="n"/>
    </row>
    <row r="191">
      <c r="C191" s="39" t="n"/>
    </row>
    <row r="192">
      <c r="C192" s="39" t="n"/>
    </row>
    <row r="193">
      <c r="C193" s="39" t="n"/>
    </row>
    <row r="194">
      <c r="C194" s="39" t="n"/>
    </row>
    <row r="195">
      <c r="C195" s="39" t="n"/>
    </row>
    <row r="196">
      <c r="C196" s="39" t="n"/>
    </row>
    <row r="197">
      <c r="C197" s="39" t="n"/>
    </row>
    <row r="198">
      <c r="C198" s="39" t="n"/>
    </row>
    <row r="199">
      <c r="C199" s="39" t="n"/>
    </row>
    <row r="200">
      <c r="C200" s="39" t="n"/>
    </row>
    <row r="201">
      <c r="C201" s="39" t="n"/>
    </row>
    <row r="202">
      <c r="C202" s="39" t="n"/>
    </row>
    <row r="203">
      <c r="C203" s="39" t="n"/>
    </row>
    <row r="204">
      <c r="C204" s="39" t="n"/>
    </row>
    <row r="205">
      <c r="C205" s="39" t="n"/>
    </row>
    <row r="206">
      <c r="C206" s="39" t="n"/>
    </row>
    <row r="207">
      <c r="C207" s="39" t="n"/>
    </row>
    <row r="208">
      <c r="C208" s="39" t="n"/>
    </row>
    <row r="209">
      <c r="C209" s="39" t="n"/>
    </row>
    <row r="210">
      <c r="C210" s="39" t="n"/>
    </row>
    <row r="211">
      <c r="C211" s="39" t="n"/>
    </row>
    <row r="212">
      <c r="C212" s="39" t="n"/>
    </row>
    <row r="213">
      <c r="C213" s="39" t="n"/>
    </row>
    <row r="214">
      <c r="C214" s="39" t="n"/>
    </row>
    <row r="215">
      <c r="C215" s="39" t="n"/>
    </row>
    <row r="216">
      <c r="C216" s="39" t="n"/>
    </row>
    <row r="217">
      <c r="C217" s="39" t="n"/>
    </row>
    <row r="218">
      <c r="C218" s="39" t="n"/>
    </row>
    <row r="219">
      <c r="C219" s="39" t="n"/>
    </row>
    <row r="220">
      <c r="C220" s="39" t="n"/>
    </row>
    <row r="221">
      <c r="C221" s="39" t="n"/>
    </row>
    <row r="222">
      <c r="C222" s="39" t="n"/>
    </row>
    <row r="223">
      <c r="C223" s="39" t="n"/>
    </row>
    <row r="224">
      <c r="C224" s="39" t="n"/>
    </row>
    <row r="225">
      <c r="C225" s="39" t="n"/>
    </row>
    <row r="226">
      <c r="C226" s="39" t="n"/>
    </row>
    <row r="227">
      <c r="C227" s="39" t="n"/>
    </row>
    <row r="228">
      <c r="C228" s="39" t="n"/>
    </row>
    <row r="229">
      <c r="C229" s="39" t="n"/>
    </row>
    <row r="230">
      <c r="C230" s="39" t="n"/>
    </row>
    <row r="231">
      <c r="C231" s="39" t="n"/>
    </row>
    <row r="232">
      <c r="C232" s="39" t="n"/>
    </row>
    <row r="233">
      <c r="C233" s="39" t="n"/>
    </row>
    <row r="234">
      <c r="C234" s="39" t="n"/>
    </row>
    <row r="235">
      <c r="C235" s="39" t="n"/>
    </row>
    <row r="236">
      <c r="C236" s="39" t="n"/>
    </row>
    <row r="237">
      <c r="C237" s="39" t="n"/>
    </row>
    <row r="238">
      <c r="C238" s="39" t="n"/>
    </row>
    <row r="239">
      <c r="C239" s="39" t="n"/>
    </row>
    <row r="240">
      <c r="C240" s="39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M5"/>
  <sheetViews>
    <sheetView workbookViewId="0">
      <selection activeCell="F29" sqref="F29"/>
    </sheetView>
  </sheetViews>
  <sheetFormatPr baseColWidth="8" defaultRowHeight="16.5" outlineLevelCol="0"/>
  <cols>
    <col width="12.296875" bestFit="1" customWidth="1" style="47" min="1" max="1"/>
    <col width="13" bestFit="1" customWidth="1" style="47" min="2" max="12"/>
    <col width="14.69921875" bestFit="1" customWidth="1" style="47" min="13" max="13"/>
  </cols>
  <sheetData>
    <row r="3">
      <c r="B3" s="1" t="inlineStr">
        <is>
          <t>월</t>
        </is>
      </c>
    </row>
    <row r="4">
      <c r="B4" s="39" t="inlineStr">
        <is>
          <t>&lt;2020-05-22</t>
        </is>
      </c>
      <c r="C4" s="39" t="inlineStr">
        <is>
          <t>1월</t>
        </is>
      </c>
      <c r="D4" s="39" t="inlineStr">
        <is>
          <t>2월</t>
        </is>
      </c>
      <c r="E4" s="39" t="inlineStr">
        <is>
          <t>5월</t>
        </is>
      </c>
      <c r="F4" s="39" t="inlineStr">
        <is>
          <t>6월</t>
        </is>
      </c>
      <c r="G4" s="39" t="inlineStr">
        <is>
          <t>7월</t>
        </is>
      </c>
      <c r="H4" s="39" t="inlineStr">
        <is>
          <t>8월</t>
        </is>
      </c>
      <c r="I4" s="39" t="inlineStr">
        <is>
          <t>9월</t>
        </is>
      </c>
      <c r="J4" s="39" t="inlineStr">
        <is>
          <t>10월</t>
        </is>
      </c>
      <c r="K4" s="39" t="inlineStr">
        <is>
          <t>11월</t>
        </is>
      </c>
      <c r="L4" s="39" t="inlineStr">
        <is>
          <t>12월</t>
        </is>
      </c>
      <c r="M4" s="39" t="inlineStr">
        <is>
          <t>총합계</t>
        </is>
      </c>
    </row>
    <row r="5">
      <c r="A5" s="39" t="inlineStr">
        <is>
          <t>합계 : 판매액</t>
        </is>
      </c>
      <c r="B5" s="50" t="n"/>
      <c r="C5" s="50" t="n">
        <v>720060000</v>
      </c>
      <c r="D5" s="50" t="n">
        <v>171652000</v>
      </c>
      <c r="E5" s="50" t="n">
        <v>1561000</v>
      </c>
      <c r="F5" s="50" t="n">
        <v>44499400</v>
      </c>
      <c r="G5" s="50" t="n">
        <v>77430600</v>
      </c>
      <c r="H5" s="50" t="n">
        <v>90306800</v>
      </c>
      <c r="I5" s="50" t="n">
        <v>130067600</v>
      </c>
      <c r="J5" s="50" t="n">
        <v>369720000</v>
      </c>
      <c r="K5" s="50" t="n">
        <v>375929200</v>
      </c>
      <c r="L5" s="50" t="n">
        <v>585633800</v>
      </c>
      <c r="M5" s="50" t="n">
        <v>2566860400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8" tint="0.7999816888943144"/>
    <outlinePr summaryBelow="1" summaryRight="1"/>
    <pageSetUpPr/>
  </sheetPr>
  <dimension ref="B2:N37"/>
  <sheetViews>
    <sheetView showGridLines="0" zoomScale="70" zoomScaleNormal="70" workbookViewId="0">
      <selection activeCell="N15" sqref="N15"/>
    </sheetView>
  </sheetViews>
  <sheetFormatPr baseColWidth="8" defaultRowHeight="16.5" outlineLevelCol="0"/>
  <cols>
    <col width="25.19921875" bestFit="1" customWidth="1" style="47" min="2" max="2"/>
    <col width="20.3984375" bestFit="1" customWidth="1" style="47" min="3" max="3"/>
    <col width="11.796875" bestFit="1" customWidth="1" style="47" min="4" max="4"/>
    <col width="12.69921875" bestFit="1" customWidth="1" style="47" min="5" max="5"/>
    <col width="18.09765625" bestFit="1" customWidth="1" style="47" min="6" max="6"/>
    <col width="16.09765625" bestFit="1" customWidth="1" style="47" min="7" max="8"/>
    <col width="14" bestFit="1" customWidth="1" style="47" min="9" max="9"/>
    <col width="11.3984375" bestFit="1" customWidth="1" style="47" min="10" max="10"/>
    <col width="12.69921875" bestFit="1" customWidth="1" style="47" min="11" max="12"/>
    <col width="10.69921875" bestFit="1" customWidth="1" style="47" min="14" max="14"/>
  </cols>
  <sheetData>
    <row r="2">
      <c r="B2" s="1" t="inlineStr">
        <is>
          <t>연</t>
        </is>
      </c>
      <c r="C2" s="39" t="inlineStr">
        <is>
          <t>2021년</t>
        </is>
      </c>
    </row>
    <row r="3">
      <c r="B3" s="1" t="inlineStr">
        <is>
          <t>월</t>
        </is>
      </c>
      <c r="C3" s="39" t="inlineStr">
        <is>
          <t>2월</t>
        </is>
      </c>
    </row>
    <row r="5">
      <c r="B5" s="1" t="inlineStr">
        <is>
          <t>합계 : 광고비(VAT미포함)</t>
        </is>
      </c>
      <c r="C5" s="1" t="inlineStr">
        <is>
          <t>열 레이블</t>
        </is>
      </c>
    </row>
    <row r="6">
      <c r="B6" s="1" t="inlineStr">
        <is>
          <t>행 레이블</t>
        </is>
      </c>
      <c r="C6" s="39" t="inlineStr">
        <is>
          <t>페이스북/인스타그램</t>
        </is>
      </c>
      <c r="D6" s="39" t="inlineStr">
        <is>
          <t>카카오 배너</t>
        </is>
      </c>
      <c r="E6" s="39" t="inlineStr">
        <is>
          <t>네이버 배너</t>
        </is>
      </c>
      <c r="F6" s="39" t="inlineStr">
        <is>
          <t>네이버 브랜드검색</t>
        </is>
      </c>
      <c r="G6" s="39" t="inlineStr">
        <is>
          <t>네이버 쇼핑검색</t>
        </is>
      </c>
      <c r="H6" s="39" t="inlineStr">
        <is>
          <t>네이버 파워링크</t>
        </is>
      </c>
      <c r="I6" s="39" t="inlineStr">
        <is>
          <t>카카오 메시지</t>
        </is>
      </c>
      <c r="J6" s="39" t="inlineStr">
        <is>
          <t>(비어 있음)</t>
        </is>
      </c>
      <c r="K6" s="39" t="inlineStr">
        <is>
          <t>유튜브 광고</t>
        </is>
      </c>
      <c r="L6" s="39" t="inlineStr">
        <is>
          <t>총합계</t>
        </is>
      </c>
    </row>
    <row r="7">
      <c r="B7" s="38" t="inlineStr">
        <is>
          <t>2월1일</t>
        </is>
      </c>
      <c r="C7" s="48" t="n">
        <v>4064471</v>
      </c>
      <c r="D7" s="48" t="n">
        <v>882739.9999999999</v>
      </c>
      <c r="E7" s="48" t="n">
        <v>2198214.545454545</v>
      </c>
      <c r="F7" s="48" t="n">
        <v>140000</v>
      </c>
      <c r="G7" s="48" t="n">
        <v>31660</v>
      </c>
      <c r="H7" s="48" t="n">
        <v>8370</v>
      </c>
      <c r="I7" s="48" t="n"/>
      <c r="J7" s="48" t="n"/>
      <c r="K7" s="48" t="n">
        <v>1839049</v>
      </c>
      <c r="L7" s="48" t="n">
        <v>9164504.545454545</v>
      </c>
      <c r="N7" s="48">
        <f>SUM(F7:H7)</f>
        <v/>
      </c>
    </row>
    <row r="8">
      <c r="B8" s="38" t="inlineStr">
        <is>
          <t>2월2일</t>
        </is>
      </c>
      <c r="C8" s="48" t="n">
        <v>3918886</v>
      </c>
      <c r="D8" s="48" t="n">
        <v>935359.9999999999</v>
      </c>
      <c r="E8" s="48" t="n">
        <v>2150310</v>
      </c>
      <c r="F8" s="48" t="n">
        <v>140000</v>
      </c>
      <c r="G8" s="48" t="n">
        <v>31860</v>
      </c>
      <c r="H8" s="48" t="n">
        <v>9940</v>
      </c>
      <c r="I8" s="48" t="n"/>
      <c r="J8" s="48" t="n"/>
      <c r="K8" s="48" t="n">
        <v>2112342</v>
      </c>
      <c r="L8" s="48" t="n">
        <v>9298698</v>
      </c>
      <c r="N8" s="48">
        <f>SUM(F8:H8)</f>
        <v/>
      </c>
    </row>
    <row r="9">
      <c r="B9" s="38" t="inlineStr">
        <is>
          <t>2월3일</t>
        </is>
      </c>
      <c r="C9" s="48" t="n">
        <v>3808298</v>
      </c>
      <c r="D9" s="48" t="n">
        <v>652380</v>
      </c>
      <c r="E9" s="48" t="n">
        <v>2079590.909090909</v>
      </c>
      <c r="F9" s="48" t="n">
        <v>140000</v>
      </c>
      <c r="G9" s="48" t="n">
        <v>31930</v>
      </c>
      <c r="H9" s="48" t="n">
        <v>8880</v>
      </c>
      <c r="I9" s="48" t="n">
        <v>658860</v>
      </c>
      <c r="J9" s="48" t="n"/>
      <c r="K9" s="48" t="n">
        <v>2251847</v>
      </c>
      <c r="L9" s="48" t="n">
        <v>9631785.90909091</v>
      </c>
      <c r="N9" s="48">
        <f>SUM(F9:H9)</f>
        <v/>
      </c>
    </row>
    <row r="10">
      <c r="B10" s="38" t="inlineStr">
        <is>
          <t>2월4일</t>
        </is>
      </c>
      <c r="C10" s="48" t="n">
        <v>3553718</v>
      </c>
      <c r="D10" s="48" t="n">
        <v>788969.9999999999</v>
      </c>
      <c r="E10" s="48" t="n">
        <v>1127602.727272727</v>
      </c>
      <c r="F10" s="48" t="n">
        <v>140000</v>
      </c>
      <c r="G10" s="48" t="n">
        <v>32080</v>
      </c>
      <c r="H10" s="48" t="n">
        <v>10100</v>
      </c>
      <c r="I10" s="48" t="n"/>
      <c r="J10" s="48" t="n"/>
      <c r="K10" s="48" t="n">
        <v>2137117</v>
      </c>
      <c r="L10" s="48" t="n">
        <v>7789587.727272728</v>
      </c>
      <c r="N10" s="48">
        <f>SUM(F10:H10)</f>
        <v/>
      </c>
    </row>
    <row r="11">
      <c r="B11" s="38" t="inlineStr">
        <is>
          <t>2월5일</t>
        </is>
      </c>
      <c r="C11" s="48" t="n">
        <v>3107785</v>
      </c>
      <c r="D11" s="48" t="n">
        <v>660140</v>
      </c>
      <c r="E11" s="48" t="n">
        <v>1084431.818181818</v>
      </c>
      <c r="F11" s="48" t="n">
        <v>140000</v>
      </c>
      <c r="G11" s="48" t="n">
        <v>31930</v>
      </c>
      <c r="H11" s="48" t="n">
        <v>8640</v>
      </c>
      <c r="I11" s="48" t="n"/>
      <c r="J11" s="48" t="n"/>
      <c r="K11" s="48" t="n">
        <v>1917100</v>
      </c>
      <c r="L11" s="48" t="n">
        <v>6950026.818181818</v>
      </c>
      <c r="N11" s="48">
        <f>SUM(F11:H11)</f>
        <v/>
      </c>
    </row>
    <row r="12">
      <c r="B12" s="38" t="inlineStr">
        <is>
          <t>2월6일</t>
        </is>
      </c>
      <c r="C12" s="48" t="n">
        <v>2826800</v>
      </c>
      <c r="D12" s="48" t="n">
        <v>1000310</v>
      </c>
      <c r="E12" s="48" t="n">
        <v>1127510.909090909</v>
      </c>
      <c r="F12" s="48" t="n">
        <v>140000</v>
      </c>
      <c r="G12" s="48" t="n">
        <v>32210</v>
      </c>
      <c r="H12" s="48" t="n">
        <v>8009.999999999999</v>
      </c>
      <c r="I12" s="48" t="n"/>
      <c r="J12" s="48" t="n"/>
      <c r="K12" s="48" t="n">
        <v>1957793</v>
      </c>
      <c r="L12" s="48" t="n">
        <v>7092633.909090909</v>
      </c>
      <c r="N12" s="48">
        <f>SUM(F12:H12)</f>
        <v/>
      </c>
    </row>
    <row r="13">
      <c r="B13" s="38" t="inlineStr">
        <is>
          <t>2월7일</t>
        </is>
      </c>
      <c r="C13" s="48" t="n">
        <v>2823592</v>
      </c>
      <c r="D13" s="48" t="n">
        <v>1109200</v>
      </c>
      <c r="E13" s="48" t="n">
        <v>1120517.272727273</v>
      </c>
      <c r="F13" s="48" t="n">
        <v>140000</v>
      </c>
      <c r="G13" s="48" t="n">
        <v>32780</v>
      </c>
      <c r="H13" s="48" t="n">
        <v>0</v>
      </c>
      <c r="I13" s="48" t="n"/>
      <c r="J13" s="48" t="n"/>
      <c r="K13" s="48" t="n">
        <v>2237102</v>
      </c>
      <c r="L13" s="48" t="n">
        <v>7463191.272727272</v>
      </c>
      <c r="N13" s="48">
        <f>SUM(F13:H13)</f>
        <v/>
      </c>
    </row>
    <row r="14">
      <c r="B14" s="38" t="inlineStr">
        <is>
          <t>2월8일</t>
        </is>
      </c>
      <c r="C14" s="48" t="n">
        <v>2876646</v>
      </c>
      <c r="D14" s="48" t="n">
        <v>611590</v>
      </c>
      <c r="E14" s="48" t="n">
        <v>1078006.363636364</v>
      </c>
      <c r="F14" s="48" t="n">
        <v>140000</v>
      </c>
      <c r="G14" s="48" t="n">
        <v>31650</v>
      </c>
      <c r="H14" s="48" t="n">
        <v>0</v>
      </c>
      <c r="I14" s="48" t="n"/>
      <c r="J14" s="48" t="n"/>
      <c r="K14" s="48" t="n">
        <v>2052221</v>
      </c>
      <c r="L14" s="48" t="n">
        <v>6790113.363636363</v>
      </c>
      <c r="N14" s="48">
        <f>SUM(F14:H14)</f>
        <v/>
      </c>
    </row>
    <row r="15">
      <c r="B15" s="38" t="inlineStr">
        <is>
          <t>2월9일</t>
        </is>
      </c>
      <c r="C15" s="48" t="n">
        <v>2762968</v>
      </c>
      <c r="D15" s="48" t="n">
        <v>719600</v>
      </c>
      <c r="E15" s="48" t="n">
        <v>1091459.090909091</v>
      </c>
      <c r="F15" s="48" t="n">
        <v>140000</v>
      </c>
      <c r="G15" s="48" t="n">
        <v>31580</v>
      </c>
      <c r="H15" s="48" t="n">
        <v>0</v>
      </c>
      <c r="I15" s="48" t="n"/>
      <c r="J15" s="48" t="n"/>
      <c r="K15" s="48" t="n">
        <v>2208020</v>
      </c>
      <c r="L15" s="48" t="n">
        <v>6953627.090909091</v>
      </c>
      <c r="N15" s="48">
        <f>SUM(F15:H15)</f>
        <v/>
      </c>
    </row>
    <row r="16">
      <c r="B16" s="38" t="inlineStr">
        <is>
          <t>총합계</t>
        </is>
      </c>
      <c r="C16" s="48" t="n">
        <v>29743164</v>
      </c>
      <c r="D16" s="48" t="n">
        <v>7360290</v>
      </c>
      <c r="E16" s="48" t="n">
        <v>13057643.63636364</v>
      </c>
      <c r="F16" s="48" t="n">
        <v>1260000</v>
      </c>
      <c r="G16" s="48" t="n">
        <v>287679.9999999999</v>
      </c>
      <c r="H16" s="48" t="n">
        <v>53940</v>
      </c>
      <c r="I16" s="48" t="n">
        <v>658860</v>
      </c>
      <c r="J16" s="48" t="n"/>
      <c r="K16" s="48" t="n">
        <v>18712591</v>
      </c>
      <c r="L16" s="48" t="n">
        <v>71134168.63636364</v>
      </c>
    </row>
    <row r="17">
      <c r="L17" s="48">
        <f>SUM(F17:H17)</f>
        <v/>
      </c>
    </row>
    <row r="18">
      <c r="L18" s="48">
        <f>SUM(F18:H18)</f>
        <v/>
      </c>
    </row>
    <row r="19">
      <c r="L19" s="48">
        <f>SUM(F19:H19)</f>
        <v/>
      </c>
    </row>
    <row r="20">
      <c r="L20" s="48">
        <f>SUM(F20:H20)</f>
        <v/>
      </c>
    </row>
    <row r="21">
      <c r="L21" s="48">
        <f>SUM(F21:H21)</f>
        <v/>
      </c>
    </row>
    <row r="22">
      <c r="L22" s="48">
        <f>SUM(F22:H22)</f>
        <v/>
      </c>
    </row>
    <row r="23">
      <c r="L23" s="48">
        <f>SUM(F23:H23)</f>
        <v/>
      </c>
    </row>
    <row r="24">
      <c r="L24" s="48">
        <f>SUM(F24:H24)</f>
        <v/>
      </c>
    </row>
    <row r="25">
      <c r="L25" s="48">
        <f>SUM(F25:H25)</f>
        <v/>
      </c>
    </row>
    <row r="26">
      <c r="L26" s="48">
        <f>SUM(F26:H26)</f>
        <v/>
      </c>
      <c r="N26" s="48" t="n"/>
    </row>
    <row r="27">
      <c r="L27" s="48">
        <f>SUM(F27:H27)</f>
        <v/>
      </c>
    </row>
    <row r="28">
      <c r="L28" s="48">
        <f>SUM(F28:H28)</f>
        <v/>
      </c>
    </row>
    <row r="29">
      <c r="L29" s="48">
        <f>SUM(F29:H29)</f>
        <v/>
      </c>
    </row>
    <row r="30">
      <c r="L30" s="48">
        <f>SUM(F30:H30)</f>
        <v/>
      </c>
    </row>
    <row r="31">
      <c r="L31" s="48">
        <f>SUM(F31:H31)</f>
        <v/>
      </c>
    </row>
    <row r="32">
      <c r="L32" s="48">
        <f>SUM(F32:H32)</f>
        <v/>
      </c>
    </row>
    <row r="33">
      <c r="L33" s="48">
        <f>SUM(F33:H33)</f>
        <v/>
      </c>
    </row>
    <row r="34">
      <c r="L34" s="48">
        <f>SUM(F34:H34)</f>
        <v/>
      </c>
    </row>
    <row r="35">
      <c r="L35" s="48">
        <f>SUM(F35:H35)</f>
        <v/>
      </c>
    </row>
    <row r="36">
      <c r="L36" s="48">
        <f>SUM(F36:H36)</f>
        <v/>
      </c>
    </row>
    <row r="37">
      <c r="L37" s="48">
        <f>SUM(F37:H37)</f>
        <v/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tabColor theme="8" tint="0.7999816888943144"/>
    <outlinePr summaryBelow="1" summaryRight="1"/>
    <pageSetUpPr/>
  </sheetPr>
  <dimension ref="B1:H29"/>
  <sheetViews>
    <sheetView showGridLines="0" zoomScale="85" zoomScaleNormal="85" workbookViewId="0">
      <selection activeCell="G20" sqref="G20"/>
    </sheetView>
  </sheetViews>
  <sheetFormatPr baseColWidth="8" defaultRowHeight="16.5" outlineLevelCol="0"/>
  <cols>
    <col width="13.19921875" bestFit="1" customWidth="1" style="47" min="2" max="2"/>
    <col width="11.69921875" bestFit="1" customWidth="1" style="47" min="3" max="3"/>
    <col width="8" bestFit="1" customWidth="1" style="47" min="4" max="4"/>
    <col width="11.296875" bestFit="1" customWidth="1" style="47" min="5" max="5"/>
    <col width="11.19921875" bestFit="1" customWidth="1" style="47" min="6" max="6"/>
    <col width="12.09765625" bestFit="1" customWidth="1" style="47" min="7" max="7"/>
    <col width="12.296875" bestFit="1" customWidth="1" style="47" min="8" max="8"/>
  </cols>
  <sheetData>
    <row r="1">
      <c r="B1" s="1" t="inlineStr">
        <is>
          <t>연</t>
        </is>
      </c>
      <c r="C1" s="39" t="inlineStr">
        <is>
          <t>2021년</t>
        </is>
      </c>
    </row>
    <row r="2">
      <c r="B2" s="1" t="inlineStr">
        <is>
          <t>월</t>
        </is>
      </c>
      <c r="C2" s="39" t="inlineStr">
        <is>
          <t>2월</t>
        </is>
      </c>
    </row>
    <row r="4">
      <c r="B4" s="1" t="inlineStr">
        <is>
          <t>합계 : 판매액</t>
        </is>
      </c>
      <c r="C4" s="1" t="inlineStr">
        <is>
          <t>열 레이블</t>
        </is>
      </c>
    </row>
    <row r="5">
      <c r="B5" s="1" t="inlineStr">
        <is>
          <t>행 레이블</t>
        </is>
      </c>
      <c r="C5" s="39" t="inlineStr">
        <is>
          <t>고체향수</t>
        </is>
      </c>
      <c r="D5" s="39" t="inlineStr">
        <is>
          <t>쇼핑백</t>
        </is>
      </c>
      <c r="E5" s="39" t="inlineStr">
        <is>
          <t>(비어 있음)</t>
        </is>
      </c>
      <c r="F5" s="39" t="inlineStr">
        <is>
          <t>총합계</t>
        </is>
      </c>
    </row>
    <row r="6">
      <c r="B6" s="38" t="inlineStr">
        <is>
          <t>2월1일</t>
        </is>
      </c>
      <c r="C6" s="39" t="n">
        <v>19671200</v>
      </c>
      <c r="D6" s="39" t="n">
        <v>14000</v>
      </c>
      <c r="E6" s="39" t="n"/>
      <c r="F6" s="39" t="n">
        <v>19685200</v>
      </c>
    </row>
    <row r="7">
      <c r="B7" s="38" t="inlineStr">
        <is>
          <t>2월2일</t>
        </is>
      </c>
      <c r="C7" s="39" t="n">
        <v>18701200</v>
      </c>
      <c r="D7" s="39" t="n">
        <v>14000</v>
      </c>
      <c r="E7" s="39" t="n"/>
      <c r="F7" s="39" t="n">
        <v>18715200</v>
      </c>
    </row>
    <row r="8">
      <c r="B8" s="38" t="inlineStr">
        <is>
          <t>2월3일</t>
        </is>
      </c>
      <c r="C8" s="39" t="n">
        <v>30199600</v>
      </c>
      <c r="D8" s="39" t="n">
        <v>38000</v>
      </c>
      <c r="E8" s="39" t="n"/>
      <c r="F8" s="39" t="n">
        <v>30237600</v>
      </c>
    </row>
    <row r="9">
      <c r="B9" s="38" t="inlineStr">
        <is>
          <t>2월4일</t>
        </is>
      </c>
      <c r="C9" s="39" t="n">
        <v>19672400</v>
      </c>
      <c r="D9" s="39" t="n">
        <v>26000</v>
      </c>
      <c r="E9" s="39" t="n"/>
      <c r="F9" s="39" t="n">
        <v>19698400</v>
      </c>
    </row>
    <row r="10">
      <c r="B10" s="38" t="inlineStr">
        <is>
          <t>2월5일</t>
        </is>
      </c>
      <c r="C10" s="39" t="n">
        <v>16270400</v>
      </c>
      <c r="D10" s="39" t="n">
        <v>18000</v>
      </c>
      <c r="E10" s="39" t="n"/>
      <c r="F10" s="39" t="n">
        <v>16288400</v>
      </c>
    </row>
    <row r="11">
      <c r="B11" s="38" t="inlineStr">
        <is>
          <t>2월6일</t>
        </is>
      </c>
      <c r="C11" s="39" t="n">
        <v>18049200</v>
      </c>
      <c r="D11" s="39" t="n">
        <v>10000</v>
      </c>
      <c r="E11" s="39" t="n"/>
      <c r="F11" s="39" t="n">
        <v>18059200</v>
      </c>
      <c r="G11" s="39" t="n"/>
    </row>
    <row r="12">
      <c r="B12" s="38" t="inlineStr">
        <is>
          <t>2월7일</t>
        </is>
      </c>
      <c r="C12" s="39" t="n">
        <v>20185600</v>
      </c>
      <c r="D12" s="39" t="n">
        <v>26000</v>
      </c>
      <c r="E12" s="39" t="n"/>
      <c r="F12" s="39" t="n">
        <v>20211600</v>
      </c>
    </row>
    <row r="13">
      <c r="B13" s="38" t="inlineStr">
        <is>
          <t>2월8일</t>
        </is>
      </c>
      <c r="C13" s="39" t="n">
        <v>13476400</v>
      </c>
      <c r="D13" s="39" t="n">
        <v>16000</v>
      </c>
      <c r="E13" s="39" t="n"/>
      <c r="F13" s="39" t="n">
        <v>13492400</v>
      </c>
    </row>
    <row r="14">
      <c r="B14" s="38" t="inlineStr">
        <is>
          <t>2월9일</t>
        </is>
      </c>
      <c r="C14" s="39" t="n">
        <v>15248000</v>
      </c>
      <c r="D14" s="39" t="n">
        <v>16000</v>
      </c>
      <c r="E14" s="39" t="n"/>
      <c r="F14" s="39" t="n">
        <v>15264000</v>
      </c>
    </row>
    <row r="15">
      <c r="B15" s="38" t="inlineStr">
        <is>
          <t>총합계</t>
        </is>
      </c>
      <c r="C15" s="39" t="n">
        <v>171474000</v>
      </c>
      <c r="D15" s="39" t="n">
        <v>178000</v>
      </c>
      <c r="E15" s="39" t="n"/>
      <c r="F15" s="39" t="n">
        <v>171652000</v>
      </c>
    </row>
    <row r="26">
      <c r="H26" s="39">
        <f>F26/1.1</f>
        <v/>
      </c>
    </row>
    <row r="27">
      <c r="H27" s="39">
        <f>F27/1.1</f>
        <v/>
      </c>
    </row>
    <row r="28">
      <c r="H28" s="39">
        <f>F28/1.1</f>
        <v/>
      </c>
    </row>
    <row r="29">
      <c r="H29" s="39">
        <f>F29/1.1</f>
        <v/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tabColor theme="0" tint="-0.499984740745262"/>
    <outlinePr summaryBelow="1" summaryRight="1"/>
    <pageSetUpPr/>
  </sheetPr>
  <dimension ref="A1:P3346"/>
  <sheetViews>
    <sheetView tabSelected="1" zoomScale="70" zoomScaleNormal="70" workbookViewId="0">
      <pane ySplit="2" topLeftCell="A3201" activePane="bottomLeft" state="frozen"/>
      <selection pane="bottomLeft" activeCell="B3223" sqref="B3223"/>
    </sheetView>
  </sheetViews>
  <sheetFormatPr baseColWidth="8" defaultRowHeight="16.5" outlineLevelCol="0"/>
  <cols>
    <col width="13.546875" customWidth="1" style="47" min="1" max="1"/>
    <col width="11.09765625" customWidth="1" style="47" min="2" max="2"/>
    <col width="9.59765625" customWidth="1" style="47" min="3" max="5"/>
    <col width="10.59765625" customWidth="1" style="47" min="6" max="6"/>
    <col width="67.5" customWidth="1" style="47" min="7" max="7"/>
    <col width="16.59765625" customWidth="1" style="47" min="8" max="8"/>
    <col width="14.59765625" customWidth="1" style="47" min="9" max="9"/>
    <col width="9.59765625" customWidth="1" style="47" min="10" max="10"/>
    <col width="15.5" customWidth="1" style="47" min="11" max="11"/>
    <col width="18" customWidth="1" style="47" min="12" max="12"/>
    <col width="18.09765625" customWidth="1" style="47" min="13" max="13"/>
    <col width="13.59765625" customWidth="1" style="47" min="15" max="15"/>
  </cols>
  <sheetData>
    <row r="1">
      <c r="B1" s="42" t="inlineStr">
        <is>
          <t>일자</t>
        </is>
      </c>
      <c r="C1" s="42" t="inlineStr">
        <is>
          <t>요일</t>
        </is>
      </c>
      <c r="D1" s="39" t="inlineStr">
        <is>
          <t>미디어</t>
        </is>
      </c>
      <c r="E1" s="42" t="inlineStr">
        <is>
          <t>상품1</t>
        </is>
      </c>
      <c r="F1" s="42" t="inlineStr">
        <is>
          <t>채널</t>
        </is>
      </c>
      <c r="G1" s="42" t="inlineStr">
        <is>
          <t>상품2</t>
        </is>
      </c>
      <c r="H1" s="42" t="inlineStr">
        <is>
          <t>판매수량</t>
        </is>
      </c>
      <c r="I1" s="42" t="inlineStr">
        <is>
          <t>상품 상세</t>
        </is>
      </c>
      <c r="J1" s="42" t="inlineStr">
        <is>
          <t>구분</t>
        </is>
      </c>
      <c r="K1" s="39" t="inlineStr">
        <is>
          <t>광고비(VAT미포함)</t>
        </is>
      </c>
      <c r="L1" s="42" t="inlineStr">
        <is>
          <t>판매액</t>
        </is>
      </c>
      <c r="M1" s="42" t="inlineStr">
        <is>
          <t>판매액(수수료제외)</t>
        </is>
      </c>
      <c r="N1" s="42" t="inlineStr">
        <is>
          <t>원가</t>
        </is>
      </c>
      <c r="O1" s="42" t="inlineStr">
        <is>
          <t>판매액(VAT미포함)</t>
        </is>
      </c>
      <c r="P1" s="42" t="inlineStr">
        <is>
          <t>구분값</t>
        </is>
      </c>
    </row>
    <row r="2">
      <c r="A2" s="39" t="inlineStr">
        <is>
          <t>수식 샘플</t>
        </is>
      </c>
      <c r="B2" s="51" t="n">
        <v>44236</v>
      </c>
      <c r="C2" s="36">
        <f>TEXT(B2,"aaa")</f>
        <v/>
      </c>
      <c r="E2" s="36">
        <f>INDEX(매칭테이블!C:C,MATCH(RD!G2,매칭테이블!D:D,0))</f>
        <v/>
      </c>
      <c r="F2" s="39" t="inlineStr">
        <is>
          <t>카페24</t>
        </is>
      </c>
      <c r="G2" s="39" t="inlineStr">
        <is>
          <t>솔리드퍼퓸 스테이포에버 002쇼핑백=선물용 쇼핑백</t>
        </is>
      </c>
      <c r="H2" s="39" t="n">
        <v>0</v>
      </c>
      <c r="I2" s="36">
        <f>VLOOKUP(G2,매칭테이블!D:E,2,0)</f>
        <v/>
      </c>
      <c r="J2" s="39" t="n">
        <v>210101</v>
      </c>
      <c r="L2" s="36">
        <f>VLOOKUP($P2,매칭테이블!$G:$J,2,0)*H2</f>
        <v/>
      </c>
      <c r="M2" s="36">
        <f>L2-L2*VLOOKUP($P2,매칭테이블!$G:$J,3,0)</f>
        <v/>
      </c>
      <c r="N2" s="36">
        <f>VLOOKUP($P2,매칭테이블!$G:$J,4,0)*H2</f>
        <v/>
      </c>
      <c r="O2" s="52">
        <f>L2/1.1</f>
        <v/>
      </c>
      <c r="P2" s="36">
        <f>F2&amp;E2&amp;G2&amp;J2</f>
        <v/>
      </c>
    </row>
    <row r="3">
      <c r="B3" s="51" t="n">
        <v>43973</v>
      </c>
      <c r="C3" s="39">
        <f>TEXT(B3,"aaa")</f>
        <v/>
      </c>
      <c r="D3" s="39" t="inlineStr">
        <is>
          <t>페이스북/인스타그램</t>
        </is>
      </c>
      <c r="E3" s="39" t="inlineStr">
        <is>
          <t>고체향수</t>
        </is>
      </c>
      <c r="F3" s="53" t="n"/>
      <c r="K3" s="49" t="n">
        <v>134178</v>
      </c>
    </row>
    <row r="4">
      <c r="B4" s="51" t="n">
        <v>43974</v>
      </c>
      <c r="C4" s="39">
        <f>TEXT(B4,"aaa")</f>
        <v/>
      </c>
      <c r="D4" s="39" t="inlineStr">
        <is>
          <t>페이스북/인스타그램</t>
        </is>
      </c>
      <c r="E4" s="39" t="inlineStr">
        <is>
          <t>고체향수</t>
        </is>
      </c>
      <c r="F4" s="53" t="n"/>
      <c r="K4" s="49" t="n">
        <v>118671</v>
      </c>
    </row>
    <row r="5">
      <c r="B5" s="51" t="n">
        <v>43977</v>
      </c>
      <c r="C5" s="39">
        <f>TEXT(B5,"aaa")</f>
        <v/>
      </c>
      <c r="D5" s="39" t="inlineStr">
        <is>
          <t>페이스북/인스타그램</t>
        </is>
      </c>
      <c r="E5" s="39" t="inlineStr">
        <is>
          <t>고체향수</t>
        </is>
      </c>
      <c r="F5" s="53" t="n"/>
      <c r="K5" s="49" t="n">
        <v>230036</v>
      </c>
    </row>
    <row r="6">
      <c r="B6" s="51">
        <f>B5+1</f>
        <v/>
      </c>
      <c r="C6" s="39">
        <f>TEXT(B6,"aaa")</f>
        <v/>
      </c>
      <c r="D6" s="39" t="inlineStr">
        <is>
          <t>페이스북/인스타그램</t>
        </is>
      </c>
      <c r="E6" s="39" t="inlineStr">
        <is>
          <t>고체향수</t>
        </is>
      </c>
      <c r="F6" s="53" t="n"/>
      <c r="K6" s="49" t="n">
        <v>647321</v>
      </c>
    </row>
    <row r="7">
      <c r="B7" s="51">
        <f>B6+1</f>
        <v/>
      </c>
      <c r="C7" s="39">
        <f>TEXT(B7,"aaa")</f>
        <v/>
      </c>
      <c r="D7" s="39" t="inlineStr">
        <is>
          <t>페이스북/인스타그램</t>
        </is>
      </c>
      <c r="E7" s="39" t="inlineStr">
        <is>
          <t>고체향수</t>
        </is>
      </c>
      <c r="F7" s="53" t="n"/>
      <c r="K7" s="49" t="n">
        <v>501095</v>
      </c>
    </row>
    <row r="8">
      <c r="B8" s="51">
        <f>B7+1</f>
        <v/>
      </c>
      <c r="C8" s="39">
        <f>TEXT(B8,"aaa")</f>
        <v/>
      </c>
      <c r="D8" s="39" t="inlineStr">
        <is>
          <t>페이스북/인스타그램</t>
        </is>
      </c>
      <c r="E8" s="39" t="inlineStr">
        <is>
          <t>고체향수</t>
        </is>
      </c>
      <c r="F8" s="53" t="n"/>
      <c r="K8" s="49" t="n">
        <v>69797</v>
      </c>
    </row>
    <row r="9">
      <c r="B9" s="51">
        <f>B8+1</f>
        <v/>
      </c>
      <c r="C9" s="39">
        <f>TEXT(B9,"aaa")</f>
        <v/>
      </c>
      <c r="D9" s="39" t="inlineStr">
        <is>
          <t>페이스북/인스타그램</t>
        </is>
      </c>
      <c r="E9" s="39" t="inlineStr">
        <is>
          <t>고체향수</t>
        </is>
      </c>
      <c r="F9" s="53" t="n"/>
      <c r="K9" s="49" t="n">
        <v>128834</v>
      </c>
    </row>
    <row r="10">
      <c r="B10" s="51">
        <f>B9+1</f>
        <v/>
      </c>
      <c r="C10" s="39">
        <f>TEXT(B10,"aaa")</f>
        <v/>
      </c>
      <c r="D10" s="39" t="inlineStr">
        <is>
          <t>페이스북/인스타그램</t>
        </is>
      </c>
      <c r="E10" s="39" t="inlineStr">
        <is>
          <t>고체향수</t>
        </is>
      </c>
      <c r="F10" s="53" t="n"/>
      <c r="K10" s="49" t="n">
        <v>200529</v>
      </c>
    </row>
    <row r="11">
      <c r="B11" s="51" t="n">
        <v>43978</v>
      </c>
      <c r="C11" s="39">
        <f>TEXT(B11,"aaa")</f>
        <v/>
      </c>
      <c r="D11" s="39" t="inlineStr">
        <is>
          <t>네이버 브랜드검색</t>
        </is>
      </c>
      <c r="E11" s="39" t="inlineStr">
        <is>
          <t>고체향수</t>
        </is>
      </c>
      <c r="K11" s="49">
        <f>600000/30</f>
        <v/>
      </c>
    </row>
    <row r="12">
      <c r="B12" s="51">
        <f>B11+1</f>
        <v/>
      </c>
      <c r="C12" s="39">
        <f>TEXT(B12,"aaa")</f>
        <v/>
      </c>
      <c r="D12" s="39" t="inlineStr">
        <is>
          <t>네이버 브랜드검색</t>
        </is>
      </c>
      <c r="E12" s="39" t="inlineStr">
        <is>
          <t>고체향수</t>
        </is>
      </c>
      <c r="K12" s="49">
        <f>600000/30</f>
        <v/>
      </c>
    </row>
    <row r="13">
      <c r="B13" s="51">
        <f>B12+1</f>
        <v/>
      </c>
      <c r="C13" s="39">
        <f>TEXT(B13,"aaa")</f>
        <v/>
      </c>
      <c r="D13" s="39" t="inlineStr">
        <is>
          <t>네이버 브랜드검색</t>
        </is>
      </c>
      <c r="E13" s="39" t="inlineStr">
        <is>
          <t>고체향수</t>
        </is>
      </c>
      <c r="K13" s="49">
        <f>600000/30</f>
        <v/>
      </c>
    </row>
    <row r="14">
      <c r="B14" s="51">
        <f>B13+1</f>
        <v/>
      </c>
      <c r="C14" s="39">
        <f>TEXT(B14,"aaa")</f>
        <v/>
      </c>
      <c r="D14" s="39" t="inlineStr">
        <is>
          <t>네이버 브랜드검색</t>
        </is>
      </c>
      <c r="E14" s="39" t="inlineStr">
        <is>
          <t>고체향수</t>
        </is>
      </c>
      <c r="K14" s="49">
        <f>600000/30</f>
        <v/>
      </c>
    </row>
    <row r="15">
      <c r="B15" s="51">
        <f>B14+1</f>
        <v/>
      </c>
      <c r="C15" s="39">
        <f>TEXT(B15,"aaa")</f>
        <v/>
      </c>
      <c r="D15" s="39" t="inlineStr">
        <is>
          <t>네이버 브랜드검색</t>
        </is>
      </c>
      <c r="E15" s="39" t="inlineStr">
        <is>
          <t>고체향수</t>
        </is>
      </c>
      <c r="K15" s="49">
        <f>600000/30</f>
        <v/>
      </c>
    </row>
    <row r="16">
      <c r="B16" s="51" t="n">
        <v>43977</v>
      </c>
      <c r="C16" s="39">
        <f>TEXT(B16,"aaa")</f>
        <v/>
      </c>
      <c r="D16" s="39" t="inlineStr">
        <is>
          <t>뷰스컴퍼니 리뷰</t>
        </is>
      </c>
      <c r="E16" s="39" t="inlineStr">
        <is>
          <t>고체향수</t>
        </is>
      </c>
      <c r="K16" s="49" t="n">
        <v>200000</v>
      </c>
    </row>
    <row r="17">
      <c r="B17" s="51" t="n">
        <v>43983</v>
      </c>
      <c r="C17" s="39">
        <f>TEXT(B17,"aaa")</f>
        <v/>
      </c>
      <c r="D17" s="39" t="inlineStr">
        <is>
          <t>페이스북/인스타그램</t>
        </is>
      </c>
      <c r="E17" s="39" t="inlineStr">
        <is>
          <t>고체향수</t>
        </is>
      </c>
      <c r="K17" s="49" t="n">
        <v>192706</v>
      </c>
    </row>
    <row r="18">
      <c r="B18" s="51">
        <f>B17+1</f>
        <v/>
      </c>
      <c r="C18" s="39">
        <f>TEXT(B18,"aaa")</f>
        <v/>
      </c>
      <c r="D18" s="39" t="inlineStr">
        <is>
          <t>페이스북/인스타그램</t>
        </is>
      </c>
      <c r="E18" s="39" t="inlineStr">
        <is>
          <t>고체향수</t>
        </is>
      </c>
      <c r="K18" s="49" t="n">
        <v>113677</v>
      </c>
    </row>
    <row r="19">
      <c r="B19" s="51">
        <f>B18+1</f>
        <v/>
      </c>
      <c r="C19" s="39">
        <f>TEXT(B19,"aaa")</f>
        <v/>
      </c>
      <c r="D19" s="39" t="inlineStr">
        <is>
          <t>페이스북/인스타그램</t>
        </is>
      </c>
      <c r="E19" s="39" t="inlineStr">
        <is>
          <t>고체향수</t>
        </is>
      </c>
      <c r="K19" s="49" t="n">
        <v>377714</v>
      </c>
    </row>
    <row r="20">
      <c r="B20" s="51">
        <f>B19+1</f>
        <v/>
      </c>
      <c r="C20" s="39">
        <f>TEXT(B20,"aaa")</f>
        <v/>
      </c>
      <c r="D20" s="39" t="inlineStr">
        <is>
          <t>페이스북/인스타그램</t>
        </is>
      </c>
      <c r="E20" s="39" t="inlineStr">
        <is>
          <t>고체향수</t>
        </is>
      </c>
      <c r="K20" s="49" t="n">
        <v>580159</v>
      </c>
    </row>
    <row r="21">
      <c r="B21" s="51">
        <f>B20+1</f>
        <v/>
      </c>
      <c r="C21" s="39">
        <f>TEXT(B21,"aaa")</f>
        <v/>
      </c>
      <c r="D21" s="39" t="inlineStr">
        <is>
          <t>페이스북/인스타그램</t>
        </is>
      </c>
      <c r="E21" s="39" t="inlineStr">
        <is>
          <t>고체향수</t>
        </is>
      </c>
      <c r="K21" s="49" t="n">
        <v>269053</v>
      </c>
    </row>
    <row r="22">
      <c r="B22" s="51">
        <f>B21+1</f>
        <v/>
      </c>
      <c r="C22" s="39">
        <f>TEXT(B22,"aaa")</f>
        <v/>
      </c>
      <c r="D22" s="39" t="inlineStr">
        <is>
          <t>페이스북/인스타그램</t>
        </is>
      </c>
      <c r="E22" s="39" t="inlineStr">
        <is>
          <t>고체향수</t>
        </is>
      </c>
      <c r="K22" s="49" t="n">
        <v>237187</v>
      </c>
    </row>
    <row r="23">
      <c r="B23" s="51">
        <f>B22+1</f>
        <v/>
      </c>
      <c r="C23" s="39">
        <f>TEXT(B23,"aaa")</f>
        <v/>
      </c>
      <c r="D23" s="39" t="inlineStr">
        <is>
          <t>페이스북/인스타그램</t>
        </is>
      </c>
      <c r="E23" s="39" t="inlineStr">
        <is>
          <t>고체향수</t>
        </is>
      </c>
      <c r="K23" s="49" t="n">
        <v>193524</v>
      </c>
    </row>
    <row r="24">
      <c r="B24" s="51">
        <f>B23+1</f>
        <v/>
      </c>
      <c r="C24" s="39">
        <f>TEXT(B24,"aaa")</f>
        <v/>
      </c>
      <c r="D24" s="39" t="inlineStr">
        <is>
          <t>페이스북/인스타그램</t>
        </is>
      </c>
      <c r="E24" s="39" t="inlineStr">
        <is>
          <t>고체향수</t>
        </is>
      </c>
      <c r="K24" s="49" t="n">
        <v>161106</v>
      </c>
    </row>
    <row r="25">
      <c r="B25" s="51">
        <f>B24+1</f>
        <v/>
      </c>
      <c r="C25" s="39">
        <f>TEXT(B25,"aaa")</f>
        <v/>
      </c>
      <c r="D25" s="39" t="inlineStr">
        <is>
          <t>페이스북/인스타그램</t>
        </is>
      </c>
      <c r="E25" s="39" t="inlineStr">
        <is>
          <t>고체향수</t>
        </is>
      </c>
      <c r="K25" s="49" t="n">
        <v>282434</v>
      </c>
    </row>
    <row r="26">
      <c r="B26" s="51">
        <f>B25+1</f>
        <v/>
      </c>
      <c r="C26" s="39">
        <f>TEXT(B26,"aaa")</f>
        <v/>
      </c>
      <c r="D26" s="39" t="inlineStr">
        <is>
          <t>페이스북/인스타그램</t>
        </is>
      </c>
      <c r="E26" s="39" t="inlineStr">
        <is>
          <t>고체향수</t>
        </is>
      </c>
      <c r="K26" s="49" t="n">
        <v>396809</v>
      </c>
    </row>
    <row r="27">
      <c r="B27" s="51">
        <f>B26+1</f>
        <v/>
      </c>
      <c r="C27" s="39">
        <f>TEXT(B27,"aaa")</f>
        <v/>
      </c>
      <c r="D27" s="39" t="inlineStr">
        <is>
          <t>페이스북/인스타그램</t>
        </is>
      </c>
      <c r="E27" s="39" t="inlineStr">
        <is>
          <t>고체향수</t>
        </is>
      </c>
      <c r="K27" s="49" t="n">
        <v>390556</v>
      </c>
    </row>
    <row r="28">
      <c r="B28" s="51">
        <f>B27+1</f>
        <v/>
      </c>
      <c r="C28" s="39">
        <f>TEXT(B28,"aaa")</f>
        <v/>
      </c>
      <c r="D28" s="39" t="inlineStr">
        <is>
          <t>페이스북/인스타그램</t>
        </is>
      </c>
      <c r="E28" s="39" t="inlineStr">
        <is>
          <t>고체향수</t>
        </is>
      </c>
      <c r="K28" s="49" t="n">
        <v>328542</v>
      </c>
    </row>
    <row r="29">
      <c r="B29" s="51">
        <f>B28+1</f>
        <v/>
      </c>
      <c r="C29" s="39">
        <f>TEXT(B29,"aaa")</f>
        <v/>
      </c>
      <c r="D29" s="39" t="inlineStr">
        <is>
          <t>페이스북/인스타그램</t>
        </is>
      </c>
      <c r="E29" s="39" t="inlineStr">
        <is>
          <t>고체향수</t>
        </is>
      </c>
      <c r="K29" s="49" t="n">
        <v>350961</v>
      </c>
    </row>
    <row r="30">
      <c r="B30" s="51">
        <f>B29+1</f>
        <v/>
      </c>
      <c r="C30" s="39">
        <f>TEXT(B30,"aaa")</f>
        <v/>
      </c>
      <c r="D30" s="39" t="inlineStr">
        <is>
          <t>페이스북/인스타그램</t>
        </is>
      </c>
      <c r="E30" s="39" t="inlineStr">
        <is>
          <t>고체향수</t>
        </is>
      </c>
      <c r="K30" s="49" t="n">
        <v>353357</v>
      </c>
    </row>
    <row r="31">
      <c r="B31" s="51">
        <f>B30+1</f>
        <v/>
      </c>
      <c r="C31" s="39">
        <f>TEXT(B31,"aaa")</f>
        <v/>
      </c>
      <c r="D31" s="39" t="inlineStr">
        <is>
          <t>페이스북/인스타그램</t>
        </is>
      </c>
      <c r="E31" s="39" t="inlineStr">
        <is>
          <t>고체향수</t>
        </is>
      </c>
      <c r="K31" s="49" t="n">
        <v>338206</v>
      </c>
    </row>
    <row r="32">
      <c r="B32" s="51">
        <f>B31+1</f>
        <v/>
      </c>
      <c r="C32" s="39">
        <f>TEXT(B32,"aaa")</f>
        <v/>
      </c>
      <c r="D32" s="39" t="inlineStr">
        <is>
          <t>페이스북/인스타그램</t>
        </is>
      </c>
      <c r="E32" s="39" t="inlineStr">
        <is>
          <t>고체향수</t>
        </is>
      </c>
      <c r="K32" s="49" t="n">
        <v>355041</v>
      </c>
    </row>
    <row r="33">
      <c r="B33" s="51">
        <f>B32+1</f>
        <v/>
      </c>
      <c r="C33" s="39">
        <f>TEXT(B33,"aaa")</f>
        <v/>
      </c>
      <c r="D33" s="39" t="inlineStr">
        <is>
          <t>페이스북/인스타그램</t>
        </is>
      </c>
      <c r="E33" s="39" t="inlineStr">
        <is>
          <t>고체향수</t>
        </is>
      </c>
      <c r="K33" s="49" t="n">
        <v>468860</v>
      </c>
    </row>
    <row r="34">
      <c r="B34" s="51">
        <f>B33+1</f>
        <v/>
      </c>
      <c r="C34" s="39">
        <f>TEXT(B34,"aaa")</f>
        <v/>
      </c>
      <c r="D34" s="39" t="inlineStr">
        <is>
          <t>페이스북/인스타그램</t>
        </is>
      </c>
      <c r="E34" s="39" t="inlineStr">
        <is>
          <t>고체향수</t>
        </is>
      </c>
      <c r="K34" s="49" t="n">
        <v>961927</v>
      </c>
    </row>
    <row r="35">
      <c r="B35" s="51">
        <f>B34+1</f>
        <v/>
      </c>
      <c r="C35" s="39">
        <f>TEXT(B35,"aaa")</f>
        <v/>
      </c>
      <c r="D35" s="39" t="inlineStr">
        <is>
          <t>페이스북/인스타그램</t>
        </is>
      </c>
      <c r="E35" s="39" t="inlineStr">
        <is>
          <t>고체향수</t>
        </is>
      </c>
      <c r="K35" s="49" t="n">
        <v>878473</v>
      </c>
    </row>
    <row r="36">
      <c r="B36" s="51">
        <f>B35+1</f>
        <v/>
      </c>
      <c r="C36" s="39">
        <f>TEXT(B36,"aaa")</f>
        <v/>
      </c>
      <c r="D36" s="39" t="inlineStr">
        <is>
          <t>페이스북/인스타그램</t>
        </is>
      </c>
      <c r="E36" s="39" t="inlineStr">
        <is>
          <t>고체향수</t>
        </is>
      </c>
      <c r="K36" s="49" t="n">
        <v>1087409</v>
      </c>
    </row>
    <row r="37">
      <c r="B37" s="51">
        <f>B36+1</f>
        <v/>
      </c>
      <c r="C37" s="39">
        <f>TEXT(B37,"aaa")</f>
        <v/>
      </c>
      <c r="D37" s="39" t="inlineStr">
        <is>
          <t>페이스북/인스타그램</t>
        </is>
      </c>
      <c r="E37" s="39" t="inlineStr">
        <is>
          <t>고체향수</t>
        </is>
      </c>
      <c r="K37" s="49" t="n">
        <v>1248838</v>
      </c>
    </row>
    <row r="38">
      <c r="B38" s="51">
        <f>B37+1</f>
        <v/>
      </c>
      <c r="C38" s="39">
        <f>TEXT(B38,"aaa")</f>
        <v/>
      </c>
      <c r="D38" s="39" t="inlineStr">
        <is>
          <t>페이스북/인스타그램</t>
        </is>
      </c>
      <c r="E38" s="39" t="inlineStr">
        <is>
          <t>고체향수</t>
        </is>
      </c>
      <c r="K38" s="49" t="n">
        <v>1602474</v>
      </c>
    </row>
    <row r="39">
      <c r="B39" s="51">
        <f>B38+1</f>
        <v/>
      </c>
      <c r="C39" s="39">
        <f>TEXT(B39,"aaa")</f>
        <v/>
      </c>
      <c r="D39" s="39" t="inlineStr">
        <is>
          <t>페이스북/인스타그램</t>
        </is>
      </c>
      <c r="E39" s="39" t="inlineStr">
        <is>
          <t>고체향수</t>
        </is>
      </c>
      <c r="K39" s="49" t="n">
        <v>1567376</v>
      </c>
    </row>
    <row r="40">
      <c r="B40" s="51">
        <f>B39+1</f>
        <v/>
      </c>
      <c r="C40" s="39">
        <f>TEXT(B40,"aaa")</f>
        <v/>
      </c>
      <c r="D40" s="39" t="inlineStr">
        <is>
          <t>페이스북/인스타그램</t>
        </is>
      </c>
      <c r="E40" s="39" t="inlineStr">
        <is>
          <t>고체향수</t>
        </is>
      </c>
      <c r="K40" s="49" t="n">
        <v>1607092</v>
      </c>
    </row>
    <row r="41">
      <c r="B41" s="51">
        <f>B40+1</f>
        <v/>
      </c>
      <c r="C41" s="39">
        <f>TEXT(B41,"aaa")</f>
        <v/>
      </c>
      <c r="D41" s="39" t="inlineStr">
        <is>
          <t>페이스북/인스타그램</t>
        </is>
      </c>
      <c r="E41" s="39" t="inlineStr">
        <is>
          <t>고체향수</t>
        </is>
      </c>
      <c r="K41" s="49" t="n">
        <v>1780764</v>
      </c>
    </row>
    <row r="42">
      <c r="B42" s="51">
        <f>B41+1</f>
        <v/>
      </c>
      <c r="C42" s="39">
        <f>TEXT(B42,"aaa")</f>
        <v/>
      </c>
      <c r="D42" s="39" t="inlineStr">
        <is>
          <t>페이스북/인스타그램</t>
        </is>
      </c>
      <c r="E42" s="39" t="inlineStr">
        <is>
          <t>고체향수</t>
        </is>
      </c>
      <c r="K42" s="49" t="n">
        <v>1809511</v>
      </c>
    </row>
    <row r="43">
      <c r="B43" s="51">
        <f>B42+1</f>
        <v/>
      </c>
      <c r="C43" s="39">
        <f>TEXT(B43,"aaa")</f>
        <v/>
      </c>
      <c r="D43" s="39" t="inlineStr">
        <is>
          <t>페이스북/인스타그램</t>
        </is>
      </c>
      <c r="E43" s="39" t="inlineStr">
        <is>
          <t>고체향수</t>
        </is>
      </c>
      <c r="K43" s="49" t="n">
        <v>1920335</v>
      </c>
    </row>
    <row r="44">
      <c r="B44" s="51">
        <f>B43+1</f>
        <v/>
      </c>
      <c r="C44" s="39">
        <f>TEXT(B44,"aaa")</f>
        <v/>
      </c>
      <c r="D44" s="39" t="inlineStr">
        <is>
          <t>페이스북/인스타그램</t>
        </is>
      </c>
      <c r="E44" s="39" t="inlineStr">
        <is>
          <t>고체향수</t>
        </is>
      </c>
      <c r="K44" s="49" t="n">
        <v>1598927</v>
      </c>
    </row>
    <row r="45">
      <c r="B45" s="51">
        <f>B44+1</f>
        <v/>
      </c>
      <c r="C45" s="39">
        <f>TEXT(B45,"aaa")</f>
        <v/>
      </c>
      <c r="D45" s="39" t="inlineStr">
        <is>
          <t>페이스북/인스타그램</t>
        </is>
      </c>
      <c r="E45" s="39" t="inlineStr">
        <is>
          <t>고체향수</t>
        </is>
      </c>
      <c r="K45" s="49" t="n">
        <v>1355641</v>
      </c>
    </row>
    <row r="46">
      <c r="B46" s="51">
        <f>B45+1</f>
        <v/>
      </c>
      <c r="C46" s="39">
        <f>TEXT(B46,"aaa")</f>
        <v/>
      </c>
      <c r="D46" s="39" t="inlineStr">
        <is>
          <t>페이스북/인스타그램</t>
        </is>
      </c>
      <c r="E46" s="39" t="inlineStr">
        <is>
          <t>고체향수</t>
        </is>
      </c>
      <c r="K46" s="49" t="n">
        <v>1301523</v>
      </c>
    </row>
    <row r="47">
      <c r="B47" s="51">
        <f>B46+1</f>
        <v/>
      </c>
      <c r="C47" s="39">
        <f>TEXT(B47,"aaa")</f>
        <v/>
      </c>
      <c r="D47" s="39" t="inlineStr">
        <is>
          <t>페이스북/인스타그램</t>
        </is>
      </c>
      <c r="E47" s="39" t="inlineStr">
        <is>
          <t>고체향수</t>
        </is>
      </c>
      <c r="K47" s="49" t="n">
        <v>866004</v>
      </c>
    </row>
    <row r="48">
      <c r="B48" s="51">
        <f>B47+1</f>
        <v/>
      </c>
      <c r="C48" s="39">
        <f>TEXT(B48,"aaa")</f>
        <v/>
      </c>
      <c r="D48" s="39" t="inlineStr">
        <is>
          <t>페이스북/인스타그램</t>
        </is>
      </c>
      <c r="E48" s="39" t="inlineStr">
        <is>
          <t>고체향수</t>
        </is>
      </c>
      <c r="K48" s="49" t="n">
        <v>988933</v>
      </c>
    </row>
    <row r="49">
      <c r="B49" s="51">
        <f>B48+1</f>
        <v/>
      </c>
      <c r="C49" s="39">
        <f>TEXT(B49,"aaa")</f>
        <v/>
      </c>
      <c r="D49" s="39" t="inlineStr">
        <is>
          <t>페이스북/인스타그램</t>
        </is>
      </c>
      <c r="E49" s="39" t="inlineStr">
        <is>
          <t>고체향수</t>
        </is>
      </c>
      <c r="K49" s="49" t="n">
        <v>532347</v>
      </c>
    </row>
    <row r="50">
      <c r="B50" s="51">
        <f>B49+1</f>
        <v/>
      </c>
      <c r="C50" s="39">
        <f>TEXT(B50,"aaa")</f>
        <v/>
      </c>
      <c r="D50" s="39" t="inlineStr">
        <is>
          <t>페이스북/인스타그램</t>
        </is>
      </c>
      <c r="E50" s="39" t="inlineStr">
        <is>
          <t>고체향수</t>
        </is>
      </c>
      <c r="K50" s="49" t="n">
        <v>126894</v>
      </c>
    </row>
    <row r="51">
      <c r="B51" s="51">
        <f>B50+1</f>
        <v/>
      </c>
      <c r="C51" s="39">
        <f>TEXT(B51,"aaa")</f>
        <v/>
      </c>
      <c r="D51" s="39" t="inlineStr">
        <is>
          <t>페이스북/인스타그램</t>
        </is>
      </c>
      <c r="E51" s="39" t="inlineStr">
        <is>
          <t>고체향수</t>
        </is>
      </c>
      <c r="K51" s="49" t="n">
        <v>261799</v>
      </c>
    </row>
    <row r="52">
      <c r="B52" s="51">
        <f>B51+1</f>
        <v/>
      </c>
      <c r="C52" s="39">
        <f>TEXT(B52,"aaa")</f>
        <v/>
      </c>
      <c r="D52" s="39" t="inlineStr">
        <is>
          <t>페이스북/인스타그램</t>
        </is>
      </c>
      <c r="E52" s="39" t="inlineStr">
        <is>
          <t>고체향수</t>
        </is>
      </c>
      <c r="K52" s="49" t="n">
        <v>447045</v>
      </c>
    </row>
    <row r="53">
      <c r="B53" s="51">
        <f>B52+1</f>
        <v/>
      </c>
      <c r="C53" s="39">
        <f>TEXT(B53,"aaa")</f>
        <v/>
      </c>
      <c r="D53" s="39" t="inlineStr">
        <is>
          <t>페이스북/인스타그램</t>
        </is>
      </c>
      <c r="E53" s="39" t="inlineStr">
        <is>
          <t>고체향수</t>
        </is>
      </c>
      <c r="K53" s="49" t="n">
        <v>621711</v>
      </c>
    </row>
    <row r="54">
      <c r="B54" s="51">
        <f>B53+1</f>
        <v/>
      </c>
      <c r="C54" s="39">
        <f>TEXT(B54,"aaa")</f>
        <v/>
      </c>
      <c r="D54" s="39" t="inlineStr">
        <is>
          <t>페이스북/인스타그램</t>
        </is>
      </c>
      <c r="E54" s="39" t="inlineStr">
        <is>
          <t>고체향수</t>
        </is>
      </c>
      <c r="K54" s="49" t="n">
        <v>617293</v>
      </c>
    </row>
    <row r="55">
      <c r="B55" s="51">
        <f>B54+1</f>
        <v/>
      </c>
      <c r="C55" s="39">
        <f>TEXT(B55,"aaa")</f>
        <v/>
      </c>
      <c r="D55" s="39" t="inlineStr">
        <is>
          <t>페이스북/인스타그램</t>
        </is>
      </c>
      <c r="E55" s="39" t="inlineStr">
        <is>
          <t>고체향수</t>
        </is>
      </c>
      <c r="K55" s="49" t="n">
        <v>721867</v>
      </c>
    </row>
    <row r="56">
      <c r="B56" s="51">
        <f>B55+1</f>
        <v/>
      </c>
      <c r="C56" s="39">
        <f>TEXT(B56,"aaa")</f>
        <v/>
      </c>
      <c r="D56" s="39" t="inlineStr">
        <is>
          <t>페이스북/인스타그램</t>
        </is>
      </c>
      <c r="E56" s="39" t="inlineStr">
        <is>
          <t>고체향수</t>
        </is>
      </c>
      <c r="K56" s="49" t="n">
        <v>450794</v>
      </c>
    </row>
    <row r="57">
      <c r="B57" s="51">
        <f>B56+1</f>
        <v/>
      </c>
      <c r="C57" s="39">
        <f>TEXT(B57,"aaa")</f>
        <v/>
      </c>
      <c r="D57" s="39" t="inlineStr">
        <is>
          <t>페이스북/인스타그램</t>
        </is>
      </c>
      <c r="E57" s="39" t="inlineStr">
        <is>
          <t>고체향수</t>
        </is>
      </c>
      <c r="K57" s="49" t="n">
        <v>726705</v>
      </c>
    </row>
    <row r="58">
      <c r="B58" s="51">
        <f>B57+1</f>
        <v/>
      </c>
      <c r="C58" s="39">
        <f>TEXT(B58,"aaa")</f>
        <v/>
      </c>
      <c r="D58" s="39" t="inlineStr">
        <is>
          <t>페이스북/인스타그램</t>
        </is>
      </c>
      <c r="E58" s="39" t="inlineStr">
        <is>
          <t>고체향수</t>
        </is>
      </c>
      <c r="K58" s="49" t="n">
        <v>1105544</v>
      </c>
    </row>
    <row r="59">
      <c r="B59" s="51">
        <f>B58+1</f>
        <v/>
      </c>
      <c r="C59" s="39">
        <f>TEXT(B59,"aaa")</f>
        <v/>
      </c>
      <c r="D59" s="39" t="inlineStr">
        <is>
          <t>페이스북/인스타그램</t>
        </is>
      </c>
      <c r="E59" s="39" t="inlineStr">
        <is>
          <t>고체향수</t>
        </is>
      </c>
      <c r="K59" s="49" t="n">
        <v>729014</v>
      </c>
    </row>
    <row r="60">
      <c r="B60" s="51">
        <f>B59+1</f>
        <v/>
      </c>
      <c r="C60" s="39">
        <f>TEXT(B60,"aaa")</f>
        <v/>
      </c>
      <c r="D60" s="39" t="inlineStr">
        <is>
          <t>페이스북/인스타그램</t>
        </is>
      </c>
      <c r="E60" s="39" t="inlineStr">
        <is>
          <t>고체향수</t>
        </is>
      </c>
      <c r="K60" s="49" t="n">
        <v>1494667</v>
      </c>
    </row>
    <row r="61">
      <c r="B61" s="51">
        <f>B60+1</f>
        <v/>
      </c>
      <c r="C61" s="39">
        <f>TEXT(B61,"aaa")</f>
        <v/>
      </c>
      <c r="D61" s="39" t="inlineStr">
        <is>
          <t>페이스북/인스타그램</t>
        </is>
      </c>
      <c r="E61" s="39" t="inlineStr">
        <is>
          <t>고체향수</t>
        </is>
      </c>
      <c r="K61" s="49" t="n">
        <v>1996151</v>
      </c>
    </row>
    <row r="62">
      <c r="B62" s="51">
        <f>B61+1</f>
        <v/>
      </c>
      <c r="C62" s="39">
        <f>TEXT(B62,"aaa")</f>
        <v/>
      </c>
      <c r="D62" s="39" t="inlineStr">
        <is>
          <t>페이스북/인스타그램</t>
        </is>
      </c>
      <c r="E62" s="39" t="inlineStr">
        <is>
          <t>고체향수</t>
        </is>
      </c>
      <c r="K62" s="49" t="n">
        <v>1297037</v>
      </c>
    </row>
    <row r="63">
      <c r="B63" s="51">
        <f>B62+1</f>
        <v/>
      </c>
      <c r="C63" s="39">
        <f>TEXT(B63,"aaa")</f>
        <v/>
      </c>
      <c r="D63" s="39" t="inlineStr">
        <is>
          <t>페이스북/인스타그램</t>
        </is>
      </c>
      <c r="E63" s="39" t="inlineStr">
        <is>
          <t>고체향수</t>
        </is>
      </c>
      <c r="K63" s="49" t="n">
        <v>2002362</v>
      </c>
    </row>
    <row r="64">
      <c r="B64" s="51">
        <f>B63+1</f>
        <v/>
      </c>
      <c r="C64" s="39">
        <f>TEXT(B64,"aaa")</f>
        <v/>
      </c>
      <c r="D64" s="39" t="inlineStr">
        <is>
          <t>페이스북/인스타그램</t>
        </is>
      </c>
      <c r="E64" s="39" t="inlineStr">
        <is>
          <t>고체향수</t>
        </is>
      </c>
      <c r="K64" s="49" t="n">
        <v>867269</v>
      </c>
    </row>
    <row r="65">
      <c r="B65" s="51">
        <f>B64+1</f>
        <v/>
      </c>
      <c r="C65" s="39">
        <f>TEXT(B65,"aaa")</f>
        <v/>
      </c>
      <c r="D65" s="39" t="inlineStr">
        <is>
          <t>페이스북/인스타그램</t>
        </is>
      </c>
      <c r="E65" s="39" t="inlineStr">
        <is>
          <t>고체향수</t>
        </is>
      </c>
      <c r="K65" s="49" t="n">
        <v>1072667</v>
      </c>
    </row>
    <row r="66">
      <c r="B66" s="51">
        <f>B65+1</f>
        <v/>
      </c>
      <c r="C66" s="39">
        <f>TEXT(B66,"aaa")</f>
        <v/>
      </c>
      <c r="D66" s="39" t="inlineStr">
        <is>
          <t>페이스북/인스타그램</t>
        </is>
      </c>
      <c r="E66" s="39" t="inlineStr">
        <is>
          <t>고체향수</t>
        </is>
      </c>
      <c r="K66" s="49" t="n">
        <v>1269040</v>
      </c>
    </row>
    <row r="67">
      <c r="B67" s="51" t="n">
        <v>44023</v>
      </c>
      <c r="C67" s="39">
        <f>TEXT(B67,"aaa")</f>
        <v/>
      </c>
      <c r="D67" s="39" t="inlineStr">
        <is>
          <t>네이버 쇼핑검색</t>
        </is>
      </c>
      <c r="E67" s="39" t="inlineStr">
        <is>
          <t>고체향수</t>
        </is>
      </c>
      <c r="F67" s="14" t="n"/>
      <c r="K67" s="39" t="n">
        <v>499.9999999999999</v>
      </c>
    </row>
    <row r="68">
      <c r="B68" s="51" t="n">
        <v>44024</v>
      </c>
      <c r="C68" s="39">
        <f>TEXT(B68,"aaa")</f>
        <v/>
      </c>
      <c r="D68" s="39" t="inlineStr">
        <is>
          <t>네이버 쇼핑검색</t>
        </is>
      </c>
      <c r="E68" s="39" t="inlineStr">
        <is>
          <t>고체향수</t>
        </is>
      </c>
      <c r="F68" s="14" t="n"/>
      <c r="K68" s="39" t="n">
        <v>1120</v>
      </c>
    </row>
    <row r="69">
      <c r="B69" s="51" t="n">
        <v>44025</v>
      </c>
      <c r="C69" s="39">
        <f>TEXT(B69,"aaa")</f>
        <v/>
      </c>
      <c r="D69" s="39" t="inlineStr">
        <is>
          <t>네이버 쇼핑검색</t>
        </is>
      </c>
      <c r="E69" s="39" t="inlineStr">
        <is>
          <t>고체향수</t>
        </is>
      </c>
      <c r="F69" s="14" t="n"/>
      <c r="K69" s="39" t="n">
        <v>3070</v>
      </c>
    </row>
    <row r="70">
      <c r="B70" s="51" t="n">
        <v>44026</v>
      </c>
      <c r="C70" s="39">
        <f>TEXT(B70,"aaa")</f>
        <v/>
      </c>
      <c r="D70" s="39" t="inlineStr">
        <is>
          <t>네이버 쇼핑검색</t>
        </is>
      </c>
      <c r="E70" s="39" t="inlineStr">
        <is>
          <t>고체향수</t>
        </is>
      </c>
      <c r="F70" s="14" t="n"/>
      <c r="K70" s="39" t="n">
        <v>1540</v>
      </c>
    </row>
    <row r="71">
      <c r="B71" s="51" t="n">
        <v>44027</v>
      </c>
      <c r="C71" s="39">
        <f>TEXT(B71,"aaa")</f>
        <v/>
      </c>
      <c r="D71" s="39" t="inlineStr">
        <is>
          <t>네이버 쇼핑검색</t>
        </is>
      </c>
      <c r="E71" s="39" t="inlineStr">
        <is>
          <t>고체향수</t>
        </is>
      </c>
      <c r="F71" s="14" t="n"/>
      <c r="K71" s="39" t="n">
        <v>2380</v>
      </c>
    </row>
    <row r="72">
      <c r="B72" s="51" t="n">
        <v>44028</v>
      </c>
      <c r="C72" s="39">
        <f>TEXT(B72,"aaa")</f>
        <v/>
      </c>
      <c r="D72" s="39" t="inlineStr">
        <is>
          <t>네이버 쇼핑검색</t>
        </is>
      </c>
      <c r="E72" s="39" t="inlineStr">
        <is>
          <t>고체향수</t>
        </is>
      </c>
      <c r="F72" s="14" t="n"/>
      <c r="K72" s="39" t="n">
        <v>2080</v>
      </c>
    </row>
    <row r="73">
      <c r="B73" s="51" t="n">
        <v>44029</v>
      </c>
      <c r="C73" s="39">
        <f>TEXT(B73,"aaa")</f>
        <v/>
      </c>
      <c r="D73" s="39" t="inlineStr">
        <is>
          <t>네이버 쇼핑검색</t>
        </is>
      </c>
      <c r="E73" s="39" t="inlineStr">
        <is>
          <t>고체향수</t>
        </is>
      </c>
      <c r="F73" s="14" t="n"/>
      <c r="K73" s="39" t="n">
        <v>3170</v>
      </c>
    </row>
    <row r="74">
      <c r="B74" s="51" t="n">
        <v>44030</v>
      </c>
      <c r="C74" s="39">
        <f>TEXT(B74,"aaa")</f>
        <v/>
      </c>
      <c r="D74" s="39" t="inlineStr">
        <is>
          <t>네이버 쇼핑검색</t>
        </is>
      </c>
      <c r="E74" s="39" t="inlineStr">
        <is>
          <t>고체향수</t>
        </is>
      </c>
      <c r="F74" s="14" t="n"/>
      <c r="K74" s="39" t="n">
        <v>4110</v>
      </c>
    </row>
    <row r="75">
      <c r="B75" s="51" t="n">
        <v>44031</v>
      </c>
      <c r="C75" s="39">
        <f>TEXT(B75,"aaa")</f>
        <v/>
      </c>
      <c r="D75" s="39" t="inlineStr">
        <is>
          <t>네이버 쇼핑검색</t>
        </is>
      </c>
      <c r="E75" s="39" t="inlineStr">
        <is>
          <t>고체향수</t>
        </is>
      </c>
      <c r="F75" s="14" t="n"/>
      <c r="K75" s="39" t="n">
        <v>799.9999999999999</v>
      </c>
    </row>
    <row r="76">
      <c r="B76" s="51" t="n">
        <v>44032</v>
      </c>
      <c r="C76" s="39">
        <f>TEXT(B76,"aaa")</f>
        <v/>
      </c>
      <c r="D76" s="39" t="inlineStr">
        <is>
          <t>네이버 쇼핑검색</t>
        </is>
      </c>
      <c r="E76" s="39" t="inlineStr">
        <is>
          <t>고체향수</t>
        </is>
      </c>
      <c r="F76" s="14" t="n"/>
      <c r="K76" s="39" t="n">
        <v>4130</v>
      </c>
    </row>
    <row r="77">
      <c r="B77" s="51" t="n">
        <v>44015</v>
      </c>
      <c r="C77" s="39">
        <f>TEXT(B77,"aaa")</f>
        <v/>
      </c>
      <c r="D77" s="39" t="inlineStr">
        <is>
          <t>네이버 파워링크</t>
        </is>
      </c>
      <c r="E77" s="39" t="inlineStr">
        <is>
          <t>고체향수</t>
        </is>
      </c>
      <c r="F77" s="14" t="n"/>
      <c r="K77" s="39" t="n">
        <v>70</v>
      </c>
    </row>
    <row r="78">
      <c r="B78" s="51" t="n">
        <v>44017</v>
      </c>
      <c r="C78" s="39">
        <f>TEXT(B78,"aaa")</f>
        <v/>
      </c>
      <c r="D78" s="39" t="inlineStr">
        <is>
          <t>네이버 파워링크</t>
        </is>
      </c>
      <c r="E78" s="39" t="inlineStr">
        <is>
          <t>고체향수</t>
        </is>
      </c>
      <c r="F78" s="14" t="n"/>
      <c r="K78" s="39" t="n">
        <v>70</v>
      </c>
    </row>
    <row r="79">
      <c r="B79" s="51" t="n">
        <v>44020</v>
      </c>
      <c r="C79" s="39">
        <f>TEXT(B79,"aaa")</f>
        <v/>
      </c>
      <c r="D79" s="39" t="inlineStr">
        <is>
          <t>네이버 파워링크</t>
        </is>
      </c>
      <c r="E79" s="39" t="inlineStr">
        <is>
          <t>고체향수</t>
        </is>
      </c>
      <c r="F79" s="14" t="n"/>
      <c r="K79" s="39" t="n">
        <v>70</v>
      </c>
    </row>
    <row r="80">
      <c r="B80" s="51" t="n">
        <v>44022</v>
      </c>
      <c r="C80" s="39">
        <f>TEXT(B80,"aaa")</f>
        <v/>
      </c>
      <c r="D80" s="39" t="inlineStr">
        <is>
          <t>네이버 파워링크</t>
        </is>
      </c>
      <c r="E80" s="39" t="inlineStr">
        <is>
          <t>고체향수</t>
        </is>
      </c>
      <c r="F80" s="14" t="n"/>
      <c r="K80" s="39" t="n">
        <v>140</v>
      </c>
    </row>
    <row r="81">
      <c r="B81" s="51" t="n">
        <v>44032</v>
      </c>
      <c r="C81" s="39">
        <f>TEXT(B81,"aaa")</f>
        <v/>
      </c>
      <c r="D81" s="39" t="inlineStr">
        <is>
          <t>네이버 파워링크</t>
        </is>
      </c>
      <c r="E81" s="39" t="inlineStr">
        <is>
          <t>고체향수</t>
        </is>
      </c>
      <c r="F81" s="14" t="n"/>
      <c r="K81" s="39" t="n">
        <v>70</v>
      </c>
    </row>
    <row r="82">
      <c r="B82" s="51" t="n">
        <v>43983</v>
      </c>
      <c r="C82" s="39">
        <f>TEXT(B82,"aaa")</f>
        <v/>
      </c>
      <c r="D82" s="39" t="inlineStr">
        <is>
          <t>네이버 브랜드검색</t>
        </is>
      </c>
      <c r="E82" s="39" t="inlineStr">
        <is>
          <t>고체향수</t>
        </is>
      </c>
      <c r="K82" s="49">
        <f>600000/30</f>
        <v/>
      </c>
    </row>
    <row r="83">
      <c r="B83" s="51">
        <f>B82+1</f>
        <v/>
      </c>
      <c r="C83" s="39">
        <f>TEXT(B83,"aaa")</f>
        <v/>
      </c>
      <c r="D83" s="39" t="inlineStr">
        <is>
          <t>네이버 브랜드검색</t>
        </is>
      </c>
      <c r="E83" s="39" t="inlineStr">
        <is>
          <t>고체향수</t>
        </is>
      </c>
      <c r="K83" s="49">
        <f>600000/30</f>
        <v/>
      </c>
    </row>
    <row r="84">
      <c r="B84" s="51">
        <f>B83+1</f>
        <v/>
      </c>
      <c r="C84" s="39">
        <f>TEXT(B84,"aaa")</f>
        <v/>
      </c>
      <c r="D84" s="39" t="inlineStr">
        <is>
          <t>네이버 브랜드검색</t>
        </is>
      </c>
      <c r="E84" s="39" t="inlineStr">
        <is>
          <t>고체향수</t>
        </is>
      </c>
      <c r="K84" s="49">
        <f>600000/30</f>
        <v/>
      </c>
    </row>
    <row r="85">
      <c r="B85" s="51">
        <f>B84+1</f>
        <v/>
      </c>
      <c r="C85" s="39">
        <f>TEXT(B85,"aaa")</f>
        <v/>
      </c>
      <c r="D85" s="39" t="inlineStr">
        <is>
          <t>네이버 브랜드검색</t>
        </is>
      </c>
      <c r="E85" s="39" t="inlineStr">
        <is>
          <t>고체향수</t>
        </is>
      </c>
      <c r="K85" s="49">
        <f>600000/30</f>
        <v/>
      </c>
    </row>
    <row r="86">
      <c r="B86" s="51">
        <f>B85+1</f>
        <v/>
      </c>
      <c r="C86" s="39">
        <f>TEXT(B86,"aaa")</f>
        <v/>
      </c>
      <c r="D86" s="39" t="inlineStr">
        <is>
          <t>네이버 브랜드검색</t>
        </is>
      </c>
      <c r="E86" s="39" t="inlineStr">
        <is>
          <t>고체향수</t>
        </is>
      </c>
      <c r="K86" s="49">
        <f>600000/30</f>
        <v/>
      </c>
    </row>
    <row r="87">
      <c r="B87" s="51">
        <f>B86+1</f>
        <v/>
      </c>
      <c r="C87" s="39">
        <f>TEXT(B87,"aaa")</f>
        <v/>
      </c>
      <c r="D87" s="39" t="inlineStr">
        <is>
          <t>네이버 브랜드검색</t>
        </is>
      </c>
      <c r="E87" s="39" t="inlineStr">
        <is>
          <t>고체향수</t>
        </is>
      </c>
      <c r="K87" s="49">
        <f>600000/30</f>
        <v/>
      </c>
    </row>
    <row r="88">
      <c r="B88" s="51">
        <f>B87+1</f>
        <v/>
      </c>
      <c r="C88" s="39">
        <f>TEXT(B88,"aaa")</f>
        <v/>
      </c>
      <c r="D88" s="39" t="inlineStr">
        <is>
          <t>네이버 브랜드검색</t>
        </is>
      </c>
      <c r="E88" s="39" t="inlineStr">
        <is>
          <t>고체향수</t>
        </is>
      </c>
      <c r="K88" s="49">
        <f>600000/30</f>
        <v/>
      </c>
    </row>
    <row r="89">
      <c r="B89" s="51">
        <f>B88+1</f>
        <v/>
      </c>
      <c r="C89" s="39">
        <f>TEXT(B89,"aaa")</f>
        <v/>
      </c>
      <c r="D89" s="39" t="inlineStr">
        <is>
          <t>네이버 브랜드검색</t>
        </is>
      </c>
      <c r="E89" s="39" t="inlineStr">
        <is>
          <t>고체향수</t>
        </is>
      </c>
      <c r="K89" s="49">
        <f>600000/30</f>
        <v/>
      </c>
    </row>
    <row r="90">
      <c r="B90" s="51">
        <f>B89+1</f>
        <v/>
      </c>
      <c r="C90" s="39">
        <f>TEXT(B90,"aaa")</f>
        <v/>
      </c>
      <c r="D90" s="39" t="inlineStr">
        <is>
          <t>네이버 브랜드검색</t>
        </is>
      </c>
      <c r="E90" s="39" t="inlineStr">
        <is>
          <t>고체향수</t>
        </is>
      </c>
      <c r="K90" s="49">
        <f>600000/30</f>
        <v/>
      </c>
    </row>
    <row r="91">
      <c r="B91" s="51">
        <f>B90+1</f>
        <v/>
      </c>
      <c r="C91" s="39">
        <f>TEXT(B91,"aaa")</f>
        <v/>
      </c>
      <c r="D91" s="39" t="inlineStr">
        <is>
          <t>네이버 브랜드검색</t>
        </is>
      </c>
      <c r="E91" s="39" t="inlineStr">
        <is>
          <t>고체향수</t>
        </is>
      </c>
      <c r="K91" s="49">
        <f>600000/30</f>
        <v/>
      </c>
    </row>
    <row r="92">
      <c r="B92" s="51">
        <f>B91+1</f>
        <v/>
      </c>
      <c r="C92" s="39">
        <f>TEXT(B92,"aaa")</f>
        <v/>
      </c>
      <c r="D92" s="39" t="inlineStr">
        <is>
          <t>네이버 브랜드검색</t>
        </is>
      </c>
      <c r="E92" s="39" t="inlineStr">
        <is>
          <t>고체향수</t>
        </is>
      </c>
      <c r="K92" s="49">
        <f>600000/30</f>
        <v/>
      </c>
    </row>
    <row r="93">
      <c r="B93" s="51">
        <f>B92+1</f>
        <v/>
      </c>
      <c r="C93" s="39">
        <f>TEXT(B93,"aaa")</f>
        <v/>
      </c>
      <c r="D93" s="39" t="inlineStr">
        <is>
          <t>네이버 브랜드검색</t>
        </is>
      </c>
      <c r="E93" s="39" t="inlineStr">
        <is>
          <t>고체향수</t>
        </is>
      </c>
      <c r="K93" s="49">
        <f>600000/30</f>
        <v/>
      </c>
    </row>
    <row r="94">
      <c r="B94" s="51">
        <f>B93+1</f>
        <v/>
      </c>
      <c r="C94" s="39">
        <f>TEXT(B94,"aaa")</f>
        <v/>
      </c>
      <c r="D94" s="39" t="inlineStr">
        <is>
          <t>네이버 브랜드검색</t>
        </is>
      </c>
      <c r="E94" s="39" t="inlineStr">
        <is>
          <t>고체향수</t>
        </is>
      </c>
      <c r="K94" s="49">
        <f>600000/30</f>
        <v/>
      </c>
    </row>
    <row r="95">
      <c r="B95" s="51">
        <f>B94+1</f>
        <v/>
      </c>
      <c r="C95" s="39">
        <f>TEXT(B95,"aaa")</f>
        <v/>
      </c>
      <c r="D95" s="39" t="inlineStr">
        <is>
          <t>네이버 브랜드검색</t>
        </is>
      </c>
      <c r="E95" s="39" t="inlineStr">
        <is>
          <t>고체향수</t>
        </is>
      </c>
      <c r="K95" s="49">
        <f>600000/30</f>
        <v/>
      </c>
    </row>
    <row r="96">
      <c r="B96" s="51">
        <f>B95+1</f>
        <v/>
      </c>
      <c r="C96" s="39">
        <f>TEXT(B96,"aaa")</f>
        <v/>
      </c>
      <c r="D96" s="39" t="inlineStr">
        <is>
          <t>네이버 브랜드검색</t>
        </is>
      </c>
      <c r="E96" s="39" t="inlineStr">
        <is>
          <t>고체향수</t>
        </is>
      </c>
      <c r="K96" s="49">
        <f>600000/30</f>
        <v/>
      </c>
    </row>
    <row r="97">
      <c r="B97" s="51">
        <f>B96+1</f>
        <v/>
      </c>
      <c r="C97" s="39">
        <f>TEXT(B97,"aaa")</f>
        <v/>
      </c>
      <c r="D97" s="39" t="inlineStr">
        <is>
          <t>네이버 브랜드검색</t>
        </is>
      </c>
      <c r="E97" s="39" t="inlineStr">
        <is>
          <t>고체향수</t>
        </is>
      </c>
      <c r="K97" s="49">
        <f>600000/30</f>
        <v/>
      </c>
    </row>
    <row r="98">
      <c r="B98" s="51">
        <f>B97+1</f>
        <v/>
      </c>
      <c r="C98" s="39">
        <f>TEXT(B98,"aaa")</f>
        <v/>
      </c>
      <c r="D98" s="39" t="inlineStr">
        <is>
          <t>네이버 브랜드검색</t>
        </is>
      </c>
      <c r="E98" s="39" t="inlineStr">
        <is>
          <t>고체향수</t>
        </is>
      </c>
      <c r="K98" s="49">
        <f>600000/30</f>
        <v/>
      </c>
    </row>
    <row r="99">
      <c r="B99" s="51">
        <f>B98+1</f>
        <v/>
      </c>
      <c r="C99" s="39">
        <f>TEXT(B99,"aaa")</f>
        <v/>
      </c>
      <c r="D99" s="39" t="inlineStr">
        <is>
          <t>네이버 브랜드검색</t>
        </is>
      </c>
      <c r="E99" s="39" t="inlineStr">
        <is>
          <t>고체향수</t>
        </is>
      </c>
      <c r="K99" s="49">
        <f>600000/30</f>
        <v/>
      </c>
    </row>
    <row r="100">
      <c r="B100" s="51">
        <f>B99+1</f>
        <v/>
      </c>
      <c r="C100" s="39">
        <f>TEXT(B100,"aaa")</f>
        <v/>
      </c>
      <c r="D100" s="39" t="inlineStr">
        <is>
          <t>네이버 브랜드검색</t>
        </is>
      </c>
      <c r="E100" s="39" t="inlineStr">
        <is>
          <t>고체향수</t>
        </is>
      </c>
      <c r="K100" s="49">
        <f>600000/30</f>
        <v/>
      </c>
    </row>
    <row r="101">
      <c r="B101" s="51">
        <f>B100+1</f>
        <v/>
      </c>
      <c r="C101" s="39">
        <f>TEXT(B101,"aaa")</f>
        <v/>
      </c>
      <c r="D101" s="39" t="inlineStr">
        <is>
          <t>네이버 브랜드검색</t>
        </is>
      </c>
      <c r="E101" s="39" t="inlineStr">
        <is>
          <t>고체향수</t>
        </is>
      </c>
      <c r="K101" s="49">
        <f>600000/30</f>
        <v/>
      </c>
    </row>
    <row r="102">
      <c r="B102" s="51">
        <f>B101+1</f>
        <v/>
      </c>
      <c r="C102" s="39">
        <f>TEXT(B102,"aaa")</f>
        <v/>
      </c>
      <c r="D102" s="39" t="inlineStr">
        <is>
          <t>네이버 브랜드검색</t>
        </is>
      </c>
      <c r="E102" s="39" t="inlineStr">
        <is>
          <t>고체향수</t>
        </is>
      </c>
      <c r="K102" s="49">
        <f>600000/30</f>
        <v/>
      </c>
    </row>
    <row r="103">
      <c r="B103" s="51">
        <f>B102+1</f>
        <v/>
      </c>
      <c r="C103" s="39">
        <f>TEXT(B103,"aaa")</f>
        <v/>
      </c>
      <c r="D103" s="39" t="inlineStr">
        <is>
          <t>네이버 브랜드검색</t>
        </is>
      </c>
      <c r="E103" s="39" t="inlineStr">
        <is>
          <t>고체향수</t>
        </is>
      </c>
      <c r="K103" s="49">
        <f>600000/30</f>
        <v/>
      </c>
    </row>
    <row r="104">
      <c r="B104" s="51">
        <f>B103+1</f>
        <v/>
      </c>
      <c r="C104" s="39">
        <f>TEXT(B104,"aaa")</f>
        <v/>
      </c>
      <c r="D104" s="39" t="inlineStr">
        <is>
          <t>네이버 브랜드검색</t>
        </is>
      </c>
      <c r="E104" s="39" t="inlineStr">
        <is>
          <t>고체향수</t>
        </is>
      </c>
      <c r="K104" s="49">
        <f>600000/30</f>
        <v/>
      </c>
    </row>
    <row r="105">
      <c r="B105" s="51">
        <f>B104+1</f>
        <v/>
      </c>
      <c r="C105" s="39">
        <f>TEXT(B105,"aaa")</f>
        <v/>
      </c>
      <c r="D105" s="39" t="inlineStr">
        <is>
          <t>네이버 브랜드검색</t>
        </is>
      </c>
      <c r="E105" s="39" t="inlineStr">
        <is>
          <t>고체향수</t>
        </is>
      </c>
      <c r="K105" s="49">
        <f>600000/30</f>
        <v/>
      </c>
    </row>
    <row r="106">
      <c r="B106" s="51">
        <f>B105+1</f>
        <v/>
      </c>
      <c r="C106" s="39">
        <f>TEXT(B106,"aaa")</f>
        <v/>
      </c>
      <c r="D106" s="39" t="inlineStr">
        <is>
          <t>네이버 브랜드검색</t>
        </is>
      </c>
      <c r="E106" s="39" t="inlineStr">
        <is>
          <t>고체향수</t>
        </is>
      </c>
      <c r="K106" s="49">
        <f>600000/30</f>
        <v/>
      </c>
    </row>
    <row r="107">
      <c r="B107" s="51">
        <f>B106+1</f>
        <v/>
      </c>
      <c r="C107" s="39">
        <f>TEXT(B107,"aaa")</f>
        <v/>
      </c>
      <c r="D107" s="39" t="inlineStr">
        <is>
          <t>네이버 브랜드검색</t>
        </is>
      </c>
      <c r="E107" s="39" t="inlineStr">
        <is>
          <t>고체향수</t>
        </is>
      </c>
      <c r="K107" s="49">
        <f>600000/30</f>
        <v/>
      </c>
    </row>
    <row r="108">
      <c r="B108" s="51">
        <f>B107+1</f>
        <v/>
      </c>
      <c r="C108" s="39">
        <f>TEXT(B108,"aaa")</f>
        <v/>
      </c>
      <c r="D108" s="39" t="inlineStr">
        <is>
          <t>네이버 브랜드검색</t>
        </is>
      </c>
      <c r="E108" s="39" t="inlineStr">
        <is>
          <t>고체향수</t>
        </is>
      </c>
      <c r="K108" s="49">
        <f>600000/30</f>
        <v/>
      </c>
    </row>
    <row r="109">
      <c r="B109" s="51">
        <f>B108+1</f>
        <v/>
      </c>
      <c r="C109" s="39">
        <f>TEXT(B109,"aaa")</f>
        <v/>
      </c>
      <c r="D109" s="39" t="inlineStr">
        <is>
          <t>네이버 브랜드검색</t>
        </is>
      </c>
      <c r="E109" s="39" t="inlineStr">
        <is>
          <t>고체향수</t>
        </is>
      </c>
      <c r="K109" s="49">
        <f>600000/30</f>
        <v/>
      </c>
    </row>
    <row r="110">
      <c r="B110" s="51">
        <f>B109+1</f>
        <v/>
      </c>
      <c r="C110" s="39">
        <f>TEXT(B110,"aaa")</f>
        <v/>
      </c>
      <c r="D110" s="39" t="inlineStr">
        <is>
          <t>네이버 브랜드검색</t>
        </is>
      </c>
      <c r="E110" s="39" t="inlineStr">
        <is>
          <t>고체향수</t>
        </is>
      </c>
      <c r="K110" s="49">
        <f>600000/30</f>
        <v/>
      </c>
    </row>
    <row r="111">
      <c r="B111" s="51">
        <f>B110+1</f>
        <v/>
      </c>
      <c r="C111" s="39">
        <f>TEXT(B111,"aaa")</f>
        <v/>
      </c>
      <c r="D111" s="39" t="inlineStr">
        <is>
          <t>네이버 브랜드검색</t>
        </is>
      </c>
      <c r="E111" s="39" t="inlineStr">
        <is>
          <t>고체향수</t>
        </is>
      </c>
      <c r="K111" s="49">
        <f>600000/30</f>
        <v/>
      </c>
    </row>
    <row r="112">
      <c r="B112" s="51">
        <f>B111+1</f>
        <v/>
      </c>
      <c r="C112" s="39">
        <f>TEXT(B112,"aaa")</f>
        <v/>
      </c>
      <c r="D112" s="39" t="inlineStr">
        <is>
          <t>네이버 브랜드검색</t>
        </is>
      </c>
      <c r="E112" s="39" t="inlineStr">
        <is>
          <t>고체향수</t>
        </is>
      </c>
      <c r="K112" s="49">
        <f>600000/30</f>
        <v/>
      </c>
    </row>
    <row r="113">
      <c r="B113" s="51">
        <f>B112+1</f>
        <v/>
      </c>
      <c r="C113" s="39">
        <f>TEXT(B113,"aaa")</f>
        <v/>
      </c>
      <c r="D113" s="39" t="inlineStr">
        <is>
          <t>네이버 브랜드검색</t>
        </is>
      </c>
      <c r="E113" s="39" t="inlineStr">
        <is>
          <t>고체향수</t>
        </is>
      </c>
      <c r="K113" s="49">
        <f>600000/30</f>
        <v/>
      </c>
    </row>
    <row r="114">
      <c r="B114" s="51">
        <f>B113+1</f>
        <v/>
      </c>
      <c r="C114" s="39">
        <f>TEXT(B114,"aaa")</f>
        <v/>
      </c>
      <c r="D114" s="39" t="inlineStr">
        <is>
          <t>네이버 브랜드검색</t>
        </is>
      </c>
      <c r="E114" s="39" t="inlineStr">
        <is>
          <t>고체향수</t>
        </is>
      </c>
      <c r="K114" s="49">
        <f>600000/30</f>
        <v/>
      </c>
    </row>
    <row r="115">
      <c r="B115" s="51">
        <f>B114+1</f>
        <v/>
      </c>
      <c r="C115" s="39">
        <f>TEXT(B115,"aaa")</f>
        <v/>
      </c>
      <c r="D115" s="39" t="inlineStr">
        <is>
          <t>네이버 브랜드검색</t>
        </is>
      </c>
      <c r="E115" s="39" t="inlineStr">
        <is>
          <t>고체향수</t>
        </is>
      </c>
      <c r="K115" s="49">
        <f>600000/30</f>
        <v/>
      </c>
    </row>
    <row r="116">
      <c r="B116" s="51">
        <f>B115+1</f>
        <v/>
      </c>
      <c r="C116" s="39">
        <f>TEXT(B116,"aaa")</f>
        <v/>
      </c>
      <c r="D116" s="39" t="inlineStr">
        <is>
          <t>네이버 브랜드검색</t>
        </is>
      </c>
      <c r="E116" s="39" t="inlineStr">
        <is>
          <t>고체향수</t>
        </is>
      </c>
      <c r="K116" s="49">
        <f>600000/30</f>
        <v/>
      </c>
    </row>
    <row r="117">
      <c r="B117" s="51">
        <f>B116+1</f>
        <v/>
      </c>
      <c r="C117" s="39">
        <f>TEXT(B117,"aaa")</f>
        <v/>
      </c>
      <c r="D117" s="39" t="inlineStr">
        <is>
          <t>네이버 브랜드검색</t>
        </is>
      </c>
      <c r="E117" s="39" t="inlineStr">
        <is>
          <t>고체향수</t>
        </is>
      </c>
      <c r="K117" s="49">
        <f>600000/30</f>
        <v/>
      </c>
    </row>
    <row r="118">
      <c r="B118" s="51">
        <f>B117+1</f>
        <v/>
      </c>
      <c r="C118" s="39">
        <f>TEXT(B118,"aaa")</f>
        <v/>
      </c>
      <c r="D118" s="39" t="inlineStr">
        <is>
          <t>네이버 브랜드검색</t>
        </is>
      </c>
      <c r="E118" s="39" t="inlineStr">
        <is>
          <t>고체향수</t>
        </is>
      </c>
      <c r="K118" s="49">
        <f>600000/30</f>
        <v/>
      </c>
    </row>
    <row r="119">
      <c r="B119" s="51">
        <f>B118+1</f>
        <v/>
      </c>
      <c r="C119" s="39">
        <f>TEXT(B119,"aaa")</f>
        <v/>
      </c>
      <c r="D119" s="39" t="inlineStr">
        <is>
          <t>네이버 브랜드검색</t>
        </is>
      </c>
      <c r="E119" s="39" t="inlineStr">
        <is>
          <t>고체향수</t>
        </is>
      </c>
      <c r="K119" s="49">
        <f>600000/30</f>
        <v/>
      </c>
    </row>
    <row r="120">
      <c r="B120" s="51">
        <f>B119+1</f>
        <v/>
      </c>
      <c r="C120" s="39">
        <f>TEXT(B120,"aaa")</f>
        <v/>
      </c>
      <c r="D120" s="39" t="inlineStr">
        <is>
          <t>네이버 브랜드검색</t>
        </is>
      </c>
      <c r="E120" s="39" t="inlineStr">
        <is>
          <t>고체향수</t>
        </is>
      </c>
      <c r="K120" s="49">
        <f>600000/30</f>
        <v/>
      </c>
    </row>
    <row r="121">
      <c r="B121" s="51">
        <f>B120+1</f>
        <v/>
      </c>
      <c r="C121" s="39">
        <f>TEXT(B121,"aaa")</f>
        <v/>
      </c>
      <c r="D121" s="39" t="inlineStr">
        <is>
          <t>네이버 브랜드검색</t>
        </is>
      </c>
      <c r="E121" s="39" t="inlineStr">
        <is>
          <t>고체향수</t>
        </is>
      </c>
      <c r="K121" s="49">
        <f>600000/30</f>
        <v/>
      </c>
    </row>
    <row r="122">
      <c r="B122" s="51">
        <f>B121+1</f>
        <v/>
      </c>
      <c r="C122" s="39">
        <f>TEXT(B122,"aaa")</f>
        <v/>
      </c>
      <c r="D122" s="39" t="inlineStr">
        <is>
          <t>네이버 브랜드검색</t>
        </is>
      </c>
      <c r="E122" s="39" t="inlineStr">
        <is>
          <t>고체향수</t>
        </is>
      </c>
      <c r="K122" s="49">
        <f>600000/30</f>
        <v/>
      </c>
    </row>
    <row r="123">
      <c r="B123" s="51">
        <f>B122+1</f>
        <v/>
      </c>
      <c r="C123" s="39">
        <f>TEXT(B123,"aaa")</f>
        <v/>
      </c>
      <c r="D123" s="39" t="inlineStr">
        <is>
          <t>네이버 브랜드검색</t>
        </is>
      </c>
      <c r="E123" s="39" t="inlineStr">
        <is>
          <t>고체향수</t>
        </is>
      </c>
      <c r="K123" s="49">
        <f>600000/30</f>
        <v/>
      </c>
    </row>
    <row r="124">
      <c r="B124" s="51">
        <f>B123+1</f>
        <v/>
      </c>
      <c r="C124" s="39">
        <f>TEXT(B124,"aaa")</f>
        <v/>
      </c>
      <c r="D124" s="39" t="inlineStr">
        <is>
          <t>네이버 브랜드검색</t>
        </is>
      </c>
      <c r="E124" s="39" t="inlineStr">
        <is>
          <t>고체향수</t>
        </is>
      </c>
      <c r="K124" s="49">
        <f>600000/30</f>
        <v/>
      </c>
    </row>
    <row r="125">
      <c r="B125" s="51">
        <f>B124+1</f>
        <v/>
      </c>
      <c r="C125" s="39">
        <f>TEXT(B125,"aaa")</f>
        <v/>
      </c>
      <c r="D125" s="39" t="inlineStr">
        <is>
          <t>네이버 브랜드검색</t>
        </is>
      </c>
      <c r="E125" s="39" t="inlineStr">
        <is>
          <t>고체향수</t>
        </is>
      </c>
      <c r="K125" s="49">
        <f>600000/30</f>
        <v/>
      </c>
    </row>
    <row r="126">
      <c r="B126" s="51">
        <f>B125+1</f>
        <v/>
      </c>
      <c r="C126" s="39">
        <f>TEXT(B126,"aaa")</f>
        <v/>
      </c>
      <c r="D126" s="39" t="inlineStr">
        <is>
          <t>네이버 브랜드검색</t>
        </is>
      </c>
      <c r="E126" s="39" t="inlineStr">
        <is>
          <t>고체향수</t>
        </is>
      </c>
      <c r="K126" s="49">
        <f>600000/30</f>
        <v/>
      </c>
    </row>
    <row r="127">
      <c r="B127" s="51">
        <f>B126+1</f>
        <v/>
      </c>
      <c r="C127" s="39">
        <f>TEXT(B127,"aaa")</f>
        <v/>
      </c>
      <c r="D127" s="39" t="inlineStr">
        <is>
          <t>네이버 브랜드검색</t>
        </is>
      </c>
      <c r="E127" s="39" t="inlineStr">
        <is>
          <t>고체향수</t>
        </is>
      </c>
      <c r="K127" s="49">
        <f>600000/30</f>
        <v/>
      </c>
    </row>
    <row r="128">
      <c r="B128" s="51">
        <f>B127+1</f>
        <v/>
      </c>
      <c r="C128" s="39">
        <f>TEXT(B128,"aaa")</f>
        <v/>
      </c>
      <c r="D128" s="39" t="inlineStr">
        <is>
          <t>네이버 브랜드검색</t>
        </is>
      </c>
      <c r="E128" s="39" t="inlineStr">
        <is>
          <t>고체향수</t>
        </is>
      </c>
      <c r="K128" s="49">
        <f>600000/30</f>
        <v/>
      </c>
    </row>
    <row r="129">
      <c r="B129" s="51">
        <f>B128+1</f>
        <v/>
      </c>
      <c r="C129" s="39">
        <f>TEXT(B129,"aaa")</f>
        <v/>
      </c>
      <c r="D129" s="39" t="inlineStr">
        <is>
          <t>네이버 브랜드검색</t>
        </is>
      </c>
      <c r="E129" s="39" t="inlineStr">
        <is>
          <t>고체향수</t>
        </is>
      </c>
      <c r="K129" s="49">
        <f>600000/30</f>
        <v/>
      </c>
    </row>
    <row r="130">
      <c r="B130" s="51">
        <f>B129+1</f>
        <v/>
      </c>
      <c r="C130" s="39">
        <f>TEXT(B130,"aaa")</f>
        <v/>
      </c>
      <c r="D130" s="39" t="inlineStr">
        <is>
          <t>네이버 브랜드검색</t>
        </is>
      </c>
      <c r="E130" s="39" t="inlineStr">
        <is>
          <t>고체향수</t>
        </is>
      </c>
      <c r="K130" s="49">
        <f>600000/30</f>
        <v/>
      </c>
    </row>
    <row r="131">
      <c r="B131" s="51">
        <f>B130+1</f>
        <v/>
      </c>
      <c r="C131" s="39">
        <f>TEXT(B131,"aaa")</f>
        <v/>
      </c>
      <c r="D131" s="39" t="inlineStr">
        <is>
          <t>네이버 브랜드검색</t>
        </is>
      </c>
      <c r="E131" s="39" t="inlineStr">
        <is>
          <t>고체향수</t>
        </is>
      </c>
      <c r="K131" s="49">
        <f>600000/30</f>
        <v/>
      </c>
    </row>
    <row r="132">
      <c r="B132" s="51" t="n">
        <v>43990</v>
      </c>
      <c r="C132" s="39">
        <f>TEXT(B132,"aaa")</f>
        <v/>
      </c>
      <c r="D132" s="39" t="inlineStr">
        <is>
          <t>유튜브</t>
        </is>
      </c>
      <c r="E132" s="39" t="inlineStr">
        <is>
          <t>고체향수</t>
        </is>
      </c>
      <c r="F132" s="15" t="n"/>
      <c r="K132" s="39" t="n">
        <v>138745</v>
      </c>
    </row>
    <row r="133">
      <c r="B133" s="51" t="n">
        <v>43991</v>
      </c>
      <c r="C133" s="39">
        <f>TEXT(B133,"aaa")</f>
        <v/>
      </c>
      <c r="D133" s="39" t="inlineStr">
        <is>
          <t>유튜브</t>
        </is>
      </c>
      <c r="E133" s="39" t="inlineStr">
        <is>
          <t>고체향수</t>
        </is>
      </c>
      <c r="F133" s="15" t="n"/>
      <c r="K133" s="39" t="n">
        <v>91291</v>
      </c>
    </row>
    <row r="134">
      <c r="B134" s="51" t="n">
        <v>43992</v>
      </c>
      <c r="C134" s="39">
        <f>TEXT(B134,"aaa")</f>
        <v/>
      </c>
      <c r="D134" s="39" t="inlineStr">
        <is>
          <t>유튜브</t>
        </is>
      </c>
      <c r="E134" s="39" t="inlineStr">
        <is>
          <t>고체향수</t>
        </is>
      </c>
      <c r="F134" s="15" t="n"/>
      <c r="K134" s="39" t="n">
        <v>47913</v>
      </c>
    </row>
    <row r="135">
      <c r="B135" s="51" t="n">
        <v>43983</v>
      </c>
      <c r="C135" s="39">
        <f>TEXT(B135,"aaa")</f>
        <v/>
      </c>
      <c r="D135" s="39" t="inlineStr">
        <is>
          <t>기획사이다</t>
        </is>
      </c>
      <c r="E135" s="39" t="inlineStr">
        <is>
          <t>고체향수</t>
        </is>
      </c>
      <c r="K135" s="49">
        <f>5170000/1.1</f>
        <v/>
      </c>
    </row>
    <row r="136">
      <c r="B136" s="51" t="n">
        <v>44033</v>
      </c>
      <c r="C136" s="39">
        <f>TEXT(B136,"aaa")</f>
        <v/>
      </c>
      <c r="D136" s="39" t="inlineStr">
        <is>
          <t>페이스북/인스타그램</t>
        </is>
      </c>
      <c r="K136" s="39" t="n">
        <v>1763178</v>
      </c>
    </row>
    <row r="137">
      <c r="B137" s="51">
        <f>B136+1</f>
        <v/>
      </c>
      <c r="C137" s="39">
        <f>TEXT(B137,"aaa")</f>
        <v/>
      </c>
      <c r="D137" s="39" t="inlineStr">
        <is>
          <t>페이스북/인스타그램</t>
        </is>
      </c>
      <c r="K137" s="39" t="n">
        <v>2026645</v>
      </c>
    </row>
    <row r="138">
      <c r="B138" s="51">
        <f>B137+1</f>
        <v/>
      </c>
      <c r="C138" s="39">
        <f>TEXT(B138,"aaa")</f>
        <v/>
      </c>
      <c r="D138" s="39" t="inlineStr">
        <is>
          <t>페이스북/인스타그램</t>
        </is>
      </c>
      <c r="K138" s="39" t="n">
        <v>2601081</v>
      </c>
    </row>
    <row r="139">
      <c r="B139" s="51">
        <f>B138+1</f>
        <v/>
      </c>
      <c r="C139" s="39">
        <f>TEXT(B139,"aaa")</f>
        <v/>
      </c>
      <c r="D139" s="39" t="inlineStr">
        <is>
          <t>페이스북/인스타그램</t>
        </is>
      </c>
      <c r="K139" s="39" t="n">
        <v>2917007</v>
      </c>
    </row>
    <row r="140">
      <c r="B140" s="51">
        <f>B139+1</f>
        <v/>
      </c>
      <c r="C140" s="39">
        <f>TEXT(B140,"aaa")</f>
        <v/>
      </c>
      <c r="D140" s="39" t="inlineStr">
        <is>
          <t>페이스북/인스타그램</t>
        </is>
      </c>
      <c r="K140" s="39" t="n">
        <v>2381826</v>
      </c>
    </row>
    <row r="141">
      <c r="B141" s="51">
        <f>B140+1</f>
        <v/>
      </c>
      <c r="C141" s="39">
        <f>TEXT(B141,"aaa")</f>
        <v/>
      </c>
      <c r="D141" s="39" t="inlineStr">
        <is>
          <t>페이스북/인스타그램</t>
        </is>
      </c>
      <c r="K141" s="39" t="n">
        <v>3509277</v>
      </c>
    </row>
    <row r="142">
      <c r="B142" s="51">
        <f>B141+1</f>
        <v/>
      </c>
      <c r="C142" s="39">
        <f>TEXT(B142,"aaa")</f>
        <v/>
      </c>
      <c r="D142" s="39" t="inlineStr">
        <is>
          <t>페이스북/인스타그램</t>
        </is>
      </c>
      <c r="K142" s="39" t="n">
        <v>2544193</v>
      </c>
    </row>
    <row r="143">
      <c r="B143" s="51">
        <f>B142+1</f>
        <v/>
      </c>
      <c r="C143" s="39">
        <f>TEXT(B143,"aaa")</f>
        <v/>
      </c>
      <c r="D143" s="39" t="inlineStr">
        <is>
          <t>페이스북/인스타그램</t>
        </is>
      </c>
      <c r="K143" s="39" t="n">
        <v>2684927</v>
      </c>
    </row>
    <row r="144">
      <c r="B144" s="51">
        <f>B143+1</f>
        <v/>
      </c>
      <c r="C144" s="39">
        <f>TEXT(B144,"aaa")</f>
        <v/>
      </c>
      <c r="D144" s="39" t="inlineStr">
        <is>
          <t>페이스북/인스타그램</t>
        </is>
      </c>
      <c r="K144" s="39" t="n">
        <v>1888783</v>
      </c>
    </row>
    <row r="145">
      <c r="B145" s="51">
        <f>B144+1</f>
        <v/>
      </c>
      <c r="C145" s="39">
        <f>TEXT(B145,"aaa")</f>
        <v/>
      </c>
      <c r="D145" s="39" t="inlineStr">
        <is>
          <t>페이스북/인스타그램</t>
        </is>
      </c>
      <c r="K145" s="39" t="n">
        <v>1325534</v>
      </c>
    </row>
    <row r="146">
      <c r="B146" s="51">
        <f>B145+1</f>
        <v/>
      </c>
      <c r="C146" s="39">
        <f>TEXT(B146,"aaa")</f>
        <v/>
      </c>
      <c r="D146" s="39" t="inlineStr">
        <is>
          <t>페이스북/인스타그램</t>
        </is>
      </c>
      <c r="K146" s="39" t="n">
        <v>1635202</v>
      </c>
    </row>
    <row r="147">
      <c r="B147" s="51">
        <f>B146+1</f>
        <v/>
      </c>
      <c r="C147" s="39">
        <f>TEXT(B147,"aaa")</f>
        <v/>
      </c>
      <c r="D147" s="39" t="inlineStr">
        <is>
          <t>페이스북/인스타그램</t>
        </is>
      </c>
      <c r="K147" s="39" t="n">
        <v>1353293</v>
      </c>
    </row>
    <row r="148">
      <c r="B148" s="51">
        <f>B147+1</f>
        <v/>
      </c>
      <c r="C148" s="39">
        <f>TEXT(B148,"aaa")</f>
        <v/>
      </c>
      <c r="D148" s="39" t="inlineStr">
        <is>
          <t>페이스북/인스타그램</t>
        </is>
      </c>
      <c r="K148" s="39" t="n">
        <v>1321069</v>
      </c>
    </row>
    <row r="149">
      <c r="B149" s="51">
        <f>B148+1</f>
        <v/>
      </c>
      <c r="C149" s="39">
        <f>TEXT(B149,"aaa")</f>
        <v/>
      </c>
      <c r="D149" s="39" t="inlineStr">
        <is>
          <t>페이스북/인스타그램</t>
        </is>
      </c>
      <c r="K149" s="39" t="n">
        <v>2196005</v>
      </c>
    </row>
    <row r="150">
      <c r="B150" s="51">
        <f>B149+1</f>
        <v/>
      </c>
      <c r="C150" s="39">
        <f>TEXT(B150,"aaa")</f>
        <v/>
      </c>
      <c r="D150" s="39" t="inlineStr">
        <is>
          <t>페이스북/인스타그램</t>
        </is>
      </c>
      <c r="K150" s="39" t="n">
        <v>1870810</v>
      </c>
    </row>
    <row r="151">
      <c r="B151" s="51">
        <f>B150+1</f>
        <v/>
      </c>
      <c r="C151" s="39">
        <f>TEXT(B151,"aaa")</f>
        <v/>
      </c>
      <c r="D151" s="39" t="inlineStr">
        <is>
          <t>페이스북/인스타그램</t>
        </is>
      </c>
      <c r="K151" s="39" t="n">
        <v>1585158</v>
      </c>
    </row>
    <row r="152">
      <c r="B152" s="51">
        <f>B151+1</f>
        <v/>
      </c>
      <c r="C152" s="39">
        <f>TEXT(B152,"aaa")</f>
        <v/>
      </c>
      <c r="D152" s="39" t="inlineStr">
        <is>
          <t>페이스북/인스타그램</t>
        </is>
      </c>
      <c r="K152" s="17" t="n">
        <v>1290778</v>
      </c>
    </row>
    <row r="153">
      <c r="B153" s="51">
        <f>B152+1</f>
        <v/>
      </c>
      <c r="C153" s="39">
        <f>TEXT(B153,"aaa")</f>
        <v/>
      </c>
      <c r="D153" s="39" t="inlineStr">
        <is>
          <t>페이스북/인스타그램</t>
        </is>
      </c>
      <c r="K153" s="17" t="n">
        <v>1460230</v>
      </c>
    </row>
    <row r="154">
      <c r="B154" s="51">
        <f>B153+1</f>
        <v/>
      </c>
      <c r="C154" s="39">
        <f>TEXT(B154,"aaa")</f>
        <v/>
      </c>
      <c r="D154" s="39" t="inlineStr">
        <is>
          <t>페이스북/인스타그램</t>
        </is>
      </c>
      <c r="K154" s="17" t="n">
        <v>1507885</v>
      </c>
    </row>
    <row r="155">
      <c r="B155" s="51">
        <f>B154+1</f>
        <v/>
      </c>
      <c r="C155" s="39">
        <f>TEXT(B155,"aaa")</f>
        <v/>
      </c>
      <c r="D155" s="39" t="inlineStr">
        <is>
          <t>페이스북/인스타그램</t>
        </is>
      </c>
      <c r="K155" s="17" t="n">
        <v>1617573</v>
      </c>
    </row>
    <row r="156">
      <c r="B156" s="51">
        <f>B155+1</f>
        <v/>
      </c>
      <c r="C156" s="39">
        <f>TEXT(B156,"aaa")</f>
        <v/>
      </c>
      <c r="D156" s="39" t="inlineStr">
        <is>
          <t>페이스북/인스타그램</t>
        </is>
      </c>
      <c r="K156" s="17" t="n">
        <v>1741039</v>
      </c>
    </row>
    <row r="157">
      <c r="B157" s="51">
        <f>B156+1</f>
        <v/>
      </c>
      <c r="C157" s="39">
        <f>TEXT(B157,"aaa")</f>
        <v/>
      </c>
      <c r="D157" s="39" t="inlineStr">
        <is>
          <t>페이스북/인스타그램</t>
        </is>
      </c>
      <c r="K157" s="17" t="n">
        <v>1747479</v>
      </c>
    </row>
    <row r="158">
      <c r="B158" s="51">
        <f>B157+1</f>
        <v/>
      </c>
      <c r="C158" s="39">
        <f>TEXT(B158,"aaa")</f>
        <v/>
      </c>
      <c r="D158" s="39" t="inlineStr">
        <is>
          <t>페이스북/인스타그램</t>
        </is>
      </c>
      <c r="K158" s="17" t="n">
        <v>1951239</v>
      </c>
    </row>
    <row r="159">
      <c r="B159" s="51">
        <f>B158+1</f>
        <v/>
      </c>
      <c r="C159" s="39">
        <f>TEXT(B159,"aaa")</f>
        <v/>
      </c>
      <c r="D159" s="39" t="inlineStr">
        <is>
          <t>페이스북/인스타그램</t>
        </is>
      </c>
      <c r="K159" s="17" t="n">
        <v>1634493</v>
      </c>
    </row>
    <row r="160">
      <c r="B160" s="51">
        <f>B159+1</f>
        <v/>
      </c>
      <c r="C160" s="39">
        <f>TEXT(B160,"aaa")</f>
        <v/>
      </c>
      <c r="D160" s="39" t="inlineStr">
        <is>
          <t>페이스북/인스타그램</t>
        </is>
      </c>
      <c r="K160" s="18" t="n">
        <v>1323227</v>
      </c>
    </row>
    <row r="161">
      <c r="B161" s="51">
        <f>B160+1</f>
        <v/>
      </c>
      <c r="C161" s="39">
        <f>TEXT(B161,"aaa")</f>
        <v/>
      </c>
      <c r="D161" s="39" t="inlineStr">
        <is>
          <t>페이스북/인스타그램</t>
        </is>
      </c>
      <c r="K161" s="17" t="n">
        <v>995395</v>
      </c>
    </row>
    <row r="162">
      <c r="B162" s="51">
        <f>B161+1</f>
        <v/>
      </c>
      <c r="C162" s="39">
        <f>TEXT(B162,"aaa")</f>
        <v/>
      </c>
      <c r="D162" s="39" t="inlineStr">
        <is>
          <t>페이스북/인스타그램</t>
        </is>
      </c>
      <c r="K162" s="17" t="n">
        <v>1013688</v>
      </c>
    </row>
    <row r="163">
      <c r="B163" s="51">
        <f>B162+1</f>
        <v/>
      </c>
      <c r="C163" s="39">
        <f>TEXT(B163,"aaa")</f>
        <v/>
      </c>
      <c r="D163" s="39" t="inlineStr">
        <is>
          <t>페이스북/인스타그램</t>
        </is>
      </c>
      <c r="K163" s="17" t="n">
        <v>1369854</v>
      </c>
    </row>
    <row r="164">
      <c r="B164" s="51">
        <f>B163+1</f>
        <v/>
      </c>
      <c r="C164" s="39">
        <f>TEXT(B164,"aaa")</f>
        <v/>
      </c>
      <c r="D164" s="39" t="inlineStr">
        <is>
          <t>페이스북/인스타그램</t>
        </is>
      </c>
      <c r="K164" s="17" t="n">
        <v>1442119</v>
      </c>
    </row>
    <row r="165">
      <c r="B165" s="51">
        <f>B164+1</f>
        <v/>
      </c>
      <c r="C165" s="39">
        <f>TEXT(B165,"aaa")</f>
        <v/>
      </c>
      <c r="D165" s="39" t="inlineStr">
        <is>
          <t>페이스북/인스타그램</t>
        </is>
      </c>
      <c r="K165" s="19" t="n">
        <v>1786142</v>
      </c>
    </row>
    <row r="166">
      <c r="B166" s="51">
        <f>B165+1</f>
        <v/>
      </c>
      <c r="C166" s="39">
        <f>TEXT(B166,"aaa")</f>
        <v/>
      </c>
      <c r="D166" s="39" t="inlineStr">
        <is>
          <t>페이스북/인스타그램</t>
        </is>
      </c>
      <c r="K166" s="19" t="n">
        <v>1889671</v>
      </c>
    </row>
    <row r="167">
      <c r="B167" s="51">
        <f>B166+1</f>
        <v/>
      </c>
      <c r="C167" s="39">
        <f>TEXT(B167,"aaa")</f>
        <v/>
      </c>
      <c r="D167" s="39" t="inlineStr">
        <is>
          <t>페이스북/인스타그램</t>
        </is>
      </c>
      <c r="K167" s="19" t="n">
        <v>1793441</v>
      </c>
    </row>
    <row r="168">
      <c r="B168" s="51">
        <f>B167+1</f>
        <v/>
      </c>
      <c r="C168" s="39">
        <f>TEXT(B168,"aaa")</f>
        <v/>
      </c>
      <c r="D168" s="39" t="inlineStr">
        <is>
          <t>페이스북/인스타그램</t>
        </is>
      </c>
      <c r="K168" s="19" t="n">
        <v>1439223</v>
      </c>
    </row>
    <row r="169">
      <c r="B169" s="51">
        <f>B168+1</f>
        <v/>
      </c>
      <c r="C169" s="39">
        <f>TEXT(B169,"aaa")</f>
        <v/>
      </c>
      <c r="D169" s="39" t="inlineStr">
        <is>
          <t>페이스북/인스타그램</t>
        </is>
      </c>
      <c r="K169" s="19" t="n">
        <v>1858292</v>
      </c>
    </row>
    <row r="170">
      <c r="B170" s="51">
        <f>B169+1</f>
        <v/>
      </c>
      <c r="C170" s="39">
        <f>TEXT(B170,"aaa")</f>
        <v/>
      </c>
      <c r="D170" s="39" t="inlineStr">
        <is>
          <t>페이스북/인스타그램</t>
        </is>
      </c>
      <c r="K170" s="19" t="n">
        <v>1904380</v>
      </c>
    </row>
    <row r="171">
      <c r="B171" s="51">
        <f>B170+1</f>
        <v/>
      </c>
      <c r="C171" s="39">
        <f>TEXT(B171,"aaa")</f>
        <v/>
      </c>
      <c r="D171" s="39" t="inlineStr">
        <is>
          <t>페이스북/인스타그램</t>
        </is>
      </c>
      <c r="K171" s="19" t="n">
        <v>1900368</v>
      </c>
    </row>
    <row r="172">
      <c r="B172" s="51">
        <f>B171+1</f>
        <v/>
      </c>
      <c r="C172" s="39">
        <f>TEXT(B172,"aaa")</f>
        <v/>
      </c>
      <c r="D172" s="39" t="inlineStr">
        <is>
          <t>페이스북/인스타그램</t>
        </is>
      </c>
      <c r="K172" s="19" t="n">
        <v>2016760</v>
      </c>
    </row>
    <row r="173">
      <c r="B173" s="51">
        <f>B172+1</f>
        <v/>
      </c>
      <c r="C173" s="39">
        <f>TEXT(B173,"aaa")</f>
        <v/>
      </c>
      <c r="D173" s="39" t="inlineStr">
        <is>
          <t>페이스북/인스타그램</t>
        </is>
      </c>
      <c r="K173" s="19" t="n">
        <v>1760782</v>
      </c>
    </row>
    <row r="174">
      <c r="B174" s="51">
        <f>B173+1</f>
        <v/>
      </c>
      <c r="C174" s="39">
        <f>TEXT(B174,"aaa")</f>
        <v/>
      </c>
      <c r="D174" s="39" t="inlineStr">
        <is>
          <t>페이스북/인스타그램</t>
        </is>
      </c>
      <c r="K174" s="19" t="n">
        <v>1694277</v>
      </c>
    </row>
    <row r="175">
      <c r="B175" s="51">
        <f>B174+1</f>
        <v/>
      </c>
      <c r="C175" s="39">
        <f>TEXT(B175,"aaa")</f>
        <v/>
      </c>
      <c r="D175" s="39" t="inlineStr">
        <is>
          <t>페이스북/인스타그램</t>
        </is>
      </c>
      <c r="K175" s="19" t="n">
        <v>1589744</v>
      </c>
    </row>
    <row r="176">
      <c r="B176" s="51">
        <f>B175+1</f>
        <v/>
      </c>
      <c r="C176" s="39">
        <f>TEXT(B176,"aaa")</f>
        <v/>
      </c>
      <c r="D176" s="39" t="inlineStr">
        <is>
          <t>페이스북/인스타그램</t>
        </is>
      </c>
      <c r="K176" s="19" t="n">
        <v>1804164</v>
      </c>
    </row>
    <row r="177">
      <c r="B177" s="51">
        <f>B176+1</f>
        <v/>
      </c>
      <c r="C177" s="39">
        <f>TEXT(B177,"aaa")</f>
        <v/>
      </c>
      <c r="D177" s="39" t="inlineStr">
        <is>
          <t>페이스북/인스타그램</t>
        </is>
      </c>
      <c r="K177" s="19" t="n">
        <v>2220566</v>
      </c>
    </row>
    <row r="178">
      <c r="B178" s="51">
        <f>B177+1</f>
        <v/>
      </c>
      <c r="C178" s="39">
        <f>TEXT(B178,"aaa")</f>
        <v/>
      </c>
      <c r="D178" s="39" t="inlineStr">
        <is>
          <t>페이스북/인스타그램</t>
        </is>
      </c>
      <c r="K178" s="19" t="n">
        <v>2172200</v>
      </c>
    </row>
    <row r="179">
      <c r="B179" s="51">
        <f>B178+1</f>
        <v/>
      </c>
      <c r="C179" s="39">
        <f>TEXT(B179,"aaa")</f>
        <v/>
      </c>
      <c r="D179" s="39" t="inlineStr">
        <is>
          <t>페이스북/인스타그램</t>
        </is>
      </c>
      <c r="K179" s="19" t="n">
        <v>2027733</v>
      </c>
    </row>
    <row r="180">
      <c r="B180" s="51">
        <f>B179+1</f>
        <v/>
      </c>
      <c r="C180" s="39">
        <f>TEXT(B180,"aaa")</f>
        <v/>
      </c>
      <c r="D180" s="39" t="inlineStr">
        <is>
          <t>페이스북/인스타그램</t>
        </is>
      </c>
      <c r="K180" s="19" t="n">
        <v>1887474</v>
      </c>
    </row>
    <row r="181">
      <c r="B181" s="51">
        <f>B180+1</f>
        <v/>
      </c>
      <c r="C181" s="39">
        <f>TEXT(B181,"aaa")</f>
        <v/>
      </c>
      <c r="D181" s="39" t="inlineStr">
        <is>
          <t>페이스북/인스타그램</t>
        </is>
      </c>
      <c r="K181" s="19" t="n">
        <v>1935877</v>
      </c>
    </row>
    <row r="182">
      <c r="B182" s="51">
        <f>B181+1</f>
        <v/>
      </c>
      <c r="C182" s="39">
        <f>TEXT(B182,"aaa")</f>
        <v/>
      </c>
      <c r="D182" s="39" t="inlineStr">
        <is>
          <t>페이스북/인스타그램</t>
        </is>
      </c>
      <c r="K182" s="19" t="n">
        <v>1762702</v>
      </c>
    </row>
    <row r="183">
      <c r="B183" s="51">
        <f>B182+1</f>
        <v/>
      </c>
      <c r="C183" s="39">
        <f>TEXT(B183,"aaa")</f>
        <v/>
      </c>
      <c r="D183" s="39" t="inlineStr">
        <is>
          <t>페이스북/인스타그램</t>
        </is>
      </c>
      <c r="K183" s="19" t="n">
        <v>1790570</v>
      </c>
    </row>
    <row r="184">
      <c r="B184" s="51">
        <f>B183+1</f>
        <v/>
      </c>
      <c r="C184" s="39">
        <f>TEXT(B184,"aaa")</f>
        <v/>
      </c>
      <c r="D184" s="39" t="inlineStr">
        <is>
          <t>페이스북/인스타그램</t>
        </is>
      </c>
      <c r="K184" s="19" t="n">
        <v>1783661</v>
      </c>
    </row>
    <row r="185">
      <c r="B185" s="51">
        <f>B184+1</f>
        <v/>
      </c>
      <c r="C185" s="39">
        <f>TEXT(B185,"aaa")</f>
        <v/>
      </c>
      <c r="D185" s="39" t="inlineStr">
        <is>
          <t>페이스북/인스타그램</t>
        </is>
      </c>
      <c r="K185" s="19" t="n">
        <v>1665216</v>
      </c>
    </row>
    <row r="186">
      <c r="B186" s="51">
        <f>B185+1</f>
        <v/>
      </c>
      <c r="C186" s="39">
        <f>TEXT(B186,"aaa")</f>
        <v/>
      </c>
      <c r="D186" s="39" t="inlineStr">
        <is>
          <t>페이스북/인스타그램</t>
        </is>
      </c>
      <c r="K186" s="19" t="n">
        <v>1702811</v>
      </c>
    </row>
    <row r="187">
      <c r="B187" s="51">
        <f>B186+1</f>
        <v/>
      </c>
      <c r="C187" s="39">
        <f>TEXT(B187,"aaa")</f>
        <v/>
      </c>
      <c r="D187" s="39" t="inlineStr">
        <is>
          <t>페이스북/인스타그램</t>
        </is>
      </c>
      <c r="K187" s="19" t="n">
        <v>1922127</v>
      </c>
    </row>
    <row r="188">
      <c r="B188" s="51">
        <f>B187+1</f>
        <v/>
      </c>
      <c r="C188" s="39">
        <f>TEXT(B188,"aaa")</f>
        <v/>
      </c>
      <c r="D188" s="39" t="inlineStr">
        <is>
          <t>페이스북/인스타그램</t>
        </is>
      </c>
      <c r="K188" s="17" t="n">
        <v>1798895</v>
      </c>
    </row>
    <row r="189">
      <c r="B189" s="51">
        <f>B188+1</f>
        <v/>
      </c>
      <c r="C189" s="39">
        <f>TEXT(B189,"aaa")</f>
        <v/>
      </c>
      <c r="D189" s="39" t="inlineStr">
        <is>
          <t>페이스북/인스타그램</t>
        </is>
      </c>
      <c r="K189" s="17" t="n">
        <v>1643292</v>
      </c>
    </row>
    <row r="190">
      <c r="B190" s="51">
        <f>B189+1</f>
        <v/>
      </c>
      <c r="C190" s="39">
        <f>TEXT(B190,"aaa")</f>
        <v/>
      </c>
      <c r="D190" s="39" t="inlineStr">
        <is>
          <t>페이스북/인스타그램</t>
        </is>
      </c>
      <c r="K190" s="17" t="n">
        <v>1703664</v>
      </c>
    </row>
    <row r="191">
      <c r="B191" s="51">
        <f>B190+1</f>
        <v/>
      </c>
      <c r="C191" s="39">
        <f>TEXT(B191,"aaa")</f>
        <v/>
      </c>
      <c r="D191" s="39" t="inlineStr">
        <is>
          <t>페이스북/인스타그램</t>
        </is>
      </c>
      <c r="K191" s="17" t="n">
        <v>1950145</v>
      </c>
    </row>
    <row r="192">
      <c r="B192" s="51">
        <f>B191+1</f>
        <v/>
      </c>
      <c r="C192" s="39">
        <f>TEXT(B192,"aaa")</f>
        <v/>
      </c>
      <c r="D192" s="39" t="inlineStr">
        <is>
          <t>페이스북/인스타그램</t>
        </is>
      </c>
      <c r="K192" s="17" t="n">
        <v>1865959</v>
      </c>
    </row>
    <row r="193">
      <c r="B193" s="51">
        <f>B192+1</f>
        <v/>
      </c>
      <c r="C193" s="39">
        <f>TEXT(B193,"aaa")</f>
        <v/>
      </c>
      <c r="D193" s="39" t="inlineStr">
        <is>
          <t>페이스북/인스타그램</t>
        </is>
      </c>
      <c r="K193" s="17" t="n">
        <v>1845485</v>
      </c>
    </row>
    <row r="194">
      <c r="B194" s="51">
        <f>B193+1</f>
        <v/>
      </c>
      <c r="C194" s="39">
        <f>TEXT(B194,"aaa")</f>
        <v/>
      </c>
      <c r="D194" s="39" t="inlineStr">
        <is>
          <t>페이스북/인스타그램</t>
        </is>
      </c>
      <c r="K194" s="17" t="n">
        <v>1785124</v>
      </c>
    </row>
    <row r="195">
      <c r="B195" s="51">
        <f>B194+1</f>
        <v/>
      </c>
      <c r="C195" s="39">
        <f>TEXT(B195,"aaa")</f>
        <v/>
      </c>
      <c r="D195" s="39" t="inlineStr">
        <is>
          <t>페이스북/인스타그램</t>
        </is>
      </c>
      <c r="K195" s="17" t="n">
        <v>2054944</v>
      </c>
    </row>
    <row r="196">
      <c r="B196" s="51">
        <f>B195+1</f>
        <v/>
      </c>
      <c r="C196" s="39">
        <f>TEXT(B196,"aaa")</f>
        <v/>
      </c>
      <c r="D196" s="39" t="inlineStr">
        <is>
          <t>페이스북/인스타그램</t>
        </is>
      </c>
      <c r="K196" s="17" t="n">
        <v>1848540</v>
      </c>
    </row>
    <row r="197">
      <c r="B197" s="51">
        <f>B196+1</f>
        <v/>
      </c>
      <c r="C197" s="39">
        <f>TEXT(B197,"aaa")</f>
        <v/>
      </c>
      <c r="D197" s="39" t="inlineStr">
        <is>
          <t>페이스북/인스타그램</t>
        </is>
      </c>
      <c r="K197" s="19" t="n">
        <v>2092786</v>
      </c>
    </row>
    <row r="198">
      <c r="B198" s="51">
        <f>B197+1</f>
        <v/>
      </c>
      <c r="C198" s="39">
        <f>TEXT(B198,"aaa")</f>
        <v/>
      </c>
      <c r="D198" s="39" t="inlineStr">
        <is>
          <t>페이스북/인스타그램</t>
        </is>
      </c>
      <c r="K198" s="17" t="n">
        <v>2428882</v>
      </c>
    </row>
    <row r="199">
      <c r="B199" s="51">
        <f>B198+1</f>
        <v/>
      </c>
      <c r="C199" s="39">
        <f>TEXT(B199,"aaa")</f>
        <v/>
      </c>
      <c r="D199" s="39" t="inlineStr">
        <is>
          <t>페이스북/인스타그램</t>
        </is>
      </c>
      <c r="K199" s="17" t="n">
        <v>2347547</v>
      </c>
    </row>
    <row r="200">
      <c r="B200" s="51">
        <f>B199+1</f>
        <v/>
      </c>
      <c r="C200" s="39">
        <f>TEXT(B200,"aaa")</f>
        <v/>
      </c>
      <c r="D200" s="39" t="inlineStr">
        <is>
          <t>페이스북/인스타그램</t>
        </is>
      </c>
      <c r="K200" s="17" t="n">
        <v>2632496</v>
      </c>
    </row>
    <row r="201">
      <c r="B201" s="51">
        <f>B200+1</f>
        <v/>
      </c>
      <c r="C201" s="39">
        <f>TEXT(B201,"aaa")</f>
        <v/>
      </c>
      <c r="D201" s="39" t="inlineStr">
        <is>
          <t>페이스북/인스타그램</t>
        </is>
      </c>
      <c r="K201" s="17" t="n">
        <v>2558867</v>
      </c>
    </row>
    <row r="202">
      <c r="B202" s="51">
        <f>B201+1</f>
        <v/>
      </c>
      <c r="C202" s="39">
        <f>TEXT(B202,"aaa")</f>
        <v/>
      </c>
      <c r="D202" s="39" t="inlineStr">
        <is>
          <t>페이스북/인스타그램</t>
        </is>
      </c>
      <c r="K202" s="27" t="n">
        <v>2592883</v>
      </c>
    </row>
    <row r="203">
      <c r="B203" s="51">
        <f>B202+1</f>
        <v/>
      </c>
      <c r="C203" s="39">
        <f>TEXT(B203,"aaa")</f>
        <v/>
      </c>
      <c r="D203" s="39" t="inlineStr">
        <is>
          <t>페이스북/인스타그램</t>
        </is>
      </c>
      <c r="K203" s="27" t="n">
        <v>2876765</v>
      </c>
    </row>
    <row r="204">
      <c r="B204" s="51">
        <f>B203+1</f>
        <v/>
      </c>
      <c r="C204" s="39">
        <f>TEXT(B204,"aaa")</f>
        <v/>
      </c>
      <c r="D204" s="39" t="inlineStr">
        <is>
          <t>페이스북/인스타그램</t>
        </is>
      </c>
      <c r="K204" s="27" t="n">
        <v>3087637</v>
      </c>
    </row>
    <row r="205">
      <c r="B205" s="51">
        <f>B204+1</f>
        <v/>
      </c>
      <c r="C205" s="39">
        <f>TEXT(B205,"aaa")</f>
        <v/>
      </c>
      <c r="D205" s="39" t="inlineStr">
        <is>
          <t>페이스북/인스타그램</t>
        </is>
      </c>
      <c r="K205" s="27" t="n">
        <v>3068541</v>
      </c>
    </row>
    <row r="206">
      <c r="B206" s="51">
        <f>B205+1</f>
        <v/>
      </c>
      <c r="C206" s="39">
        <f>TEXT(B206,"aaa")</f>
        <v/>
      </c>
      <c r="D206" s="39" t="inlineStr">
        <is>
          <t>페이스북/인스타그램</t>
        </is>
      </c>
      <c r="K206" s="27" t="n">
        <v>3570232</v>
      </c>
    </row>
    <row r="207">
      <c r="B207" s="51">
        <f>B206+1</f>
        <v/>
      </c>
      <c r="C207" s="39">
        <f>TEXT(B207,"aaa")</f>
        <v/>
      </c>
      <c r="D207" s="39" t="inlineStr">
        <is>
          <t>페이스북/인스타그램</t>
        </is>
      </c>
      <c r="K207" s="27" t="n">
        <v>3935350</v>
      </c>
    </row>
    <row r="208">
      <c r="B208" s="51">
        <f>B207+1</f>
        <v/>
      </c>
      <c r="C208" s="39">
        <f>TEXT(B208,"aaa")</f>
        <v/>
      </c>
      <c r="D208" s="39" t="inlineStr">
        <is>
          <t>페이스북/인스타그램</t>
        </is>
      </c>
      <c r="K208" s="27" t="n">
        <v>4194609</v>
      </c>
    </row>
    <row r="209">
      <c r="B209" s="51">
        <f>B208+1</f>
        <v/>
      </c>
      <c r="C209" s="39">
        <f>TEXT(B209,"aaa")</f>
        <v/>
      </c>
      <c r="D209" s="39" t="inlineStr">
        <is>
          <t>페이스북/인스타그램</t>
        </is>
      </c>
      <c r="K209" s="27" t="n">
        <v>4042480</v>
      </c>
    </row>
    <row r="210">
      <c r="B210" s="51">
        <f>B209+1</f>
        <v/>
      </c>
      <c r="C210" s="39">
        <f>TEXT(B210,"aaa")</f>
        <v/>
      </c>
      <c r="D210" s="39" t="inlineStr">
        <is>
          <t>페이스북/인스타그램</t>
        </is>
      </c>
      <c r="K210" s="27" t="n">
        <v>4286573</v>
      </c>
    </row>
    <row r="211">
      <c r="B211" s="51">
        <f>B210+1</f>
        <v/>
      </c>
      <c r="C211" s="39">
        <f>TEXT(B211,"aaa")</f>
        <v/>
      </c>
      <c r="D211" s="39" t="inlineStr">
        <is>
          <t>페이스북/인스타그램</t>
        </is>
      </c>
      <c r="K211" s="27" t="n">
        <v>4321892</v>
      </c>
    </row>
    <row r="212">
      <c r="B212" s="51">
        <f>B211+1</f>
        <v/>
      </c>
      <c r="C212" s="39">
        <f>TEXT(B212,"aaa")</f>
        <v/>
      </c>
      <c r="D212" s="39" t="inlineStr">
        <is>
          <t>페이스북/인스타그램</t>
        </is>
      </c>
      <c r="K212" s="28" t="n">
        <v>3497320</v>
      </c>
    </row>
    <row r="213">
      <c r="B213" s="51">
        <f>B212+1</f>
        <v/>
      </c>
      <c r="C213" s="39">
        <f>TEXT(B213,"aaa")</f>
        <v/>
      </c>
      <c r="D213" s="39" t="inlineStr">
        <is>
          <t>페이스북/인스타그램</t>
        </is>
      </c>
      <c r="K213" s="30" t="n">
        <v>3952055</v>
      </c>
    </row>
    <row r="214">
      <c r="B214" s="51">
        <f>B213+1</f>
        <v/>
      </c>
      <c r="C214" s="39">
        <f>TEXT(B214,"aaa")</f>
        <v/>
      </c>
      <c r="D214" s="39" t="inlineStr">
        <is>
          <t>페이스북/인스타그램</t>
        </is>
      </c>
      <c r="I214" s="29" t="n"/>
      <c r="J214" s="31" t="n"/>
      <c r="K214" s="32" t="n">
        <v>4178698</v>
      </c>
    </row>
    <row r="215">
      <c r="B215" s="51">
        <f>B214+1</f>
        <v/>
      </c>
      <c r="C215" s="39">
        <f>TEXT(B215,"aaa")</f>
        <v/>
      </c>
      <c r="D215" s="39" t="inlineStr">
        <is>
          <t>페이스북/인스타그램</t>
        </is>
      </c>
      <c r="J215" s="31" t="n"/>
      <c r="K215" s="32" t="n">
        <v>3909871</v>
      </c>
    </row>
    <row r="216">
      <c r="B216" s="51">
        <f>B215+1</f>
        <v/>
      </c>
      <c r="C216" s="39">
        <f>TEXT(B216,"aaa")</f>
        <v/>
      </c>
      <c r="D216" s="39" t="inlineStr">
        <is>
          <t>페이스북/인스타그램</t>
        </is>
      </c>
      <c r="J216" s="31" t="n"/>
      <c r="K216" s="32" t="n">
        <v>4965656</v>
      </c>
    </row>
    <row r="217">
      <c r="B217" s="51">
        <f>B216+1</f>
        <v/>
      </c>
      <c r="C217" s="39">
        <f>TEXT(B217,"aaa")</f>
        <v/>
      </c>
      <c r="D217" s="39" t="inlineStr">
        <is>
          <t>페이스북/인스타그램</t>
        </is>
      </c>
      <c r="J217" s="31" t="n"/>
      <c r="K217" s="32" t="n">
        <v>5104416</v>
      </c>
    </row>
    <row r="218">
      <c r="B218" s="51">
        <f>B217+1</f>
        <v/>
      </c>
      <c r="C218" s="39">
        <f>TEXT(B218,"aaa")</f>
        <v/>
      </c>
      <c r="D218" s="39" t="inlineStr">
        <is>
          <t>페이스북/인스타그램</t>
        </is>
      </c>
      <c r="J218" s="31" t="n"/>
      <c r="K218" s="32" t="n">
        <v>5124673</v>
      </c>
    </row>
    <row r="219">
      <c r="B219" s="51">
        <f>B218+1</f>
        <v/>
      </c>
      <c r="C219" s="39">
        <f>TEXT(B219,"aaa")</f>
        <v/>
      </c>
      <c r="D219" s="39" t="inlineStr">
        <is>
          <t>페이스북/인스타그램</t>
        </is>
      </c>
      <c r="J219" s="39" t="n"/>
      <c r="K219" s="33" t="n">
        <v>5429661</v>
      </c>
    </row>
    <row r="220">
      <c r="B220" s="51">
        <f>B219+1</f>
        <v/>
      </c>
      <c r="C220" s="39">
        <f>TEXT(B220,"aaa")</f>
        <v/>
      </c>
      <c r="D220" s="39" t="inlineStr">
        <is>
          <t>페이스북/인스타그램</t>
        </is>
      </c>
      <c r="J220" s="39" t="n"/>
      <c r="K220" s="33" t="n">
        <v>5749470</v>
      </c>
    </row>
    <row r="221">
      <c r="B221" s="51">
        <f>B220+1</f>
        <v/>
      </c>
      <c r="C221" s="39">
        <f>TEXT(B221,"aaa")</f>
        <v/>
      </c>
      <c r="D221" s="39" t="inlineStr">
        <is>
          <t>페이스북/인스타그램</t>
        </is>
      </c>
      <c r="J221" s="39" t="n"/>
      <c r="K221" s="33" t="n">
        <v>5918409</v>
      </c>
    </row>
    <row r="222" ht="16.8" customHeight="1" s="47" thickBot="1">
      <c r="B222" s="51">
        <f>B221+1</f>
        <v/>
      </c>
      <c r="C222" s="39">
        <f>TEXT(B222,"aaa")</f>
        <v/>
      </c>
      <c r="D222" s="39" t="inlineStr">
        <is>
          <t>페이스북/인스타그램</t>
        </is>
      </c>
      <c r="J222" s="39" t="n"/>
      <c r="K222" s="33" t="n">
        <v>5660700</v>
      </c>
    </row>
    <row r="223" ht="16.8" customHeight="1" s="47" thickBot="1">
      <c r="B223" s="51">
        <f>B222+1</f>
        <v/>
      </c>
      <c r="C223" s="39">
        <f>TEXT(B223,"aaa")</f>
        <v/>
      </c>
      <c r="D223" s="39" t="inlineStr">
        <is>
          <t>페이스북/인스타그램</t>
        </is>
      </c>
      <c r="J223" s="39" t="n"/>
      <c r="K223" s="34" t="n">
        <v>5423171</v>
      </c>
    </row>
    <row r="224" ht="16.8" customHeight="1" s="47" thickBot="1">
      <c r="B224" s="51">
        <f>B223+1</f>
        <v/>
      </c>
      <c r="C224" s="39">
        <f>TEXT(B224,"aaa")</f>
        <v/>
      </c>
      <c r="D224" s="39" t="inlineStr">
        <is>
          <t>페이스북/인스타그램</t>
        </is>
      </c>
      <c r="J224" s="39" t="n"/>
      <c r="K224" s="34" t="n">
        <v>5538240</v>
      </c>
    </row>
    <row r="225" ht="16.8" customHeight="1" s="47" thickBot="1">
      <c r="B225" s="51">
        <f>B224+1</f>
        <v/>
      </c>
      <c r="C225" s="39">
        <f>TEXT(B225,"aaa")</f>
        <v/>
      </c>
      <c r="D225" s="39" t="inlineStr">
        <is>
          <t>페이스북/인스타그램</t>
        </is>
      </c>
      <c r="J225" s="39" t="n"/>
      <c r="K225" s="34" t="n">
        <v>5823280</v>
      </c>
    </row>
    <row r="226" ht="16.8" customHeight="1" s="47" thickBot="1">
      <c r="B226" s="51">
        <f>B225+1</f>
        <v/>
      </c>
      <c r="C226" s="39">
        <f>TEXT(B226,"aaa")</f>
        <v/>
      </c>
      <c r="D226" s="39" t="inlineStr">
        <is>
          <t>페이스북/인스타그램</t>
        </is>
      </c>
      <c r="J226" s="39" t="n"/>
      <c r="K226" s="34" t="n">
        <v>5956853</v>
      </c>
    </row>
    <row r="227" ht="16.8" customHeight="1" s="47" thickBot="1">
      <c r="B227" s="51">
        <f>B226+1</f>
        <v/>
      </c>
      <c r="C227" s="39">
        <f>TEXT(B227,"aaa")</f>
        <v/>
      </c>
      <c r="D227" s="39" t="inlineStr">
        <is>
          <t>페이스북/인스타그램</t>
        </is>
      </c>
      <c r="J227" s="39" t="n"/>
      <c r="K227" s="34" t="n">
        <v>6301841</v>
      </c>
    </row>
    <row r="228">
      <c r="B228" s="51">
        <f>B227+1</f>
        <v/>
      </c>
      <c r="C228" s="39">
        <f>TEXT(B228,"aaa")</f>
        <v/>
      </c>
      <c r="D228" s="39" t="inlineStr">
        <is>
          <t>페이스북/인스타그램</t>
        </is>
      </c>
      <c r="J228" s="39" t="n"/>
      <c r="K228" s="35" t="n">
        <v>6577186</v>
      </c>
    </row>
    <row r="229">
      <c r="B229" s="51">
        <f>B228+1</f>
        <v/>
      </c>
      <c r="C229" s="39">
        <f>TEXT(B229,"aaa")</f>
        <v/>
      </c>
      <c r="D229" s="39" t="inlineStr">
        <is>
          <t>페이스북/인스타그램</t>
        </is>
      </c>
      <c r="J229" s="39" t="n"/>
      <c r="K229" s="33" t="n">
        <v>6318505</v>
      </c>
    </row>
    <row r="230">
      <c r="B230" s="51">
        <f>B229+1</f>
        <v/>
      </c>
      <c r="C230" s="39">
        <f>TEXT(B230,"aaa")</f>
        <v/>
      </c>
      <c r="D230" s="39" t="inlineStr">
        <is>
          <t>페이스북/인스타그램</t>
        </is>
      </c>
      <c r="J230" s="39" t="n"/>
      <c r="K230" s="17" t="n">
        <v>5901422</v>
      </c>
    </row>
    <row r="231">
      <c r="B231" s="51">
        <f>B230+1</f>
        <v/>
      </c>
      <c r="C231" s="39">
        <f>TEXT(B231,"aaa")</f>
        <v/>
      </c>
      <c r="D231" s="39" t="inlineStr">
        <is>
          <t>페이스북/인스타그램</t>
        </is>
      </c>
      <c r="J231" s="39" t="n"/>
      <c r="K231" s="17" t="n">
        <v>5827226</v>
      </c>
    </row>
    <row r="232">
      <c r="B232" s="51">
        <f>B231+1</f>
        <v/>
      </c>
      <c r="C232" s="39">
        <f>TEXT(B232,"aaa")</f>
        <v/>
      </c>
      <c r="D232" s="39" t="inlineStr">
        <is>
          <t>페이스북/인스타그램</t>
        </is>
      </c>
      <c r="J232" s="39" t="n"/>
      <c r="K232" s="17" t="n">
        <v>5722965</v>
      </c>
    </row>
    <row r="233">
      <c r="B233" s="51">
        <f>B232+1</f>
        <v/>
      </c>
      <c r="C233" s="39">
        <f>TEXT(B233,"aaa")</f>
        <v/>
      </c>
      <c r="D233" s="39" t="inlineStr">
        <is>
          <t>페이스북/인스타그램</t>
        </is>
      </c>
      <c r="J233" s="39" t="n"/>
      <c r="K233" s="17" t="n">
        <v>5965586</v>
      </c>
    </row>
    <row r="234">
      <c r="B234" s="51">
        <f>B233+1</f>
        <v/>
      </c>
      <c r="C234" s="39">
        <f>TEXT(B234,"aaa")</f>
        <v/>
      </c>
      <c r="D234" s="39" t="inlineStr">
        <is>
          <t>페이스북/인스타그램</t>
        </is>
      </c>
      <c r="J234" s="39" t="n"/>
      <c r="K234" s="17" t="n">
        <v>6733643</v>
      </c>
    </row>
    <row r="235">
      <c r="B235" s="51">
        <f>B234+1</f>
        <v/>
      </c>
      <c r="C235" s="39">
        <f>TEXT(B235,"aaa")</f>
        <v/>
      </c>
      <c r="D235" s="39" t="inlineStr">
        <is>
          <t>페이스북/인스타그램</t>
        </is>
      </c>
      <c r="J235" s="39" t="n"/>
      <c r="K235" s="17" t="n">
        <v>6362911</v>
      </c>
    </row>
    <row r="236">
      <c r="B236" s="51">
        <f>B235+1</f>
        <v/>
      </c>
      <c r="C236" s="39">
        <f>TEXT(B236,"aaa")</f>
        <v/>
      </c>
      <c r="D236" s="39" t="inlineStr">
        <is>
          <t>페이스북/인스타그램</t>
        </is>
      </c>
      <c r="J236" s="39" t="n"/>
      <c r="K236" s="17" t="n">
        <v>5411754</v>
      </c>
    </row>
    <row r="237">
      <c r="B237" s="51">
        <f>B236+1</f>
        <v/>
      </c>
      <c r="C237" s="39">
        <f>TEXT(B237,"aaa")</f>
        <v/>
      </c>
      <c r="D237" s="39" t="inlineStr">
        <is>
          <t>페이스북/인스타그램</t>
        </is>
      </c>
      <c r="J237" s="39" t="n"/>
      <c r="K237" s="17" t="n">
        <v>5158645</v>
      </c>
    </row>
    <row r="238">
      <c r="B238" s="51">
        <f>B237+1</f>
        <v/>
      </c>
      <c r="C238" s="39">
        <f>TEXT(B238,"aaa")</f>
        <v/>
      </c>
      <c r="D238" s="39" t="inlineStr">
        <is>
          <t>페이스북/인스타그램</t>
        </is>
      </c>
      <c r="J238" s="39" t="n"/>
      <c r="K238" s="17" t="n">
        <v>5393829</v>
      </c>
    </row>
    <row r="239">
      <c r="B239" s="51">
        <f>B238+1</f>
        <v/>
      </c>
      <c r="C239" s="39">
        <f>TEXT(B239,"aaa")</f>
        <v/>
      </c>
      <c r="D239" s="39" t="inlineStr">
        <is>
          <t>페이스북/인스타그램</t>
        </is>
      </c>
      <c r="J239" s="39" t="n"/>
      <c r="K239" s="17" t="n">
        <v>5259332</v>
      </c>
    </row>
    <row r="240">
      <c r="B240" s="51">
        <f>B239+1</f>
        <v/>
      </c>
      <c r="C240" s="39">
        <f>TEXT(B240,"aaa")</f>
        <v/>
      </c>
      <c r="D240" s="39" t="inlineStr">
        <is>
          <t>페이스북/인스타그램</t>
        </is>
      </c>
      <c r="J240" s="39" t="n"/>
      <c r="K240" s="17" t="n">
        <v>5061677</v>
      </c>
    </row>
    <row r="241">
      <c r="B241" s="51">
        <f>B240+1</f>
        <v/>
      </c>
      <c r="C241" s="39">
        <f>TEXT(B241,"aaa")</f>
        <v/>
      </c>
      <c r="D241" s="39" t="inlineStr">
        <is>
          <t>페이스북/인스타그램</t>
        </is>
      </c>
      <c r="J241" s="39" t="n"/>
      <c r="K241" s="17" t="n">
        <v>5418913</v>
      </c>
    </row>
    <row r="242">
      <c r="B242" s="51">
        <f>B241+1</f>
        <v/>
      </c>
      <c r="C242" s="39">
        <f>TEXT(B242,"aaa")</f>
        <v/>
      </c>
      <c r="D242" s="39" t="inlineStr">
        <is>
          <t>페이스북/인스타그램</t>
        </is>
      </c>
      <c r="J242" s="39" t="n"/>
      <c r="K242" s="17" t="n">
        <v>5769473</v>
      </c>
    </row>
    <row r="243">
      <c r="B243" s="51">
        <f>B242+1</f>
        <v/>
      </c>
      <c r="C243" s="39">
        <f>TEXT(B243,"aaa")</f>
        <v/>
      </c>
      <c r="D243" s="39" t="inlineStr">
        <is>
          <t>페이스북/인스타그램</t>
        </is>
      </c>
      <c r="J243" s="39" t="n"/>
      <c r="K243" s="17" t="n">
        <v>5089776</v>
      </c>
    </row>
    <row r="244">
      <c r="B244" s="51">
        <f>B243+1</f>
        <v/>
      </c>
      <c r="C244" s="39">
        <f>TEXT(B244,"aaa")</f>
        <v/>
      </c>
      <c r="D244" s="39" t="inlineStr">
        <is>
          <t>페이스북/인스타그램</t>
        </is>
      </c>
      <c r="J244" s="39" t="n"/>
      <c r="K244" s="17" t="n">
        <v>4755724</v>
      </c>
    </row>
    <row r="245">
      <c r="B245" s="51">
        <f>B244+1</f>
        <v/>
      </c>
      <c r="C245" s="39">
        <f>TEXT(B245,"aaa")</f>
        <v/>
      </c>
      <c r="D245" s="39" t="inlineStr">
        <is>
          <t>페이스북/인스타그램</t>
        </is>
      </c>
      <c r="J245" s="39" t="n"/>
      <c r="K245" s="17" t="n">
        <v>5029674</v>
      </c>
    </row>
    <row r="246">
      <c r="B246" s="51">
        <f>B245+1</f>
        <v/>
      </c>
      <c r="C246" s="39">
        <f>TEXT(B246,"aaa")</f>
        <v/>
      </c>
      <c r="D246" s="39" t="inlineStr">
        <is>
          <t>페이스북/인스타그램</t>
        </is>
      </c>
      <c r="J246" s="39" t="n"/>
      <c r="K246" s="17" t="n">
        <v>5026491</v>
      </c>
    </row>
    <row r="247">
      <c r="B247" s="51">
        <f>B246+1</f>
        <v/>
      </c>
      <c r="C247" s="39">
        <f>TEXT(B247,"aaa")</f>
        <v/>
      </c>
      <c r="D247" s="39" t="inlineStr">
        <is>
          <t>페이스북/인스타그램</t>
        </is>
      </c>
      <c r="J247" s="39" t="n"/>
      <c r="K247" s="17" t="n">
        <v>4981840</v>
      </c>
    </row>
    <row r="248">
      <c r="B248" s="51">
        <f>B247+1</f>
        <v/>
      </c>
      <c r="C248" s="39">
        <f>TEXT(B248,"aaa")</f>
        <v/>
      </c>
      <c r="D248" s="39" t="inlineStr">
        <is>
          <t>페이스북/인스타그램</t>
        </is>
      </c>
      <c r="J248" s="39" t="n"/>
      <c r="K248" s="17" t="n">
        <v>5098311</v>
      </c>
    </row>
    <row r="249">
      <c r="B249" s="51">
        <f>B248+1</f>
        <v/>
      </c>
      <c r="C249" s="39">
        <f>TEXT(B249,"aaa")</f>
        <v/>
      </c>
      <c r="D249" s="39" t="inlineStr">
        <is>
          <t>페이스북/인스타그램</t>
        </is>
      </c>
      <c r="J249" s="39" t="n"/>
      <c r="K249" s="17" t="n">
        <v>5288679</v>
      </c>
    </row>
    <row r="250">
      <c r="B250" s="51">
        <f>B249+1</f>
        <v/>
      </c>
      <c r="C250" s="39">
        <f>TEXT(B250,"aaa")</f>
        <v/>
      </c>
      <c r="D250" s="39" t="inlineStr">
        <is>
          <t>페이스북/인스타그램</t>
        </is>
      </c>
      <c r="J250" s="39" t="n"/>
      <c r="K250" s="17" t="n">
        <v>5214059</v>
      </c>
    </row>
    <row r="251">
      <c r="B251" s="51">
        <f>B250+1</f>
        <v/>
      </c>
      <c r="C251" s="39">
        <f>TEXT(B251,"aaa")</f>
        <v/>
      </c>
      <c r="D251" s="39" t="inlineStr">
        <is>
          <t>페이스북/인스타그램</t>
        </is>
      </c>
      <c r="J251" s="39" t="n"/>
      <c r="K251" s="17" t="n">
        <v>4780271</v>
      </c>
    </row>
    <row r="252">
      <c r="B252" s="51">
        <f>B251+1</f>
        <v/>
      </c>
      <c r="C252" s="39">
        <f>TEXT(B252,"aaa")</f>
        <v/>
      </c>
      <c r="D252" s="39" t="inlineStr">
        <is>
          <t>페이스북/인스타그램</t>
        </is>
      </c>
      <c r="J252" s="39" t="n"/>
      <c r="K252" s="17" t="n">
        <v>5040650</v>
      </c>
    </row>
    <row r="253">
      <c r="B253" s="51">
        <f>B252+1</f>
        <v/>
      </c>
      <c r="C253" s="39">
        <f>TEXT(B253,"aaa")</f>
        <v/>
      </c>
      <c r="D253" s="39" t="inlineStr">
        <is>
          <t>페이스북/인스타그램</t>
        </is>
      </c>
      <c r="J253" s="39" t="n"/>
      <c r="K253" s="17" t="n">
        <v>4563528</v>
      </c>
    </row>
    <row r="254">
      <c r="B254" s="51">
        <f>B253+1</f>
        <v/>
      </c>
      <c r="C254" s="39">
        <f>TEXT(B254,"aaa")</f>
        <v/>
      </c>
      <c r="D254" s="39" t="inlineStr">
        <is>
          <t>페이스북/인스타그램</t>
        </is>
      </c>
      <c r="J254" s="39" t="n"/>
      <c r="K254" s="17" t="n">
        <v>1909635</v>
      </c>
    </row>
    <row r="255">
      <c r="B255" s="51">
        <f>B254+1</f>
        <v/>
      </c>
      <c r="C255" s="39">
        <f>TEXT(B255,"aaa")</f>
        <v/>
      </c>
      <c r="D255" s="39" t="inlineStr">
        <is>
          <t>페이스북/인스타그램</t>
        </is>
      </c>
      <c r="J255" s="39" t="n"/>
      <c r="K255" s="17" t="n">
        <v>1476447</v>
      </c>
    </row>
    <row r="256">
      <c r="B256" s="51">
        <f>B255+1</f>
        <v/>
      </c>
      <c r="C256" s="39">
        <f>TEXT(B256,"aaa")</f>
        <v/>
      </c>
      <c r="D256" s="39" t="inlineStr">
        <is>
          <t>페이스북/인스타그램</t>
        </is>
      </c>
      <c r="J256" s="39" t="n"/>
      <c r="K256" s="17" t="n">
        <v>897400</v>
      </c>
    </row>
    <row r="257">
      <c r="B257" s="51">
        <f>B256+1</f>
        <v/>
      </c>
      <c r="C257" s="39">
        <f>TEXT(B257,"aaa")</f>
        <v/>
      </c>
      <c r="D257" s="39" t="inlineStr">
        <is>
          <t>페이스북/인스타그램</t>
        </is>
      </c>
      <c r="J257" s="39" t="n"/>
      <c r="K257" s="17" t="n">
        <v>827199</v>
      </c>
    </row>
    <row r="258">
      <c r="B258" s="51">
        <f>B257+1</f>
        <v/>
      </c>
      <c r="C258" s="39">
        <f>TEXT(B258,"aaa")</f>
        <v/>
      </c>
      <c r="D258" s="39" t="inlineStr">
        <is>
          <t>페이스북/인스타그램</t>
        </is>
      </c>
      <c r="J258" s="39" t="n"/>
      <c r="K258" s="17" t="n">
        <v>1086363</v>
      </c>
    </row>
    <row r="259">
      <c r="B259" s="51">
        <f>B258+1</f>
        <v/>
      </c>
      <c r="C259" s="39">
        <f>TEXT(B259,"aaa")</f>
        <v/>
      </c>
      <c r="D259" s="39" t="inlineStr">
        <is>
          <t>페이스북/인스타그램</t>
        </is>
      </c>
      <c r="J259" s="39" t="n"/>
      <c r="K259" s="17" t="n">
        <v>1084369</v>
      </c>
    </row>
    <row r="260">
      <c r="B260" s="51">
        <f>B259+1</f>
        <v/>
      </c>
      <c r="C260" s="39">
        <f>TEXT(B260,"aaa")</f>
        <v/>
      </c>
      <c r="D260" s="39" t="inlineStr">
        <is>
          <t>페이스북/인스타그램</t>
        </is>
      </c>
      <c r="J260" s="39" t="n"/>
      <c r="K260" s="17" t="n">
        <v>1052758</v>
      </c>
    </row>
    <row r="261">
      <c r="B261" s="51">
        <f>B260+1</f>
        <v/>
      </c>
      <c r="C261" s="39">
        <f>TEXT(B261,"aaa")</f>
        <v/>
      </c>
      <c r="D261" s="39" t="inlineStr">
        <is>
          <t>페이스북/인스타그램</t>
        </is>
      </c>
      <c r="J261" s="39" t="n"/>
      <c r="K261" s="17" t="n">
        <v>1027292</v>
      </c>
    </row>
    <row r="262">
      <c r="B262" s="51">
        <f>B261+1</f>
        <v/>
      </c>
      <c r="C262" s="39">
        <f>TEXT(B262,"aaa")</f>
        <v/>
      </c>
      <c r="D262" s="39" t="inlineStr">
        <is>
          <t>페이스북/인스타그램</t>
        </is>
      </c>
      <c r="J262" s="39" t="n"/>
      <c r="K262" s="17" t="n">
        <v>1242255</v>
      </c>
    </row>
    <row r="263">
      <c r="B263" s="51">
        <f>B262+1</f>
        <v/>
      </c>
      <c r="C263" s="39">
        <f>TEXT(B263,"aaa")</f>
        <v/>
      </c>
      <c r="D263" s="39" t="inlineStr">
        <is>
          <t>페이스북/인스타그램</t>
        </is>
      </c>
      <c r="J263" s="39" t="n"/>
      <c r="K263" s="17" t="n">
        <v>1064481</v>
      </c>
    </row>
    <row r="264">
      <c r="B264" s="51">
        <f>B263+1</f>
        <v/>
      </c>
      <c r="C264" s="39">
        <f>TEXT(B264,"aaa")</f>
        <v/>
      </c>
      <c r="D264" s="39" t="inlineStr">
        <is>
          <t>페이스북/인스타그램</t>
        </is>
      </c>
      <c r="J264" s="39" t="n"/>
      <c r="K264" s="17" t="n">
        <v>1064034</v>
      </c>
    </row>
    <row r="265">
      <c r="B265" s="51">
        <f>B264+1</f>
        <v/>
      </c>
      <c r="C265" s="39">
        <f>TEXT(B265,"aaa")</f>
        <v/>
      </c>
      <c r="D265" s="39" t="inlineStr">
        <is>
          <t>페이스북/인스타그램</t>
        </is>
      </c>
      <c r="J265" s="39" t="n"/>
      <c r="K265" s="17" t="n">
        <v>1067233</v>
      </c>
    </row>
    <row r="266" ht="17.85" customHeight="1" s="47">
      <c r="B266" s="51">
        <f>B265+1</f>
        <v/>
      </c>
      <c r="C266" s="39">
        <f>TEXT(B266,"aaa")</f>
        <v/>
      </c>
      <c r="D266" s="39" t="inlineStr">
        <is>
          <t>페이스북/인스타그램</t>
        </is>
      </c>
      <c r="J266" s="39" t="n"/>
      <c r="K266" s="17" t="n">
        <v>1063546</v>
      </c>
    </row>
    <row r="267" ht="17.85" customHeight="1" s="47">
      <c r="B267" s="51">
        <f>B266+1</f>
        <v/>
      </c>
      <c r="C267" s="39">
        <f>TEXT(B267,"aaa")</f>
        <v/>
      </c>
      <c r="D267" s="39" t="inlineStr">
        <is>
          <t>페이스북/인스타그램</t>
        </is>
      </c>
      <c r="J267" s="39" t="n"/>
      <c r="K267" s="17" t="n">
        <v>1073545</v>
      </c>
    </row>
    <row r="268" ht="17.85" customHeight="1" s="47">
      <c r="B268" s="51">
        <f>B267+1</f>
        <v/>
      </c>
      <c r="C268" s="39">
        <f>TEXT(B268,"aaa")</f>
        <v/>
      </c>
      <c r="D268" s="39" t="inlineStr">
        <is>
          <t>페이스북/인스타그램</t>
        </is>
      </c>
      <c r="J268" s="39" t="n"/>
      <c r="K268" s="17" t="n">
        <v>1162621</v>
      </c>
    </row>
    <row r="269" ht="17.85" customHeight="1" s="47">
      <c r="B269" s="51">
        <f>B268+1</f>
        <v/>
      </c>
      <c r="C269" s="39">
        <f>TEXT(B269,"aaa")</f>
        <v/>
      </c>
      <c r="D269" s="39" t="inlineStr">
        <is>
          <t>페이스북/인스타그램</t>
        </is>
      </c>
      <c r="J269" s="39" t="n"/>
      <c r="K269" s="17" t="n">
        <v>1567666</v>
      </c>
    </row>
    <row r="270" ht="17.85" customHeight="1" s="47">
      <c r="B270" s="51">
        <f>B269+1</f>
        <v/>
      </c>
      <c r="C270" s="39">
        <f>TEXT(B270,"aaa")</f>
        <v/>
      </c>
      <c r="D270" s="39" t="inlineStr">
        <is>
          <t>페이스북/인스타그램</t>
        </is>
      </c>
      <c r="J270" s="39" t="n"/>
      <c r="K270" s="17" t="n">
        <v>1658029</v>
      </c>
    </row>
    <row r="271" ht="17.85" customHeight="1" s="47">
      <c r="B271" s="51">
        <f>B270+1</f>
        <v/>
      </c>
      <c r="C271" s="39">
        <f>TEXT(B271,"aaa")</f>
        <v/>
      </c>
      <c r="D271" s="39" t="inlineStr">
        <is>
          <t>페이스북/인스타그램</t>
        </is>
      </c>
      <c r="J271" s="39" t="n"/>
      <c r="K271" s="17" t="n">
        <v>1477903</v>
      </c>
    </row>
    <row r="272" ht="17.85" customHeight="1" s="47">
      <c r="B272" s="51">
        <f>B271+1</f>
        <v/>
      </c>
      <c r="C272" s="39">
        <f>TEXT(B272,"aaa")</f>
        <v/>
      </c>
      <c r="D272" s="39" t="inlineStr">
        <is>
          <t>페이스북/인스타그램</t>
        </is>
      </c>
      <c r="J272" s="39" t="n"/>
      <c r="K272" s="17" t="n">
        <v>1583658</v>
      </c>
    </row>
    <row r="273" ht="17.85" customHeight="1" s="47">
      <c r="B273" s="51">
        <f>B272+1</f>
        <v/>
      </c>
      <c r="C273" s="39">
        <f>TEXT(B273,"aaa")</f>
        <v/>
      </c>
      <c r="D273" s="39" t="inlineStr">
        <is>
          <t>페이스북/인스타그램</t>
        </is>
      </c>
      <c r="J273" s="39" t="n"/>
      <c r="K273" s="17" t="n">
        <v>1751306</v>
      </c>
    </row>
    <row r="274" ht="17.85" customHeight="1" s="47">
      <c r="B274" s="51">
        <f>B273+1</f>
        <v/>
      </c>
      <c r="C274" s="39">
        <f>TEXT(B274,"aaa")</f>
        <v/>
      </c>
      <c r="D274" s="39" t="inlineStr">
        <is>
          <t>페이스북/인스타그램</t>
        </is>
      </c>
      <c r="J274" s="39" t="n"/>
      <c r="K274" s="17" t="n">
        <v>1802275</v>
      </c>
    </row>
    <row r="275" ht="17.85" customHeight="1" s="47">
      <c r="B275" s="51">
        <f>B274+1</f>
        <v/>
      </c>
      <c r="C275" s="39">
        <f>TEXT(B275,"aaa")</f>
        <v/>
      </c>
      <c r="D275" s="39" t="inlineStr">
        <is>
          <t>페이스북/인스타그램</t>
        </is>
      </c>
      <c r="J275" s="39" t="n"/>
      <c r="K275" s="17" t="n">
        <v>1849046</v>
      </c>
    </row>
    <row r="276" ht="17.85" customHeight="1" s="47">
      <c r="B276" s="51">
        <f>B275+1</f>
        <v/>
      </c>
      <c r="C276" s="39">
        <f>TEXT(B276,"aaa")</f>
        <v/>
      </c>
      <c r="D276" s="39" t="inlineStr">
        <is>
          <t>페이스북/인스타그램</t>
        </is>
      </c>
      <c r="J276" s="39" t="n"/>
      <c r="K276" s="17" t="n">
        <v>1772156</v>
      </c>
    </row>
    <row r="277" ht="17.85" customHeight="1" s="47">
      <c r="B277" s="51">
        <f>B276+1</f>
        <v/>
      </c>
      <c r="C277" s="39">
        <f>TEXT(B277,"aaa")</f>
        <v/>
      </c>
      <c r="D277" s="39" t="inlineStr">
        <is>
          <t>페이스북/인스타그램</t>
        </is>
      </c>
      <c r="J277" s="39" t="n"/>
      <c r="K277" s="17" t="n">
        <v>1695520</v>
      </c>
    </row>
    <row r="278" ht="17.85" customHeight="1" s="47">
      <c r="B278" s="51">
        <f>B277+1</f>
        <v/>
      </c>
      <c r="C278" s="39">
        <f>TEXT(B278,"aaa")</f>
        <v/>
      </c>
      <c r="D278" s="39" t="inlineStr">
        <is>
          <t>페이스북/인스타그램</t>
        </is>
      </c>
      <c r="J278" s="39" t="n"/>
      <c r="K278" s="17" t="n">
        <v>1832295</v>
      </c>
    </row>
    <row r="279" ht="17.85" customHeight="1" s="47">
      <c r="B279" s="51">
        <f>B278+1</f>
        <v/>
      </c>
      <c r="C279" s="39">
        <f>TEXT(B279,"aaa")</f>
        <v/>
      </c>
      <c r="D279" s="39" t="inlineStr">
        <is>
          <t>페이스북/인스타그램</t>
        </is>
      </c>
      <c r="J279" s="39" t="n"/>
      <c r="K279" s="17" t="n">
        <v>2484717</v>
      </c>
    </row>
    <row r="280" ht="17.85" customHeight="1" s="47">
      <c r="B280" s="51">
        <f>B279+1</f>
        <v/>
      </c>
      <c r="C280" s="39">
        <f>TEXT(B280,"aaa")</f>
        <v/>
      </c>
      <c r="D280" s="39" t="inlineStr">
        <is>
          <t>페이스북/인스타그램</t>
        </is>
      </c>
      <c r="J280" s="39" t="n"/>
      <c r="K280" s="17" t="n">
        <v>2688860</v>
      </c>
    </row>
    <row r="281" ht="17.85" customHeight="1" s="47">
      <c r="B281" s="51">
        <f>B280+1</f>
        <v/>
      </c>
      <c r="C281" s="39">
        <f>TEXT(B281,"aaa")</f>
        <v/>
      </c>
      <c r="D281" s="39" t="inlineStr">
        <is>
          <t>페이스북/인스타그램</t>
        </is>
      </c>
      <c r="J281" s="39" t="n"/>
      <c r="K281" s="17" t="n">
        <v>3369121</v>
      </c>
    </row>
    <row r="282" ht="17.85" customHeight="1" s="47">
      <c r="B282" s="51">
        <f>B281+1</f>
        <v/>
      </c>
      <c r="C282" s="39">
        <f>TEXT(B282,"aaa")</f>
        <v/>
      </c>
      <c r="D282" s="39" t="inlineStr">
        <is>
          <t>페이스북/인스타그램</t>
        </is>
      </c>
      <c r="J282" s="39" t="n"/>
      <c r="K282" s="17" t="n">
        <v>4213068</v>
      </c>
    </row>
    <row r="283" ht="17.85" customHeight="1" s="47">
      <c r="B283" s="51">
        <f>B282+1</f>
        <v/>
      </c>
      <c r="C283" s="39">
        <f>TEXT(B283,"aaa")</f>
        <v/>
      </c>
      <c r="D283" s="39" t="inlineStr">
        <is>
          <t>페이스북/인스타그램</t>
        </is>
      </c>
      <c r="J283" s="39" t="n"/>
      <c r="K283" s="17" t="n">
        <v>4968615</v>
      </c>
    </row>
    <row r="284" ht="17.85" customHeight="1" s="47">
      <c r="B284" s="51">
        <f>B283+1</f>
        <v/>
      </c>
      <c r="C284" s="39">
        <f>TEXT(B284,"aaa")</f>
        <v/>
      </c>
      <c r="D284" s="39" t="inlineStr">
        <is>
          <t>페이스북/인스타그램</t>
        </is>
      </c>
      <c r="J284" s="39" t="n"/>
      <c r="K284" s="17" t="n">
        <v>5506343</v>
      </c>
    </row>
    <row r="285" ht="17.85" customHeight="1" s="47">
      <c r="B285" s="51">
        <f>B284+1</f>
        <v/>
      </c>
      <c r="C285" s="39">
        <f>TEXT(B285,"aaa")</f>
        <v/>
      </c>
      <c r="D285" s="39" t="inlineStr">
        <is>
          <t>페이스북/인스타그램</t>
        </is>
      </c>
      <c r="J285" s="39" t="n"/>
      <c r="K285" s="17" t="n">
        <v>5913042</v>
      </c>
    </row>
    <row r="286" ht="17.85" customHeight="1" s="47">
      <c r="B286" s="51">
        <f>B285+1</f>
        <v/>
      </c>
      <c r="C286" s="39">
        <f>TEXT(B286,"aaa")</f>
        <v/>
      </c>
      <c r="D286" s="39" t="inlineStr">
        <is>
          <t>페이스북/인스타그램</t>
        </is>
      </c>
      <c r="J286" s="39" t="n"/>
      <c r="K286" s="17" t="n">
        <v>5703341</v>
      </c>
    </row>
    <row r="287" ht="17.85" customHeight="1" s="47">
      <c r="B287" s="51">
        <f>B286+1</f>
        <v/>
      </c>
      <c r="C287" s="39">
        <f>TEXT(B287,"aaa")</f>
        <v/>
      </c>
      <c r="D287" s="39" t="inlineStr">
        <is>
          <t>페이스북/인스타그램</t>
        </is>
      </c>
      <c r="J287" s="39" t="n"/>
      <c r="K287" s="17" t="n">
        <v>6272608</v>
      </c>
    </row>
    <row r="288" ht="17.85" customHeight="1" s="47">
      <c r="B288" s="51">
        <f>B287+1</f>
        <v/>
      </c>
      <c r="C288" s="39">
        <f>TEXT(B288,"aaa")</f>
        <v/>
      </c>
      <c r="D288" s="39" t="inlineStr">
        <is>
          <t>페이스북/인스타그램</t>
        </is>
      </c>
      <c r="J288" s="39" t="n"/>
      <c r="K288" s="17" t="n">
        <v>6891789</v>
      </c>
    </row>
    <row r="289" ht="17.85" customHeight="1" s="47">
      <c r="B289" s="51">
        <f>B288+1</f>
        <v/>
      </c>
      <c r="C289" s="39">
        <f>TEXT(B289,"aaa")</f>
        <v/>
      </c>
      <c r="D289" s="39" t="inlineStr">
        <is>
          <t>페이스북/인스타그램</t>
        </is>
      </c>
      <c r="J289" s="39" t="n"/>
      <c r="K289" s="17" t="n">
        <v>5926152</v>
      </c>
    </row>
    <row r="290" ht="17.85" customHeight="1" s="47">
      <c r="B290" s="51">
        <f>B289+1</f>
        <v/>
      </c>
      <c r="C290" s="39">
        <f>TEXT(B290,"aaa")</f>
        <v/>
      </c>
      <c r="D290" s="39" t="inlineStr">
        <is>
          <t>페이스북/인스타그램</t>
        </is>
      </c>
      <c r="J290" s="39" t="n"/>
      <c r="K290" s="17" t="n">
        <v>4865962</v>
      </c>
    </row>
    <row r="291" ht="17.85" customHeight="1" s="47">
      <c r="B291" s="51">
        <f>B290+1</f>
        <v/>
      </c>
      <c r="C291" s="39">
        <f>TEXT(B291,"aaa")</f>
        <v/>
      </c>
      <c r="D291" s="39" t="inlineStr">
        <is>
          <t>페이스북/인스타그램</t>
        </is>
      </c>
      <c r="J291" s="39" t="n"/>
      <c r="K291" s="17" t="n">
        <v>3231197</v>
      </c>
    </row>
    <row r="292" ht="17.85" customHeight="1" s="47">
      <c r="B292" s="51">
        <f>B291+1</f>
        <v/>
      </c>
      <c r="C292" s="39">
        <f>TEXT(B292,"aaa")</f>
        <v/>
      </c>
      <c r="D292" s="39" t="inlineStr">
        <is>
          <t>페이스북/인스타그램</t>
        </is>
      </c>
      <c r="J292" s="39" t="n"/>
      <c r="K292" s="17" t="n">
        <v>2991135</v>
      </c>
    </row>
    <row r="293" ht="17.85" customHeight="1" s="47">
      <c r="B293" s="51">
        <f>B292+1</f>
        <v/>
      </c>
      <c r="C293" s="39">
        <f>TEXT(B293,"aaa")</f>
        <v/>
      </c>
      <c r="D293" s="39" t="inlineStr">
        <is>
          <t>페이스북/인스타그램</t>
        </is>
      </c>
      <c r="J293" s="39" t="n"/>
      <c r="K293" s="17" t="n">
        <v>3377561</v>
      </c>
    </row>
    <row r="294" ht="17.85" customHeight="1" s="47">
      <c r="B294" s="51">
        <f>B293+1</f>
        <v/>
      </c>
      <c r="C294" s="39">
        <f>TEXT(B294,"aaa")</f>
        <v/>
      </c>
      <c r="D294" s="39" t="inlineStr">
        <is>
          <t>페이스북/인스타그램</t>
        </is>
      </c>
      <c r="J294" s="39" t="n"/>
      <c r="K294" s="17" t="n">
        <v>3747438</v>
      </c>
    </row>
    <row r="295" ht="17.85" customHeight="1" s="47">
      <c r="B295" s="51">
        <f>B294+1</f>
        <v/>
      </c>
      <c r="C295" s="39">
        <f>TEXT(B295,"aaa")</f>
        <v/>
      </c>
      <c r="D295" s="39" t="inlineStr">
        <is>
          <t>페이스북/인스타그램</t>
        </is>
      </c>
      <c r="J295" s="39" t="n"/>
      <c r="K295" s="17" t="n">
        <v>3916705</v>
      </c>
    </row>
    <row r="296" ht="17.85" customHeight="1" s="47">
      <c r="B296" s="51">
        <f>B295+1</f>
        <v/>
      </c>
      <c r="C296" s="39">
        <f>TEXT(B296,"aaa")</f>
        <v/>
      </c>
      <c r="D296" s="39" t="inlineStr">
        <is>
          <t>페이스북/인스타그램</t>
        </is>
      </c>
      <c r="J296" s="39" t="n"/>
      <c r="K296" s="17" t="n">
        <v>3802760</v>
      </c>
    </row>
    <row r="297" ht="17.85" customHeight="1" s="47">
      <c r="B297" s="51">
        <f>B296+1</f>
        <v/>
      </c>
      <c r="C297" s="39">
        <f>TEXT(B297,"aaa")</f>
        <v/>
      </c>
      <c r="D297" s="39" t="inlineStr">
        <is>
          <t>페이스북/인스타그램</t>
        </is>
      </c>
      <c r="J297" s="39" t="n"/>
      <c r="K297" s="17" t="n">
        <v>3959175</v>
      </c>
    </row>
    <row r="298" ht="17.85" customHeight="1" s="47">
      <c r="B298" s="51">
        <f>B297+1</f>
        <v/>
      </c>
      <c r="C298" s="39">
        <f>TEXT(B298,"aaa")</f>
        <v/>
      </c>
      <c r="D298" s="39" t="inlineStr">
        <is>
          <t>페이스북/인스타그램</t>
        </is>
      </c>
      <c r="J298" s="39" t="n"/>
      <c r="K298" s="17" t="n">
        <v>5137445</v>
      </c>
    </row>
    <row r="299" ht="17.85" customHeight="1" s="47">
      <c r="B299" s="51">
        <f>B298+1</f>
        <v/>
      </c>
      <c r="C299" s="39">
        <f>TEXT(B299,"aaa")</f>
        <v/>
      </c>
      <c r="D299" s="39" t="inlineStr">
        <is>
          <t>페이스북/인스타그램</t>
        </is>
      </c>
      <c r="J299" s="39" t="n"/>
      <c r="K299" s="17" t="n">
        <v>5110183</v>
      </c>
    </row>
    <row r="300" ht="17.85" customHeight="1" s="47">
      <c r="B300" s="51">
        <f>B299+1</f>
        <v/>
      </c>
      <c r="C300" s="39">
        <f>TEXT(B300,"aaa")</f>
        <v/>
      </c>
      <c r="D300" s="39" t="inlineStr">
        <is>
          <t>페이스북/인스타그램</t>
        </is>
      </c>
      <c r="J300" s="39" t="n"/>
      <c r="K300" s="17" t="n">
        <v>5107750</v>
      </c>
    </row>
    <row r="301" ht="17.85" customHeight="1" s="47">
      <c r="B301" s="51">
        <f>B300+1</f>
        <v/>
      </c>
      <c r="C301" s="39">
        <f>TEXT(B301,"aaa")</f>
        <v/>
      </c>
      <c r="D301" s="39" t="inlineStr">
        <is>
          <t>페이스북/인스타그램</t>
        </is>
      </c>
      <c r="J301" s="39" t="n"/>
      <c r="K301" s="17" t="n">
        <v>5498801</v>
      </c>
    </row>
    <row r="302" ht="17.85" customHeight="1" s="47">
      <c r="B302" s="51">
        <f>B301+1</f>
        <v/>
      </c>
      <c r="C302" s="39">
        <f>TEXT(B302,"aaa")</f>
        <v/>
      </c>
      <c r="D302" s="39" t="inlineStr">
        <is>
          <t>페이스북/인스타그램</t>
        </is>
      </c>
      <c r="J302" s="39" t="n"/>
      <c r="K302" s="17" t="n">
        <v>5132147</v>
      </c>
    </row>
    <row r="303" ht="17.85" customHeight="1" s="47">
      <c r="B303" s="51">
        <f>B302+1</f>
        <v/>
      </c>
      <c r="C303" s="39">
        <f>TEXT(B303,"aaa")</f>
        <v/>
      </c>
      <c r="D303" s="39" t="inlineStr">
        <is>
          <t>페이스북/인스타그램</t>
        </is>
      </c>
      <c r="J303" s="39" t="n"/>
      <c r="K303" s="17" t="n">
        <v>4924534</v>
      </c>
    </row>
    <row r="304" ht="17.85" customHeight="1" s="47">
      <c r="B304" s="51">
        <f>B303+1</f>
        <v/>
      </c>
      <c r="C304" s="39">
        <f>TEXT(B304,"aaa")</f>
        <v/>
      </c>
      <c r="D304" s="39" t="inlineStr">
        <is>
          <t>페이스북/인스타그램</t>
        </is>
      </c>
      <c r="J304" s="39" t="n"/>
      <c r="K304" s="17" t="n">
        <v>4889804</v>
      </c>
    </row>
    <row r="305" ht="17.85" customHeight="1" s="47">
      <c r="B305" s="51">
        <f>B304+1</f>
        <v/>
      </c>
      <c r="C305" s="39">
        <f>TEXT(B305,"aaa")</f>
        <v/>
      </c>
      <c r="D305" s="39" t="inlineStr">
        <is>
          <t>페이스북/인스타그램</t>
        </is>
      </c>
      <c r="J305" s="39" t="n"/>
      <c r="K305" s="17" t="n">
        <v>5107354</v>
      </c>
    </row>
    <row r="306" ht="17.4" customHeight="1" s="47">
      <c r="B306" s="51">
        <f>B305+1</f>
        <v/>
      </c>
      <c r="C306" s="39">
        <f>TEXT(B306,"aaa")</f>
        <v/>
      </c>
      <c r="D306" s="39" t="inlineStr">
        <is>
          <t>페이스북/인스타그램</t>
        </is>
      </c>
      <c r="J306" s="39" t="n"/>
      <c r="K306" s="17" t="n">
        <v>5068785</v>
      </c>
    </row>
    <row r="307" ht="17.4" customHeight="1" s="47">
      <c r="B307" s="51">
        <f>B306+1</f>
        <v/>
      </c>
      <c r="C307" s="39">
        <f>TEXT(B307,"aaa")</f>
        <v/>
      </c>
      <c r="D307" s="39" t="inlineStr">
        <is>
          <t>페이스북/인스타그램</t>
        </is>
      </c>
      <c r="J307" s="39" t="n"/>
      <c r="K307" s="17" t="n">
        <v>5121174</v>
      </c>
    </row>
    <row r="308" ht="17.4" customHeight="1" s="47">
      <c r="B308" s="51">
        <f>B307+1</f>
        <v/>
      </c>
      <c r="C308" s="39">
        <f>TEXT(B308,"aaa")</f>
        <v/>
      </c>
      <c r="D308" s="39" t="inlineStr">
        <is>
          <t>페이스북/인스타그램</t>
        </is>
      </c>
      <c r="J308" s="39" t="n"/>
      <c r="K308" s="17" t="n">
        <v>4943526</v>
      </c>
    </row>
    <row r="309" ht="17.4" customHeight="1" s="47">
      <c r="B309" s="51">
        <f>B308+1</f>
        <v/>
      </c>
      <c r="C309" s="39">
        <f>TEXT(B309,"aaa")</f>
        <v/>
      </c>
      <c r="D309" s="39" t="inlineStr">
        <is>
          <t>페이스북/인스타그램</t>
        </is>
      </c>
      <c r="J309" s="39" t="n"/>
      <c r="K309" s="17" t="n">
        <v>5048775</v>
      </c>
    </row>
    <row r="310" ht="17.4" customHeight="1" s="47">
      <c r="B310" s="51">
        <f>B309+1</f>
        <v/>
      </c>
      <c r="C310" s="39">
        <f>TEXT(B310,"aaa")</f>
        <v/>
      </c>
      <c r="D310" s="39" t="inlineStr">
        <is>
          <t>페이스북/인스타그램</t>
        </is>
      </c>
      <c r="J310" s="39" t="n"/>
      <c r="K310" s="17" t="n">
        <v>4429424</v>
      </c>
    </row>
    <row r="311" ht="17.4" customHeight="1" s="47">
      <c r="B311" s="51">
        <f>B310+1</f>
        <v/>
      </c>
      <c r="C311" s="39">
        <f>TEXT(B311,"aaa")</f>
        <v/>
      </c>
      <c r="D311" s="39" t="inlineStr">
        <is>
          <t>페이스북/인스타그램</t>
        </is>
      </c>
      <c r="J311" s="39" t="n"/>
      <c r="K311" s="17" t="n">
        <v>4339586</v>
      </c>
    </row>
    <row r="312" ht="17.4" customHeight="1" s="47">
      <c r="B312" s="51">
        <f>B311+1</f>
        <v/>
      </c>
      <c r="C312" s="39">
        <f>TEXT(B312,"aaa")</f>
        <v/>
      </c>
      <c r="D312" s="39" t="inlineStr">
        <is>
          <t>페이스북/인스타그램</t>
        </is>
      </c>
      <c r="J312" s="39" t="n"/>
      <c r="K312" s="17" t="n">
        <v>4232664</v>
      </c>
    </row>
    <row r="313" ht="17.4" customHeight="1" s="47">
      <c r="B313" s="51">
        <f>B312+1</f>
        <v/>
      </c>
      <c r="C313" s="39">
        <f>TEXT(B313,"aaa")</f>
        <v/>
      </c>
      <c r="D313" s="39" t="inlineStr">
        <is>
          <t>페이스북/인스타그램</t>
        </is>
      </c>
      <c r="J313" s="39" t="n"/>
      <c r="K313" s="17" t="n">
        <v>4126826</v>
      </c>
    </row>
    <row r="314" ht="17.4" customHeight="1" s="47">
      <c r="B314" s="51">
        <f>B313+1</f>
        <v/>
      </c>
      <c r="C314" s="39">
        <f>TEXT(B314,"aaa")</f>
        <v/>
      </c>
      <c r="D314" s="39" t="inlineStr">
        <is>
          <t>페이스북/인스타그램</t>
        </is>
      </c>
      <c r="J314" s="39" t="n"/>
      <c r="K314" s="17" t="n">
        <v>4327408</v>
      </c>
    </row>
    <row r="315" ht="17.4" customHeight="1" s="47">
      <c r="B315" s="51">
        <f>B314+1</f>
        <v/>
      </c>
      <c r="C315" s="39">
        <f>TEXT(B315,"aaa")</f>
        <v/>
      </c>
      <c r="D315" s="39" t="inlineStr">
        <is>
          <t>페이스북/인스타그램</t>
        </is>
      </c>
      <c r="J315" s="39" t="n"/>
      <c r="K315" s="17" t="n">
        <v>4537018</v>
      </c>
    </row>
    <row r="316">
      <c r="B316" s="51">
        <f>B315+1</f>
        <v/>
      </c>
      <c r="C316" s="39">
        <f>TEXT(B316,"aaa")</f>
        <v/>
      </c>
      <c r="D316" s="39" t="inlineStr">
        <is>
          <t>페이스북/인스타그램</t>
        </is>
      </c>
      <c r="J316" s="39" t="n"/>
      <c r="K316" s="17" t="n">
        <v>4542592</v>
      </c>
    </row>
    <row r="317">
      <c r="B317" s="51">
        <f>B316+1</f>
        <v/>
      </c>
      <c r="C317" s="39">
        <f>TEXT(B317,"aaa")</f>
        <v/>
      </c>
      <c r="D317" s="39" t="inlineStr">
        <is>
          <t>페이스북/인스타그램</t>
        </is>
      </c>
      <c r="J317" s="39" t="n"/>
      <c r="K317" s="17" t="n">
        <v>4368026</v>
      </c>
    </row>
    <row r="318">
      <c r="B318" s="51">
        <f>B317+1</f>
        <v/>
      </c>
      <c r="C318" s="39">
        <f>TEXT(B318,"aaa")</f>
        <v/>
      </c>
      <c r="D318" s="39" t="inlineStr">
        <is>
          <t>페이스북/인스타그램</t>
        </is>
      </c>
      <c r="J318" s="39" t="n"/>
      <c r="K318" s="17" t="n">
        <v>4533547</v>
      </c>
    </row>
    <row r="319">
      <c r="B319" s="51">
        <f>B318+1</f>
        <v/>
      </c>
      <c r="C319" s="39">
        <f>TEXT(B319,"aaa")</f>
        <v/>
      </c>
      <c r="D319" s="39" t="inlineStr">
        <is>
          <t>페이스북/인스타그램</t>
        </is>
      </c>
      <c r="J319" s="39" t="n"/>
      <c r="K319" s="17" t="n">
        <v>4500123</v>
      </c>
    </row>
    <row r="320">
      <c r="B320" s="51">
        <f>B319+1</f>
        <v/>
      </c>
      <c r="C320" s="39">
        <f>TEXT(B320,"aaa")</f>
        <v/>
      </c>
      <c r="D320" s="39" t="inlineStr">
        <is>
          <t>페이스북/인스타그램</t>
        </is>
      </c>
      <c r="J320" s="39" t="n"/>
      <c r="K320" s="17" t="n">
        <v>4648581</v>
      </c>
    </row>
    <row r="321">
      <c r="B321" s="51">
        <f>B320+1</f>
        <v/>
      </c>
      <c r="C321" s="39">
        <f>TEXT(B321,"aaa")</f>
        <v/>
      </c>
      <c r="D321" s="39" t="inlineStr">
        <is>
          <t>페이스북/인스타그램</t>
        </is>
      </c>
      <c r="J321" s="39" t="n"/>
      <c r="K321" s="17" t="n">
        <v>4509017</v>
      </c>
    </row>
    <row r="322">
      <c r="B322" s="51">
        <f>B321+1</f>
        <v/>
      </c>
      <c r="C322" s="39">
        <f>TEXT(B322,"aaa")</f>
        <v/>
      </c>
      <c r="D322" s="39" t="inlineStr">
        <is>
          <t>페이스북/인스타그램</t>
        </is>
      </c>
      <c r="J322" s="39" t="n"/>
      <c r="K322" s="17" t="n">
        <v>4509017</v>
      </c>
    </row>
    <row r="323">
      <c r="B323" s="51">
        <f>B322+1</f>
        <v/>
      </c>
      <c r="C323" s="39">
        <f>TEXT(B323,"aaa")</f>
        <v/>
      </c>
      <c r="D323" s="39" t="inlineStr">
        <is>
          <t>페이스북/인스타그램</t>
        </is>
      </c>
      <c r="J323" s="39" t="n"/>
      <c r="K323" s="17" t="n">
        <v>4491645</v>
      </c>
    </row>
    <row r="324">
      <c r="B324" s="51">
        <f>B323+1</f>
        <v/>
      </c>
      <c r="C324" s="39">
        <f>TEXT(B324,"aaa")</f>
        <v/>
      </c>
      <c r="D324" s="39" t="inlineStr">
        <is>
          <t>페이스북/인스타그램</t>
        </is>
      </c>
      <c r="J324" s="39" t="n"/>
      <c r="K324" s="17" t="n">
        <v>4152557</v>
      </c>
    </row>
    <row r="325">
      <c r="B325" s="51">
        <f>B324+1</f>
        <v/>
      </c>
      <c r="C325" s="39">
        <f>TEXT(B325,"aaa")</f>
        <v/>
      </c>
      <c r="D325" s="39" t="inlineStr">
        <is>
          <t>페이스북/인스타그램</t>
        </is>
      </c>
      <c r="J325" s="39" t="n"/>
      <c r="K325" s="17" t="n">
        <v>4309647</v>
      </c>
    </row>
    <row r="326">
      <c r="B326" s="51">
        <f>B325+1</f>
        <v/>
      </c>
      <c r="C326" s="39">
        <f>TEXT(B326,"aaa")</f>
        <v/>
      </c>
      <c r="D326" s="39" t="inlineStr">
        <is>
          <t>페이스북/인스타그램</t>
        </is>
      </c>
      <c r="J326" s="39" t="n"/>
      <c r="K326" s="17" t="n">
        <v>4161919</v>
      </c>
    </row>
    <row r="327">
      <c r="B327" s="51">
        <f>B326+1</f>
        <v/>
      </c>
      <c r="C327" s="39">
        <f>TEXT(B327,"aaa")</f>
        <v/>
      </c>
      <c r="D327" s="39" t="inlineStr">
        <is>
          <t>페이스북/인스타그램</t>
        </is>
      </c>
      <c r="J327" s="39" t="n"/>
      <c r="K327" s="17" t="n">
        <v>4128112</v>
      </c>
    </row>
    <row r="328">
      <c r="B328" s="51">
        <f>B327+1</f>
        <v/>
      </c>
      <c r="C328" s="39">
        <f>TEXT(B328,"aaa")</f>
        <v/>
      </c>
      <c r="D328" s="39" t="inlineStr">
        <is>
          <t>페이스북/인스타그램</t>
        </is>
      </c>
      <c r="J328" s="39" t="n"/>
      <c r="K328" s="17" t="n">
        <v>4190922</v>
      </c>
    </row>
    <row r="329">
      <c r="B329" s="51">
        <f>B328+1</f>
        <v/>
      </c>
      <c r="C329" s="39">
        <f>TEXT(B329,"aaa")</f>
        <v/>
      </c>
      <c r="D329" s="39" t="inlineStr">
        <is>
          <t>페이스북/인스타그램</t>
        </is>
      </c>
      <c r="J329" s="39" t="n"/>
      <c r="K329" s="17" t="n">
        <v>4369544</v>
      </c>
    </row>
    <row r="330">
      <c r="B330" s="51">
        <f>B329+1</f>
        <v/>
      </c>
      <c r="C330" s="39">
        <f>TEXT(B330,"aaa")</f>
        <v/>
      </c>
      <c r="D330" s="39" t="inlineStr">
        <is>
          <t>페이스북/인스타그램</t>
        </is>
      </c>
      <c r="J330" s="39" t="n"/>
      <c r="K330" s="17" t="n">
        <v>4188960</v>
      </c>
    </row>
    <row r="331">
      <c r="B331" s="51">
        <f>B330+1</f>
        <v/>
      </c>
      <c r="C331" s="39">
        <f>TEXT(B331,"aaa")</f>
        <v/>
      </c>
      <c r="D331" s="39" t="inlineStr">
        <is>
          <t>페이스북/인스타그램</t>
        </is>
      </c>
      <c r="J331" s="39" t="n"/>
      <c r="K331" s="17" t="n">
        <v>4064471</v>
      </c>
    </row>
    <row r="332">
      <c r="B332" s="51">
        <f>B331+1</f>
        <v/>
      </c>
      <c r="C332" s="39">
        <f>TEXT(B332,"aaa")</f>
        <v/>
      </c>
      <c r="D332" s="39" t="inlineStr">
        <is>
          <t>페이스북/인스타그램</t>
        </is>
      </c>
      <c r="J332" s="39" t="n"/>
      <c r="K332" s="17" t="n">
        <v>3918886</v>
      </c>
    </row>
    <row r="333">
      <c r="B333" s="51">
        <f>B332+1</f>
        <v/>
      </c>
      <c r="C333" s="39">
        <f>TEXT(B333,"aaa")</f>
        <v/>
      </c>
      <c r="D333" s="39" t="inlineStr">
        <is>
          <t>페이스북/인스타그램</t>
        </is>
      </c>
      <c r="J333" s="39" t="n"/>
      <c r="K333" s="17" t="n">
        <v>3808298</v>
      </c>
    </row>
    <row r="334">
      <c r="B334" s="51">
        <f>B333+1</f>
        <v/>
      </c>
      <c r="C334" s="39">
        <f>TEXT(B334,"aaa")</f>
        <v/>
      </c>
      <c r="D334" s="39" t="inlineStr">
        <is>
          <t>페이스북/인스타그램</t>
        </is>
      </c>
      <c r="J334" s="39" t="n"/>
      <c r="K334" s="17" t="n">
        <v>3553718</v>
      </c>
    </row>
    <row r="335">
      <c r="B335" s="51">
        <f>B334+1</f>
        <v/>
      </c>
      <c r="C335" s="39">
        <f>TEXT(B335,"aaa")</f>
        <v/>
      </c>
      <c r="D335" s="39" t="inlineStr">
        <is>
          <t>페이스북/인스타그램</t>
        </is>
      </c>
      <c r="J335" s="39" t="n"/>
      <c r="K335" s="17" t="n">
        <v>3107785</v>
      </c>
    </row>
    <row r="336">
      <c r="B336" s="51">
        <f>B335+1</f>
        <v/>
      </c>
      <c r="C336" s="39">
        <f>TEXT(B336,"aaa")</f>
        <v/>
      </c>
      <c r="D336" s="39" t="inlineStr">
        <is>
          <t>페이스북/인스타그램</t>
        </is>
      </c>
      <c r="J336" s="39" t="n"/>
      <c r="K336" s="17" t="n">
        <v>2826800</v>
      </c>
    </row>
    <row r="337">
      <c r="B337" s="51">
        <f>B336+1</f>
        <v/>
      </c>
      <c r="C337" s="39">
        <f>TEXT(B337,"aaa")</f>
        <v/>
      </c>
      <c r="D337" s="39" t="inlineStr">
        <is>
          <t>페이스북/인스타그램</t>
        </is>
      </c>
      <c r="J337" s="39" t="n"/>
      <c r="K337" s="17" t="n">
        <v>2823592</v>
      </c>
    </row>
    <row r="338">
      <c r="B338" s="51">
        <f>B337+1</f>
        <v/>
      </c>
      <c r="C338" s="39">
        <f>TEXT(B338,"aaa")</f>
        <v/>
      </c>
      <c r="D338" s="39" t="inlineStr">
        <is>
          <t>페이스북/인스타그램</t>
        </is>
      </c>
      <c r="J338" s="39" t="n"/>
      <c r="K338" s="17" t="n">
        <v>2876646</v>
      </c>
    </row>
    <row r="339">
      <c r="B339" s="51">
        <f>B338+1</f>
        <v/>
      </c>
      <c r="C339" s="39">
        <f>TEXT(B339,"aaa")</f>
        <v/>
      </c>
      <c r="D339" s="39" t="inlineStr">
        <is>
          <t>페이스북/인스타그램</t>
        </is>
      </c>
      <c r="J339" s="39" t="n"/>
      <c r="K339" s="17" t="n">
        <v>2762968</v>
      </c>
    </row>
    <row r="340">
      <c r="B340" s="51" t="n">
        <v>44033</v>
      </c>
      <c r="C340" s="39">
        <f>TEXT(B340,"aaa")</f>
        <v/>
      </c>
      <c r="D340" s="39" t="inlineStr">
        <is>
          <t>네이버 쇼핑검색</t>
        </is>
      </c>
      <c r="K340" s="39" t="n">
        <v>1590</v>
      </c>
    </row>
    <row r="341">
      <c r="B341" s="51">
        <f>B340+1</f>
        <v/>
      </c>
      <c r="C341" s="39">
        <f>TEXT(B341,"aaa")</f>
        <v/>
      </c>
      <c r="D341" s="39" t="inlineStr">
        <is>
          <t>네이버 쇼핑검색</t>
        </is>
      </c>
      <c r="K341" s="39" t="n">
        <v>5460</v>
      </c>
    </row>
    <row r="342">
      <c r="B342" s="51">
        <f>B341+1</f>
        <v/>
      </c>
      <c r="C342" s="39">
        <f>TEXT(B342,"aaa")</f>
        <v/>
      </c>
      <c r="D342" s="39" t="inlineStr">
        <is>
          <t>네이버 쇼핑검색</t>
        </is>
      </c>
      <c r="K342" s="39" t="n">
        <v>3480</v>
      </c>
    </row>
    <row r="343">
      <c r="B343" s="51">
        <f>B342+1</f>
        <v/>
      </c>
      <c r="C343" s="39">
        <f>TEXT(B343,"aaa")</f>
        <v/>
      </c>
      <c r="D343" s="39" t="inlineStr">
        <is>
          <t>네이버 쇼핑검색</t>
        </is>
      </c>
      <c r="K343" s="39" t="n">
        <v>2380</v>
      </c>
    </row>
    <row r="344">
      <c r="B344" s="51">
        <f>B343+1</f>
        <v/>
      </c>
      <c r="C344" s="39">
        <f>TEXT(B344,"aaa")</f>
        <v/>
      </c>
      <c r="D344" s="39" t="inlineStr">
        <is>
          <t>네이버 쇼핑검색</t>
        </is>
      </c>
      <c r="K344" s="39" t="n">
        <v>1780</v>
      </c>
    </row>
    <row r="345">
      <c r="B345" s="51">
        <f>B344+1</f>
        <v/>
      </c>
      <c r="C345" s="39">
        <f>TEXT(B345,"aaa")</f>
        <v/>
      </c>
      <c r="D345" s="39" t="inlineStr">
        <is>
          <t>네이버 쇼핑검색</t>
        </is>
      </c>
      <c r="K345" s="39" t="n">
        <v>170</v>
      </c>
    </row>
    <row r="346">
      <c r="B346" s="51">
        <f>B345+1</f>
        <v/>
      </c>
      <c r="C346" s="39">
        <f>TEXT(B346,"aaa")</f>
        <v/>
      </c>
      <c r="D346" s="39" t="inlineStr">
        <is>
          <t>네이버 쇼핑검색</t>
        </is>
      </c>
      <c r="K346" s="39" t="n">
        <v>170</v>
      </c>
    </row>
    <row r="347">
      <c r="B347" s="51">
        <f>B346+1</f>
        <v/>
      </c>
      <c r="C347" s="39">
        <f>TEXT(B347,"aaa")</f>
        <v/>
      </c>
      <c r="D347" s="39" t="inlineStr">
        <is>
          <t>네이버 쇼핑검색</t>
        </is>
      </c>
      <c r="K347" s="39" t="n">
        <v>4270</v>
      </c>
    </row>
    <row r="348">
      <c r="B348" s="51">
        <f>B347+1</f>
        <v/>
      </c>
      <c r="C348" s="39">
        <f>TEXT(B348,"aaa")</f>
        <v/>
      </c>
      <c r="D348" s="39" t="inlineStr">
        <is>
          <t>네이버 쇼핑검색</t>
        </is>
      </c>
      <c r="K348" s="39" t="n">
        <v>2340</v>
      </c>
    </row>
    <row r="349">
      <c r="B349" s="51">
        <f>B348+1</f>
        <v/>
      </c>
      <c r="C349" s="39">
        <f>TEXT(B349,"aaa")</f>
        <v/>
      </c>
      <c r="D349" s="39" t="inlineStr">
        <is>
          <t>네이버 쇼핑검색</t>
        </is>
      </c>
      <c r="K349" s="39" t="n">
        <v>350</v>
      </c>
    </row>
    <row r="350">
      <c r="B350" s="51">
        <f>B349+1</f>
        <v/>
      </c>
      <c r="C350" s="39">
        <f>TEXT(B350,"aaa")</f>
        <v/>
      </c>
      <c r="D350" s="39" t="inlineStr">
        <is>
          <t>네이버 쇼핑검색</t>
        </is>
      </c>
      <c r="K350" s="39" t="n">
        <v>959.9999999999999</v>
      </c>
    </row>
    <row r="351">
      <c r="B351" s="51">
        <f>B350+1</f>
        <v/>
      </c>
      <c r="C351" s="39">
        <f>TEXT(B351,"aaa")</f>
        <v/>
      </c>
      <c r="D351" s="39" t="inlineStr">
        <is>
          <t>네이버 쇼핑검색</t>
        </is>
      </c>
      <c r="K351" s="39" t="n">
        <v>1600</v>
      </c>
    </row>
    <row r="352">
      <c r="B352" s="51">
        <f>B351+1</f>
        <v/>
      </c>
      <c r="C352" s="39">
        <f>TEXT(B352,"aaa")</f>
        <v/>
      </c>
      <c r="D352" s="39" t="inlineStr">
        <is>
          <t>네이버 쇼핑검색</t>
        </is>
      </c>
      <c r="K352" s="39" t="n">
        <v>1140</v>
      </c>
    </row>
    <row r="353">
      <c r="B353" s="51">
        <f>B352+1</f>
        <v/>
      </c>
      <c r="C353" s="39">
        <f>TEXT(B353,"aaa")</f>
        <v/>
      </c>
      <c r="D353" s="39" t="inlineStr">
        <is>
          <t>네이버 쇼핑검색</t>
        </is>
      </c>
      <c r="K353" s="39" t="n">
        <v>1560</v>
      </c>
    </row>
    <row r="354">
      <c r="B354" s="51">
        <f>B353+1</f>
        <v/>
      </c>
      <c r="C354" s="39">
        <f>TEXT(B354,"aaa")</f>
        <v/>
      </c>
      <c r="D354" s="39" t="inlineStr">
        <is>
          <t>네이버 쇼핑검색</t>
        </is>
      </c>
      <c r="K354" s="39" t="n">
        <v>1560</v>
      </c>
    </row>
    <row r="355">
      <c r="B355" s="51">
        <f>B354+1</f>
        <v/>
      </c>
      <c r="C355" s="39">
        <f>TEXT(B355,"aaa")</f>
        <v/>
      </c>
      <c r="D355" s="39" t="inlineStr">
        <is>
          <t>네이버 쇼핑검색</t>
        </is>
      </c>
      <c r="K355" s="39" t="n">
        <v>4010</v>
      </c>
    </row>
    <row r="356">
      <c r="B356" s="51">
        <f>B355+1</f>
        <v/>
      </c>
      <c r="C356" s="39">
        <f>TEXT(B356,"aaa")</f>
        <v/>
      </c>
      <c r="D356" s="39" t="inlineStr">
        <is>
          <t>네이버 쇼핑검색</t>
        </is>
      </c>
      <c r="K356" s="39" t="n">
        <v>1940</v>
      </c>
    </row>
    <row r="357">
      <c r="B357" s="51">
        <f>B356+1</f>
        <v/>
      </c>
      <c r="C357" s="39">
        <f>TEXT(B357,"aaa")</f>
        <v/>
      </c>
      <c r="D357" s="39" t="inlineStr">
        <is>
          <t>네이버 쇼핑검색</t>
        </is>
      </c>
      <c r="K357" s="39" t="n">
        <v>0</v>
      </c>
    </row>
    <row r="358">
      <c r="B358" s="51">
        <f>B357+1</f>
        <v/>
      </c>
      <c r="C358" s="39">
        <f>TEXT(B358,"aaa")</f>
        <v/>
      </c>
      <c r="D358" s="39" t="inlineStr">
        <is>
          <t>네이버 쇼핑검색</t>
        </is>
      </c>
      <c r="K358" s="39" t="n">
        <v>200</v>
      </c>
    </row>
    <row r="359">
      <c r="B359" s="51">
        <f>B358+1</f>
        <v/>
      </c>
      <c r="C359" s="39">
        <f>TEXT(B359,"aaa")</f>
        <v/>
      </c>
      <c r="D359" s="39" t="inlineStr">
        <is>
          <t>네이버 쇼핑검색</t>
        </is>
      </c>
      <c r="K359" s="39" t="n">
        <v>0</v>
      </c>
    </row>
    <row r="360">
      <c r="B360" s="51">
        <f>B359+1</f>
        <v/>
      </c>
      <c r="C360" s="39">
        <f>TEXT(B360,"aaa")</f>
        <v/>
      </c>
      <c r="D360" s="39" t="inlineStr">
        <is>
          <t>네이버 쇼핑검색</t>
        </is>
      </c>
      <c r="K360" s="39" t="n">
        <v>0</v>
      </c>
    </row>
    <row r="361">
      <c r="B361" s="51">
        <f>B360+1</f>
        <v/>
      </c>
      <c r="C361" s="39">
        <f>TEXT(B361,"aaa")</f>
        <v/>
      </c>
      <c r="D361" s="39" t="inlineStr">
        <is>
          <t>네이버 쇼핑검색</t>
        </is>
      </c>
      <c r="K361" s="39" t="n">
        <v>3170</v>
      </c>
    </row>
    <row r="362">
      <c r="B362" s="51">
        <f>B361+1</f>
        <v/>
      </c>
      <c r="C362" s="39">
        <f>TEXT(B362,"aaa")</f>
        <v/>
      </c>
      <c r="D362" s="39" t="inlineStr">
        <is>
          <t>네이버 쇼핑검색</t>
        </is>
      </c>
      <c r="K362" s="39" t="n">
        <v>5080</v>
      </c>
    </row>
    <row r="363">
      <c r="B363" s="51">
        <f>B362+1</f>
        <v/>
      </c>
      <c r="C363" s="39">
        <f>TEXT(B363,"aaa")</f>
        <v/>
      </c>
      <c r="D363" s="39" t="inlineStr">
        <is>
          <t>네이버 쇼핑검색</t>
        </is>
      </c>
      <c r="K363" s="39" t="n">
        <v>2350</v>
      </c>
    </row>
    <row r="364">
      <c r="B364" s="51">
        <f>B363+1</f>
        <v/>
      </c>
      <c r="C364" s="39">
        <f>TEXT(B364,"aaa")</f>
        <v/>
      </c>
      <c r="D364" s="39" t="inlineStr">
        <is>
          <t>네이버 쇼핑검색</t>
        </is>
      </c>
      <c r="K364" s="39" t="n">
        <v>330</v>
      </c>
    </row>
    <row r="365">
      <c r="B365" s="51">
        <f>B364+1</f>
        <v/>
      </c>
      <c r="C365" s="39">
        <f>TEXT(B365,"aaa")</f>
        <v/>
      </c>
      <c r="D365" s="39" t="inlineStr">
        <is>
          <t>네이버 쇼핑검색</t>
        </is>
      </c>
      <c r="K365" s="39" t="n">
        <v>2870</v>
      </c>
    </row>
    <row r="366">
      <c r="B366" s="51">
        <f>B365+1</f>
        <v/>
      </c>
      <c r="C366" s="39">
        <f>TEXT(B366,"aaa")</f>
        <v/>
      </c>
      <c r="D366" s="39" t="inlineStr">
        <is>
          <t>네이버 쇼핑검색</t>
        </is>
      </c>
      <c r="K366" s="39" t="n">
        <v>620</v>
      </c>
    </row>
    <row r="367">
      <c r="B367" s="51">
        <f>B366+1</f>
        <v/>
      </c>
      <c r="C367" s="39">
        <f>TEXT(B367,"aaa")</f>
        <v/>
      </c>
      <c r="D367" s="39" t="inlineStr">
        <is>
          <t>네이버 쇼핑검색</t>
        </is>
      </c>
      <c r="K367" s="39" t="n">
        <v>1770</v>
      </c>
    </row>
    <row r="368">
      <c r="B368" s="51">
        <f>B367+1</f>
        <v/>
      </c>
      <c r="C368" s="39">
        <f>TEXT(B368,"aaa")</f>
        <v/>
      </c>
      <c r="D368" s="39" t="inlineStr">
        <is>
          <t>네이버 쇼핑검색</t>
        </is>
      </c>
      <c r="K368" s="39" t="n">
        <v>1590</v>
      </c>
    </row>
    <row r="369">
      <c r="B369" s="51">
        <f>B368+1</f>
        <v/>
      </c>
      <c r="C369" s="39">
        <f>TEXT(B369,"aaa")</f>
        <v/>
      </c>
      <c r="D369" s="39" t="inlineStr">
        <is>
          <t>네이버 쇼핑검색</t>
        </is>
      </c>
      <c r="K369" s="39" t="n">
        <v>2610</v>
      </c>
    </row>
    <row r="370">
      <c r="B370" s="51">
        <f>B369+1</f>
        <v/>
      </c>
      <c r="C370" s="39">
        <f>TEXT(B370,"aaa")</f>
        <v/>
      </c>
      <c r="D370" s="39" t="inlineStr">
        <is>
          <t>네이버 쇼핑검색</t>
        </is>
      </c>
      <c r="K370" s="39" t="n">
        <v>3010</v>
      </c>
    </row>
    <row r="371">
      <c r="B371" s="51">
        <f>B370+1</f>
        <v/>
      </c>
      <c r="C371" s="39">
        <f>TEXT(B371,"aaa")</f>
        <v/>
      </c>
      <c r="D371" s="39" t="inlineStr">
        <is>
          <t>네이버 쇼핑검색</t>
        </is>
      </c>
      <c r="K371" s="39" t="n">
        <v>3480</v>
      </c>
    </row>
    <row r="372">
      <c r="B372" s="51">
        <f>B371+1</f>
        <v/>
      </c>
      <c r="C372" s="39">
        <f>TEXT(B372,"aaa")</f>
        <v/>
      </c>
      <c r="D372" s="39" t="inlineStr">
        <is>
          <t>네이버 쇼핑검색</t>
        </is>
      </c>
      <c r="K372" s="39" t="n">
        <v>1630</v>
      </c>
    </row>
    <row r="373">
      <c r="B373" s="51">
        <f>B372+1</f>
        <v/>
      </c>
      <c r="C373" s="39">
        <f>TEXT(B373,"aaa")</f>
        <v/>
      </c>
      <c r="D373" s="39" t="inlineStr">
        <is>
          <t>네이버 쇼핑검색</t>
        </is>
      </c>
      <c r="K373" s="39" t="n">
        <v>2030</v>
      </c>
    </row>
    <row r="374">
      <c r="B374" s="51">
        <f>B373+1</f>
        <v/>
      </c>
      <c r="C374" s="39">
        <f>TEXT(B374,"aaa")</f>
        <v/>
      </c>
      <c r="D374" s="39" t="inlineStr">
        <is>
          <t>네이버 쇼핑검색</t>
        </is>
      </c>
      <c r="K374" s="39" t="n">
        <v>1540</v>
      </c>
    </row>
    <row r="375">
      <c r="B375" s="51">
        <f>B374+1</f>
        <v/>
      </c>
      <c r="C375" s="39">
        <f>TEXT(B375,"aaa")</f>
        <v/>
      </c>
      <c r="D375" s="39" t="inlineStr">
        <is>
          <t>네이버 쇼핑검색</t>
        </is>
      </c>
      <c r="K375" s="39">
        <f>1716/1.1</f>
        <v/>
      </c>
    </row>
    <row r="376">
      <c r="B376" s="51">
        <f>B375+1</f>
        <v/>
      </c>
      <c r="C376" s="39">
        <f>TEXT(B376,"aaa")</f>
        <v/>
      </c>
      <c r="D376" s="39" t="inlineStr">
        <is>
          <t>네이버 쇼핑검색</t>
        </is>
      </c>
      <c r="K376" s="39" t="n">
        <v>3470</v>
      </c>
    </row>
    <row r="377">
      <c r="B377" s="51">
        <f>B376+1</f>
        <v/>
      </c>
      <c r="C377" s="39">
        <f>TEXT(B377,"aaa")</f>
        <v/>
      </c>
      <c r="D377" s="39" t="inlineStr">
        <is>
          <t>네이버 쇼핑검색</t>
        </is>
      </c>
      <c r="K377" s="39" t="n">
        <v>5270</v>
      </c>
    </row>
    <row r="378">
      <c r="B378" s="51">
        <f>B377+1</f>
        <v/>
      </c>
      <c r="C378" s="39">
        <f>TEXT(B378,"aaa")</f>
        <v/>
      </c>
      <c r="D378" s="39" t="inlineStr">
        <is>
          <t>네이버 쇼핑검색</t>
        </is>
      </c>
      <c r="K378" s="39" t="n">
        <v>2640</v>
      </c>
    </row>
    <row r="379">
      <c r="B379" s="51">
        <f>B378+1</f>
        <v/>
      </c>
      <c r="C379" s="39">
        <f>TEXT(B379,"aaa")</f>
        <v/>
      </c>
      <c r="D379" s="39" t="inlineStr">
        <is>
          <t>네이버 쇼핑검색</t>
        </is>
      </c>
      <c r="K379" s="39" t="n">
        <v>1920</v>
      </c>
    </row>
    <row r="380">
      <c r="B380" s="51">
        <f>B379+1</f>
        <v/>
      </c>
      <c r="C380" s="39">
        <f>TEXT(B380,"aaa")</f>
        <v/>
      </c>
      <c r="D380" s="39" t="inlineStr">
        <is>
          <t>네이버 쇼핑검색</t>
        </is>
      </c>
      <c r="K380" s="39" t="n">
        <v>3180</v>
      </c>
    </row>
    <row r="381">
      <c r="B381" s="51">
        <f>B380+1</f>
        <v/>
      </c>
      <c r="C381" s="39">
        <f>TEXT(B381,"aaa")</f>
        <v/>
      </c>
      <c r="D381" s="39" t="inlineStr">
        <is>
          <t>네이버 쇼핑검색</t>
        </is>
      </c>
      <c r="K381" s="39" t="n">
        <v>1290</v>
      </c>
    </row>
    <row r="382">
      <c r="B382" s="51">
        <f>B381+1</f>
        <v/>
      </c>
      <c r="C382" s="39">
        <f>TEXT(B382,"aaa")</f>
        <v/>
      </c>
      <c r="D382" s="39" t="inlineStr">
        <is>
          <t>네이버 쇼핑검색</t>
        </is>
      </c>
      <c r="K382" s="39" t="n">
        <v>6010</v>
      </c>
    </row>
    <row r="383">
      <c r="B383" s="51">
        <f>B382+1</f>
        <v/>
      </c>
      <c r="C383" s="39">
        <f>TEXT(B383,"aaa")</f>
        <v/>
      </c>
      <c r="D383" s="39" t="inlineStr">
        <is>
          <t>네이버 쇼핑검색</t>
        </is>
      </c>
      <c r="K383" s="39" t="n">
        <v>5600</v>
      </c>
    </row>
    <row r="384">
      <c r="B384" s="51">
        <f>B383+1</f>
        <v/>
      </c>
      <c r="C384" s="39">
        <f>TEXT(B384,"aaa")</f>
        <v/>
      </c>
      <c r="D384" s="39" t="inlineStr">
        <is>
          <t>네이버 쇼핑검색</t>
        </is>
      </c>
      <c r="K384" s="39" t="n">
        <v>5600</v>
      </c>
    </row>
    <row r="385">
      <c r="B385" s="51">
        <f>B384+1</f>
        <v/>
      </c>
      <c r="C385" s="39">
        <f>TEXT(B385,"aaa")</f>
        <v/>
      </c>
      <c r="D385" s="39" t="inlineStr">
        <is>
          <t>네이버 쇼핑검색</t>
        </is>
      </c>
      <c r="K385" s="39" t="n">
        <v>3690</v>
      </c>
    </row>
    <row r="386">
      <c r="B386" s="51">
        <f>B385+1</f>
        <v/>
      </c>
      <c r="C386" s="39">
        <f>TEXT(B386,"aaa")</f>
        <v/>
      </c>
      <c r="D386" s="39" t="inlineStr">
        <is>
          <t>네이버 쇼핑검색</t>
        </is>
      </c>
      <c r="K386" s="39" t="n">
        <v>1870</v>
      </c>
    </row>
    <row r="387">
      <c r="B387" s="51">
        <f>B386+1</f>
        <v/>
      </c>
      <c r="C387" s="39">
        <f>TEXT(B387,"aaa")</f>
        <v/>
      </c>
      <c r="D387" s="39" t="inlineStr">
        <is>
          <t>네이버 쇼핑검색</t>
        </is>
      </c>
      <c r="K387" s="39" t="n">
        <v>3320</v>
      </c>
    </row>
    <row r="388">
      <c r="B388" s="51">
        <f>B387+1</f>
        <v/>
      </c>
      <c r="C388" s="39">
        <f>TEXT(B388,"aaa")</f>
        <v/>
      </c>
      <c r="D388" s="39" t="inlineStr">
        <is>
          <t>네이버 쇼핑검색</t>
        </is>
      </c>
      <c r="K388" s="39" t="n">
        <v>3110</v>
      </c>
    </row>
    <row r="389">
      <c r="B389" s="51">
        <f>B388+1</f>
        <v/>
      </c>
      <c r="C389" s="39">
        <f>TEXT(B389,"aaa")</f>
        <v/>
      </c>
      <c r="D389" s="39" t="inlineStr">
        <is>
          <t>네이버 쇼핑검색</t>
        </is>
      </c>
      <c r="K389" s="39" t="n">
        <v>4390</v>
      </c>
    </row>
    <row r="390">
      <c r="B390" s="51">
        <f>B389+1</f>
        <v/>
      </c>
      <c r="C390" s="39">
        <f>TEXT(B390,"aaa")</f>
        <v/>
      </c>
      <c r="D390" s="39" t="inlineStr">
        <is>
          <t>네이버 쇼핑검색</t>
        </is>
      </c>
      <c r="K390" s="39" t="n">
        <v>1770</v>
      </c>
    </row>
    <row r="391">
      <c r="B391" s="51">
        <f>B390+1</f>
        <v/>
      </c>
      <c r="C391" s="39">
        <f>TEXT(B391,"aaa")</f>
        <v/>
      </c>
      <c r="D391" s="39" t="inlineStr">
        <is>
          <t>네이버 쇼핑검색</t>
        </is>
      </c>
      <c r="K391" s="39" t="n">
        <v>1450</v>
      </c>
    </row>
    <row r="392">
      <c r="B392" s="51">
        <f>B391+1</f>
        <v/>
      </c>
      <c r="C392" s="39">
        <f>TEXT(B392,"aaa")</f>
        <v/>
      </c>
      <c r="D392" s="39" t="inlineStr">
        <is>
          <t>네이버 쇼핑검색</t>
        </is>
      </c>
      <c r="K392" s="39" t="n">
        <v>1510</v>
      </c>
    </row>
    <row r="393">
      <c r="B393" s="51">
        <f>B392+1</f>
        <v/>
      </c>
      <c r="C393" s="39">
        <f>TEXT(B393,"aaa")</f>
        <v/>
      </c>
      <c r="D393" s="39" t="inlineStr">
        <is>
          <t>네이버 쇼핑검색</t>
        </is>
      </c>
      <c r="K393" s="39" t="n">
        <v>1450</v>
      </c>
    </row>
    <row r="394">
      <c r="B394" s="51">
        <f>B393+1</f>
        <v/>
      </c>
      <c r="C394" s="39">
        <f>TEXT(B394,"aaa")</f>
        <v/>
      </c>
      <c r="D394" s="39" t="inlineStr">
        <is>
          <t>네이버 쇼핑검색</t>
        </is>
      </c>
      <c r="K394" s="39" t="n">
        <v>5090</v>
      </c>
    </row>
    <row r="395">
      <c r="B395" s="51">
        <f>B394+1</f>
        <v/>
      </c>
      <c r="C395" s="39">
        <f>TEXT(B395,"aaa")</f>
        <v/>
      </c>
      <c r="D395" s="39" t="inlineStr">
        <is>
          <t>네이버 쇼핑검색</t>
        </is>
      </c>
      <c r="K395" s="39" t="n">
        <v>2680</v>
      </c>
    </row>
    <row r="396">
      <c r="B396" s="51">
        <f>B395+1</f>
        <v/>
      </c>
      <c r="C396" s="39">
        <f>TEXT(B396,"aaa")</f>
        <v/>
      </c>
      <c r="D396" s="39" t="inlineStr">
        <is>
          <t>네이버 쇼핑검색</t>
        </is>
      </c>
      <c r="K396" s="39" t="n">
        <v>1890</v>
      </c>
    </row>
    <row r="397">
      <c r="B397" s="51">
        <f>B396+1</f>
        <v/>
      </c>
      <c r="C397" s="39">
        <f>TEXT(B397,"aaa")</f>
        <v/>
      </c>
      <c r="D397" s="39" t="inlineStr">
        <is>
          <t>네이버 쇼핑검색</t>
        </is>
      </c>
      <c r="K397" s="39" t="n">
        <v>1100</v>
      </c>
    </row>
    <row r="398">
      <c r="B398" s="51">
        <f>B397+1</f>
        <v/>
      </c>
      <c r="C398" s="39">
        <f>TEXT(B398,"aaa")</f>
        <v/>
      </c>
      <c r="D398" s="39" t="inlineStr">
        <is>
          <t>네이버 쇼핑검색</t>
        </is>
      </c>
      <c r="K398" s="39" t="n">
        <v>2120</v>
      </c>
    </row>
    <row r="399">
      <c r="B399" s="51">
        <f>B398+1</f>
        <v/>
      </c>
      <c r="C399" s="39">
        <f>TEXT(B399,"aaa")</f>
        <v/>
      </c>
      <c r="D399" s="39" t="inlineStr">
        <is>
          <t>네이버 쇼핑검색</t>
        </is>
      </c>
      <c r="K399" s="39" t="n">
        <v>420</v>
      </c>
    </row>
    <row r="400">
      <c r="B400" s="51">
        <f>B399+1</f>
        <v/>
      </c>
      <c r="C400" s="39">
        <f>TEXT(B400,"aaa")</f>
        <v/>
      </c>
      <c r="D400" s="39" t="inlineStr">
        <is>
          <t>네이버 쇼핑검색</t>
        </is>
      </c>
      <c r="K400" s="39" t="n">
        <v>2610</v>
      </c>
    </row>
    <row r="401">
      <c r="B401" s="51">
        <f>B400+1</f>
        <v/>
      </c>
      <c r="C401" s="39">
        <f>TEXT(B401,"aaa")</f>
        <v/>
      </c>
      <c r="D401" s="39" t="inlineStr">
        <is>
          <t>네이버 쇼핑검색</t>
        </is>
      </c>
      <c r="K401" s="39" t="n">
        <v>2770</v>
      </c>
    </row>
    <row r="402">
      <c r="B402" s="51">
        <f>B401+1</f>
        <v/>
      </c>
      <c r="C402" s="39">
        <f>TEXT(B402,"aaa")</f>
        <v/>
      </c>
      <c r="D402" s="39" t="inlineStr">
        <is>
          <t>네이버 쇼핑검색</t>
        </is>
      </c>
      <c r="K402" s="39" t="n">
        <v>4610</v>
      </c>
    </row>
    <row r="403">
      <c r="B403" s="51">
        <f>B402+1</f>
        <v/>
      </c>
      <c r="C403" s="39">
        <f>TEXT(B403,"aaa")</f>
        <v/>
      </c>
      <c r="D403" s="39" t="inlineStr">
        <is>
          <t>네이버 쇼핑검색</t>
        </is>
      </c>
      <c r="K403" s="39" t="n">
        <v>4320</v>
      </c>
    </row>
    <row r="404">
      <c r="B404" s="51">
        <f>B403+1</f>
        <v/>
      </c>
      <c r="C404" s="39">
        <f>TEXT(B404,"aaa")</f>
        <v/>
      </c>
      <c r="D404" s="39" t="inlineStr">
        <is>
          <t>네이버 쇼핑검색</t>
        </is>
      </c>
      <c r="K404" s="39" t="n">
        <v>2670</v>
      </c>
    </row>
    <row r="405">
      <c r="B405" s="51">
        <f>B404+1</f>
        <v/>
      </c>
      <c r="C405" s="39">
        <f>TEXT(B405,"aaa")</f>
        <v/>
      </c>
      <c r="D405" s="39" t="inlineStr">
        <is>
          <t>네이버 쇼핑검색</t>
        </is>
      </c>
      <c r="K405" s="39" t="n">
        <v>3010</v>
      </c>
    </row>
    <row r="406">
      <c r="B406" s="51">
        <f>B405+1</f>
        <v/>
      </c>
      <c r="C406" s="39">
        <f>TEXT(B406,"aaa")</f>
        <v/>
      </c>
      <c r="D406" s="39" t="inlineStr">
        <is>
          <t>네이버 쇼핑검색</t>
        </is>
      </c>
      <c r="K406" s="39" t="n">
        <v>3090</v>
      </c>
    </row>
    <row r="407">
      <c r="B407" s="51">
        <f>B406+1</f>
        <v/>
      </c>
      <c r="C407" s="39">
        <f>TEXT(B407,"aaa")</f>
        <v/>
      </c>
      <c r="D407" s="39" t="inlineStr">
        <is>
          <t>네이버 쇼핑검색</t>
        </is>
      </c>
      <c r="K407" s="39" t="n">
        <v>2180</v>
      </c>
    </row>
    <row r="408">
      <c r="B408" s="51">
        <f>B407+1</f>
        <v/>
      </c>
      <c r="C408" s="39">
        <f>TEXT(B408,"aaa")</f>
        <v/>
      </c>
      <c r="D408" s="39" t="inlineStr">
        <is>
          <t>네이버 쇼핑검색</t>
        </is>
      </c>
      <c r="K408" s="39" t="n">
        <v>4320</v>
      </c>
    </row>
    <row r="409">
      <c r="B409" s="51">
        <f>B408+1</f>
        <v/>
      </c>
      <c r="C409" s="39">
        <f>TEXT(B409,"aaa")</f>
        <v/>
      </c>
      <c r="D409" s="39" t="inlineStr">
        <is>
          <t>네이버 쇼핑검색</t>
        </is>
      </c>
      <c r="K409" s="39" t="n">
        <v>2860</v>
      </c>
    </row>
    <row r="410">
      <c r="B410" s="51">
        <f>B409+1</f>
        <v/>
      </c>
      <c r="C410" s="39">
        <f>TEXT(B410,"aaa")</f>
        <v/>
      </c>
      <c r="D410" s="39" t="inlineStr">
        <is>
          <t>네이버 쇼핑검색</t>
        </is>
      </c>
      <c r="K410" s="39" t="n">
        <v>6550</v>
      </c>
    </row>
    <row r="411">
      <c r="B411" s="51">
        <f>B410+1</f>
        <v/>
      </c>
      <c r="C411" s="39">
        <f>TEXT(B411,"aaa")</f>
        <v/>
      </c>
      <c r="D411" s="39" t="inlineStr">
        <is>
          <t>네이버 쇼핑검색</t>
        </is>
      </c>
      <c r="K411" s="39" t="n">
        <v>2880</v>
      </c>
    </row>
    <row r="412">
      <c r="B412" s="51">
        <f>B411+1</f>
        <v/>
      </c>
      <c r="C412" s="39">
        <f>TEXT(B412,"aaa")</f>
        <v/>
      </c>
      <c r="D412" s="39" t="inlineStr">
        <is>
          <t>네이버 쇼핑검색</t>
        </is>
      </c>
      <c r="K412" s="39" t="n">
        <v>7030</v>
      </c>
    </row>
    <row r="413">
      <c r="B413" s="51">
        <f>B412+1</f>
        <v/>
      </c>
      <c r="C413" s="39">
        <f>TEXT(B413,"aaa")</f>
        <v/>
      </c>
      <c r="D413" s="39" t="inlineStr">
        <is>
          <t>네이버 쇼핑검색</t>
        </is>
      </c>
      <c r="K413" s="39" t="n">
        <v>4360</v>
      </c>
    </row>
    <row r="414">
      <c r="B414" s="51">
        <f>B413+1</f>
        <v/>
      </c>
      <c r="C414" s="39">
        <f>TEXT(B414,"aaa")</f>
        <v/>
      </c>
      <c r="D414" s="39" t="inlineStr">
        <is>
          <t>네이버 쇼핑검색</t>
        </is>
      </c>
      <c r="K414" s="39" t="n">
        <v>13770</v>
      </c>
    </row>
    <row r="415">
      <c r="B415" s="51">
        <f>B414+1</f>
        <v/>
      </c>
      <c r="C415" s="39">
        <f>TEXT(B415,"aaa")</f>
        <v/>
      </c>
      <c r="D415" s="39" t="inlineStr">
        <is>
          <t>네이버 쇼핑검색</t>
        </is>
      </c>
      <c r="K415" s="39" t="n">
        <v>8750</v>
      </c>
    </row>
    <row r="416">
      <c r="B416" s="51">
        <f>B415+1</f>
        <v/>
      </c>
      <c r="C416" s="39">
        <f>TEXT(B416,"aaa")</f>
        <v/>
      </c>
      <c r="D416" s="39" t="inlineStr">
        <is>
          <t>네이버 쇼핑검색</t>
        </is>
      </c>
      <c r="K416" s="39" t="n">
        <v>9780</v>
      </c>
    </row>
    <row r="417">
      <c r="B417" s="51">
        <f>B416+1</f>
        <v/>
      </c>
      <c r="C417" s="39">
        <f>TEXT(B417,"aaa")</f>
        <v/>
      </c>
      <c r="D417" s="39" t="inlineStr">
        <is>
          <t>네이버 쇼핑검색</t>
        </is>
      </c>
      <c r="K417" s="39" t="n">
        <v>5870</v>
      </c>
    </row>
    <row r="418">
      <c r="B418" s="51">
        <f>B417+1</f>
        <v/>
      </c>
      <c r="C418" s="39">
        <f>TEXT(B418,"aaa")</f>
        <v/>
      </c>
      <c r="D418" s="39" t="inlineStr">
        <is>
          <t>네이버 쇼핑검색</t>
        </is>
      </c>
      <c r="K418" s="39" t="n">
        <v>5560</v>
      </c>
    </row>
    <row r="419">
      <c r="B419" s="51">
        <f>B418+1</f>
        <v/>
      </c>
      <c r="C419" s="39">
        <f>TEXT(B419,"aaa")</f>
        <v/>
      </c>
      <c r="D419" s="39" t="inlineStr">
        <is>
          <t>네이버 쇼핑검색</t>
        </is>
      </c>
      <c r="K419" s="39" t="n">
        <v>8670</v>
      </c>
    </row>
    <row r="420">
      <c r="B420" s="51">
        <f>B419+1</f>
        <v/>
      </c>
      <c r="C420" s="39">
        <f>TEXT(B420,"aaa")</f>
        <v/>
      </c>
      <c r="D420" s="39" t="inlineStr">
        <is>
          <t>네이버 쇼핑검색</t>
        </is>
      </c>
      <c r="K420" s="39" t="n">
        <v>7260</v>
      </c>
    </row>
    <row r="421">
      <c r="B421" s="51">
        <f>B420+1</f>
        <v/>
      </c>
      <c r="C421" s="39">
        <f>TEXT(B421,"aaa")</f>
        <v/>
      </c>
      <c r="D421" s="39" t="inlineStr">
        <is>
          <t>네이버 쇼핑검색</t>
        </is>
      </c>
      <c r="K421" s="39" t="n">
        <v>12680</v>
      </c>
    </row>
    <row r="422">
      <c r="B422" s="51">
        <f>B421+1</f>
        <v/>
      </c>
      <c r="C422" s="39">
        <f>TEXT(B422,"aaa")</f>
        <v/>
      </c>
      <c r="D422" s="39" t="inlineStr">
        <is>
          <t>네이버 쇼핑검색</t>
        </is>
      </c>
      <c r="K422" s="39" t="n">
        <v>14480</v>
      </c>
    </row>
    <row r="423">
      <c r="B423" s="51">
        <f>B422+1</f>
        <v/>
      </c>
      <c r="C423" s="39">
        <f>TEXT(B423,"aaa")</f>
        <v/>
      </c>
      <c r="D423" s="39" t="inlineStr">
        <is>
          <t>네이버 쇼핑검색</t>
        </is>
      </c>
      <c r="K423" s="39" t="n">
        <v>7040</v>
      </c>
    </row>
    <row r="424">
      <c r="B424" s="51">
        <f>B423+1</f>
        <v/>
      </c>
      <c r="C424" s="39">
        <f>TEXT(B424,"aaa")</f>
        <v/>
      </c>
      <c r="D424" s="39" t="inlineStr">
        <is>
          <t>네이버 쇼핑검색</t>
        </is>
      </c>
      <c r="K424" s="39" t="n">
        <v>12770</v>
      </c>
    </row>
    <row r="425">
      <c r="B425" s="51">
        <f>B424+1</f>
        <v/>
      </c>
      <c r="C425" s="39">
        <f>TEXT(B425,"aaa")</f>
        <v/>
      </c>
      <c r="D425" s="39" t="inlineStr">
        <is>
          <t>네이버 쇼핑검색</t>
        </is>
      </c>
      <c r="K425" s="39" t="n">
        <v>11740</v>
      </c>
    </row>
    <row r="426">
      <c r="B426" s="51">
        <f>B425+1</f>
        <v/>
      </c>
      <c r="C426" s="39">
        <f>TEXT(B426,"aaa")</f>
        <v/>
      </c>
      <c r="D426" s="39" t="inlineStr">
        <is>
          <t>네이버 쇼핑검색</t>
        </is>
      </c>
      <c r="K426" s="39" t="n">
        <v>12460</v>
      </c>
    </row>
    <row r="427">
      <c r="B427" s="51">
        <f>B426+1</f>
        <v/>
      </c>
      <c r="C427" s="39">
        <f>TEXT(B427,"aaa")</f>
        <v/>
      </c>
      <c r="D427" s="39" t="inlineStr">
        <is>
          <t>네이버 쇼핑검색</t>
        </is>
      </c>
      <c r="K427" s="39" t="n">
        <v>7990</v>
      </c>
    </row>
    <row r="428">
      <c r="B428" s="51">
        <f>B427+1</f>
        <v/>
      </c>
      <c r="C428" s="39">
        <f>TEXT(B428,"aaa")</f>
        <v/>
      </c>
      <c r="D428" s="39" t="inlineStr">
        <is>
          <t>네이버 쇼핑검색</t>
        </is>
      </c>
      <c r="K428" s="39" t="n">
        <v>11070</v>
      </c>
    </row>
    <row r="429">
      <c r="B429" s="51">
        <f>B428+1</f>
        <v/>
      </c>
      <c r="C429" s="39">
        <f>TEXT(B429,"aaa")</f>
        <v/>
      </c>
      <c r="D429" s="39" t="inlineStr">
        <is>
          <t>네이버 쇼핑검색</t>
        </is>
      </c>
      <c r="K429" s="39" t="n">
        <v>12730</v>
      </c>
    </row>
    <row r="430">
      <c r="B430" s="51">
        <f>B429+1</f>
        <v/>
      </c>
      <c r="C430" s="39">
        <f>TEXT(B430,"aaa")</f>
        <v/>
      </c>
      <c r="D430" s="39" t="inlineStr">
        <is>
          <t>네이버 쇼핑검색</t>
        </is>
      </c>
      <c r="K430" s="39" t="n">
        <v>7840</v>
      </c>
    </row>
    <row r="431">
      <c r="B431" s="51">
        <f>B430+1</f>
        <v/>
      </c>
      <c r="C431" s="39">
        <f>TEXT(B431,"aaa")</f>
        <v/>
      </c>
      <c r="D431" s="39" t="inlineStr">
        <is>
          <t>네이버 쇼핑검색</t>
        </is>
      </c>
      <c r="K431" s="39" t="n">
        <v>7650</v>
      </c>
    </row>
    <row r="432">
      <c r="B432" s="51">
        <f>B431+1</f>
        <v/>
      </c>
      <c r="C432" s="39">
        <f>TEXT(B432,"aaa")</f>
        <v/>
      </c>
      <c r="D432" s="39" t="inlineStr">
        <is>
          <t>네이버 쇼핑검색</t>
        </is>
      </c>
      <c r="K432" s="39" t="n">
        <v>13600</v>
      </c>
    </row>
    <row r="433">
      <c r="B433" s="51">
        <f>B432+1</f>
        <v/>
      </c>
      <c r="C433" s="39">
        <f>TEXT(B433,"aaa")</f>
        <v/>
      </c>
      <c r="D433" s="39" t="inlineStr">
        <is>
          <t>네이버 쇼핑검색</t>
        </is>
      </c>
      <c r="K433" s="39" t="n">
        <v>11370</v>
      </c>
    </row>
    <row r="434">
      <c r="B434" s="51">
        <f>B433+1</f>
        <v/>
      </c>
      <c r="C434" s="39">
        <f>TEXT(B434,"aaa")</f>
        <v/>
      </c>
      <c r="D434" s="39" t="inlineStr">
        <is>
          <t>네이버 쇼핑검색</t>
        </is>
      </c>
      <c r="K434" s="39" t="n">
        <v>7930</v>
      </c>
    </row>
    <row r="435">
      <c r="B435" s="51">
        <f>B434+1</f>
        <v/>
      </c>
      <c r="C435" s="39">
        <f>TEXT(B435,"aaa")</f>
        <v/>
      </c>
      <c r="D435" s="39" t="inlineStr">
        <is>
          <t>네이버 쇼핑검색</t>
        </is>
      </c>
      <c r="K435" s="39" t="n">
        <v>2940</v>
      </c>
    </row>
    <row r="436">
      <c r="B436" s="51">
        <f>B435+1</f>
        <v/>
      </c>
      <c r="C436" s="39">
        <f>TEXT(B436,"aaa")</f>
        <v/>
      </c>
      <c r="D436" s="39" t="inlineStr">
        <is>
          <t>네이버 쇼핑검색</t>
        </is>
      </c>
      <c r="K436" s="39" t="n">
        <v>15270</v>
      </c>
    </row>
    <row r="437">
      <c r="B437" s="51">
        <f>B436+1</f>
        <v/>
      </c>
      <c r="C437" s="39">
        <f>TEXT(B437,"aaa")</f>
        <v/>
      </c>
      <c r="D437" s="39" t="inlineStr">
        <is>
          <t>네이버 쇼핑검색</t>
        </is>
      </c>
      <c r="K437" s="39" t="n">
        <v>9190</v>
      </c>
    </row>
    <row r="438">
      <c r="B438" s="51">
        <f>B437+1</f>
        <v/>
      </c>
      <c r="C438" s="39">
        <f>TEXT(B438,"aaa")</f>
        <v/>
      </c>
      <c r="D438" s="39" t="inlineStr">
        <is>
          <t>네이버 쇼핑검색</t>
        </is>
      </c>
      <c r="K438" s="39" t="n">
        <v>18700</v>
      </c>
    </row>
    <row r="439">
      <c r="B439" s="51">
        <f>B438+1</f>
        <v/>
      </c>
      <c r="C439" s="39">
        <f>TEXT(B439,"aaa")</f>
        <v/>
      </c>
      <c r="D439" s="39" t="inlineStr">
        <is>
          <t>네이버 쇼핑검색</t>
        </is>
      </c>
      <c r="K439" s="39" t="n">
        <v>10690</v>
      </c>
    </row>
    <row r="440">
      <c r="B440" s="51">
        <f>B439+1</f>
        <v/>
      </c>
      <c r="C440" s="39">
        <f>TEXT(B440,"aaa")</f>
        <v/>
      </c>
      <c r="D440" s="39" t="inlineStr">
        <is>
          <t>네이버 쇼핑검색</t>
        </is>
      </c>
      <c r="K440" s="39">
        <f>(1606+9075)/1.1</f>
        <v/>
      </c>
    </row>
    <row r="441">
      <c r="B441" s="51">
        <f>B440+1</f>
        <v/>
      </c>
      <c r="C441" s="39">
        <f>TEXT(B441,"aaa")</f>
        <v/>
      </c>
      <c r="D441" s="39" t="inlineStr">
        <is>
          <t>네이버 쇼핑검색</t>
        </is>
      </c>
      <c r="K441" s="39">
        <f>4576/1.1</f>
        <v/>
      </c>
    </row>
    <row r="442">
      <c r="B442" s="51">
        <f>B441+1</f>
        <v/>
      </c>
      <c r="C442" s="39">
        <f>TEXT(B442,"aaa")</f>
        <v/>
      </c>
      <c r="D442" s="39" t="inlineStr">
        <is>
          <t>네이버 쇼핑검색</t>
        </is>
      </c>
      <c r="K442" s="39">
        <f>6556/1.1</f>
        <v/>
      </c>
    </row>
    <row r="443">
      <c r="B443" s="51">
        <f>B442+1</f>
        <v/>
      </c>
      <c r="C443" s="39">
        <f>TEXT(B443,"aaa")</f>
        <v/>
      </c>
      <c r="D443" s="39" t="inlineStr">
        <is>
          <t>네이버 쇼핑검색</t>
        </is>
      </c>
      <c r="K443" s="39">
        <f>9416/1.1</f>
        <v/>
      </c>
    </row>
    <row r="444">
      <c r="B444" s="51">
        <f>B443+1</f>
        <v/>
      </c>
      <c r="C444" s="39">
        <f>TEXT(B444,"aaa")</f>
        <v/>
      </c>
      <c r="D444" s="39" t="inlineStr">
        <is>
          <t>네이버 쇼핑검색</t>
        </is>
      </c>
      <c r="K444" s="39">
        <f>11165/1.1</f>
        <v/>
      </c>
    </row>
    <row r="445">
      <c r="B445" s="51">
        <f>B444+1</f>
        <v/>
      </c>
      <c r="C445" s="39">
        <f>TEXT(B445,"aaa")</f>
        <v/>
      </c>
      <c r="D445" s="39" t="inlineStr">
        <is>
          <t>네이버 쇼핑검색</t>
        </is>
      </c>
      <c r="K445" s="39">
        <f>(10868+176)/1.1</f>
        <v/>
      </c>
    </row>
    <row r="446">
      <c r="B446" s="51">
        <f>B445+1</f>
        <v/>
      </c>
      <c r="C446" s="39">
        <f>TEXT(B446,"aaa")</f>
        <v/>
      </c>
      <c r="D446" s="39" t="inlineStr">
        <is>
          <t>네이버 쇼핑검색</t>
        </is>
      </c>
      <c r="K446" s="39">
        <f>3553/1.1</f>
        <v/>
      </c>
    </row>
    <row r="447">
      <c r="B447" s="51">
        <f>B446+1</f>
        <v/>
      </c>
      <c r="C447" s="39">
        <f>TEXT(B447,"aaa")</f>
        <v/>
      </c>
      <c r="D447" s="39" t="inlineStr">
        <is>
          <t>네이버 쇼핑검색</t>
        </is>
      </c>
      <c r="K447" s="39">
        <f>(814+4829)/1.1</f>
        <v/>
      </c>
    </row>
    <row r="448">
      <c r="B448" s="51">
        <f>B447+1</f>
        <v/>
      </c>
      <c r="C448" s="39">
        <f>TEXT(B448,"aaa")</f>
        <v/>
      </c>
      <c r="D448" s="39" t="inlineStr">
        <is>
          <t>네이버 쇼핑검색</t>
        </is>
      </c>
      <c r="K448" s="39">
        <f>(4092+814)/1.1</f>
        <v/>
      </c>
    </row>
    <row r="449">
      <c r="B449" s="51">
        <f>B448+1</f>
        <v/>
      </c>
      <c r="C449" s="39">
        <f>TEXT(B449,"aaa")</f>
        <v/>
      </c>
      <c r="D449" s="39" t="inlineStr">
        <is>
          <t>네이버 쇼핑검색</t>
        </is>
      </c>
      <c r="K449" s="39">
        <f>9856/1.1</f>
        <v/>
      </c>
    </row>
    <row r="450">
      <c r="B450" s="51">
        <f>B449+1</f>
        <v/>
      </c>
      <c r="C450" s="39">
        <f>TEXT(B450,"aaa")</f>
        <v/>
      </c>
      <c r="D450" s="39" t="inlineStr">
        <is>
          <t>네이버 쇼핑검색</t>
        </is>
      </c>
      <c r="K450" s="39">
        <f>12331/1.1</f>
        <v/>
      </c>
    </row>
    <row r="451">
      <c r="B451" s="51">
        <f>B450+1</f>
        <v/>
      </c>
      <c r="C451" s="39">
        <f>TEXT(B451,"aaa")</f>
        <v/>
      </c>
      <c r="D451" s="39" t="inlineStr">
        <is>
          <t>네이버 쇼핑검색</t>
        </is>
      </c>
      <c r="K451" s="39">
        <f>7766/1.1</f>
        <v/>
      </c>
    </row>
    <row r="452">
      <c r="B452" s="51">
        <f>B451+1</f>
        <v/>
      </c>
      <c r="C452" s="39">
        <f>TEXT(B452,"aaa")</f>
        <v/>
      </c>
      <c r="D452" s="39" t="inlineStr">
        <is>
          <t>네이버 쇼핑검색</t>
        </is>
      </c>
      <c r="K452" s="39">
        <f>7348/1.1</f>
        <v/>
      </c>
    </row>
    <row r="453">
      <c r="B453" s="51">
        <f>B452+1</f>
        <v/>
      </c>
      <c r="C453" s="39">
        <f>TEXT(B453,"aaa")</f>
        <v/>
      </c>
      <c r="D453" s="39" t="inlineStr">
        <is>
          <t>네이버 쇼핑검색</t>
        </is>
      </c>
      <c r="K453" s="39">
        <f>2618/1.1</f>
        <v/>
      </c>
    </row>
    <row r="454">
      <c r="B454" s="51">
        <f>B453+1</f>
        <v/>
      </c>
      <c r="C454" s="39">
        <f>TEXT(B454,"aaa")</f>
        <v/>
      </c>
      <c r="D454" s="39" t="inlineStr">
        <is>
          <t>네이버 쇼핑검색</t>
        </is>
      </c>
      <c r="K454" s="39">
        <f>7183/1.1</f>
        <v/>
      </c>
    </row>
    <row r="455">
      <c r="B455" s="51">
        <f>B454+1</f>
        <v/>
      </c>
      <c r="C455" s="39">
        <f>TEXT(B455,"aaa")</f>
        <v/>
      </c>
      <c r="D455" s="39" t="inlineStr">
        <is>
          <t>네이버 쇼핑검색</t>
        </is>
      </c>
      <c r="K455" s="39">
        <f>14960/1.1</f>
        <v/>
      </c>
    </row>
    <row r="456">
      <c r="B456" s="51">
        <f>B455+1</f>
        <v/>
      </c>
      <c r="C456" s="39">
        <f>TEXT(B456,"aaa")</f>
        <v/>
      </c>
      <c r="D456" s="39" t="inlineStr">
        <is>
          <t>네이버 쇼핑검색</t>
        </is>
      </c>
      <c r="K456" s="39">
        <f>17457/1.1</f>
        <v/>
      </c>
    </row>
    <row r="457">
      <c r="B457" s="51">
        <f>B456+1</f>
        <v/>
      </c>
      <c r="C457" s="39">
        <f>TEXT(B457,"aaa")</f>
        <v/>
      </c>
      <c r="D457" s="39" t="inlineStr">
        <is>
          <t>네이버 쇼핑검색</t>
        </is>
      </c>
      <c r="K457" s="39">
        <f>(20042+968)/1.1</f>
        <v/>
      </c>
    </row>
    <row r="458">
      <c r="B458" s="51">
        <f>B457+1</f>
        <v/>
      </c>
      <c r="C458" s="39">
        <f>TEXT(B458,"aaa")</f>
        <v/>
      </c>
      <c r="D458" s="39" t="inlineStr">
        <is>
          <t>네이버 쇼핑검색</t>
        </is>
      </c>
      <c r="K458" s="39">
        <f>(99+11880)/1.1</f>
        <v/>
      </c>
    </row>
    <row r="459">
      <c r="B459" s="51">
        <f>B458+1</f>
        <v/>
      </c>
      <c r="C459" s="39">
        <f>TEXT(B459,"aaa")</f>
        <v/>
      </c>
      <c r="D459" s="39" t="inlineStr">
        <is>
          <t>네이버 쇼핑검색</t>
        </is>
      </c>
      <c r="K459" s="39">
        <f>(17105+968)/1.1</f>
        <v/>
      </c>
    </row>
    <row r="460">
      <c r="B460" s="51">
        <f>B459+1</f>
        <v/>
      </c>
      <c r="C460" s="39">
        <f>TEXT(B460,"aaa")</f>
        <v/>
      </c>
      <c r="D460" s="39" t="inlineStr">
        <is>
          <t>네이버 쇼핑검색</t>
        </is>
      </c>
      <c r="K460" s="39">
        <f>22561/1.1</f>
        <v/>
      </c>
    </row>
    <row r="461">
      <c r="B461" s="51">
        <f>B460+1</f>
        <v/>
      </c>
      <c r="C461" s="39">
        <f>TEXT(B461,"aaa")</f>
        <v/>
      </c>
      <c r="D461" s="39" t="inlineStr">
        <is>
          <t>네이버 쇼핑검색</t>
        </is>
      </c>
      <c r="K461" s="39">
        <f>(30470+55)/1.1</f>
        <v/>
      </c>
    </row>
    <row r="462">
      <c r="B462" s="51">
        <f>B461+1</f>
        <v/>
      </c>
      <c r="C462" s="39">
        <f>TEXT(B462,"aaa")</f>
        <v/>
      </c>
      <c r="D462" s="39" t="inlineStr">
        <is>
          <t>네이버 쇼핑검색</t>
        </is>
      </c>
      <c r="K462" s="39">
        <f>(21406+55)/1.1</f>
        <v/>
      </c>
    </row>
    <row r="463">
      <c r="B463" s="51">
        <f>B462+1</f>
        <v/>
      </c>
      <c r="C463" s="39">
        <f>TEXT(B463,"aaa")</f>
        <v/>
      </c>
      <c r="D463" s="39" t="inlineStr">
        <is>
          <t>네이버 쇼핑검색</t>
        </is>
      </c>
      <c r="K463" s="39">
        <f>(19591+55)/1.1</f>
        <v/>
      </c>
    </row>
    <row r="464">
      <c r="B464" s="51">
        <f>B463+1</f>
        <v/>
      </c>
      <c r="C464" s="39">
        <f>TEXT(B464,"aaa")</f>
        <v/>
      </c>
      <c r="D464" s="39" t="inlineStr">
        <is>
          <t>네이버 쇼핑검색</t>
        </is>
      </c>
      <c r="K464" s="39">
        <f>26708/1.1</f>
        <v/>
      </c>
    </row>
    <row r="465">
      <c r="B465" s="51">
        <f>B464+1</f>
        <v/>
      </c>
      <c r="C465" s="39">
        <f>TEXT(B465,"aaa")</f>
        <v/>
      </c>
      <c r="D465" s="39" t="inlineStr">
        <is>
          <t>네이버 쇼핑검색</t>
        </is>
      </c>
      <c r="K465" s="39">
        <f>18865/1.1</f>
        <v/>
      </c>
    </row>
    <row r="466">
      <c r="B466" s="51">
        <f>B465+1</f>
        <v/>
      </c>
      <c r="C466" s="39">
        <f>TEXT(B466,"aaa")</f>
        <v/>
      </c>
      <c r="D466" s="39" t="inlineStr">
        <is>
          <t>네이버 쇼핑검색</t>
        </is>
      </c>
      <c r="K466" s="39">
        <f>21604/1.1</f>
        <v/>
      </c>
    </row>
    <row r="467">
      <c r="B467" s="51">
        <f>B466+1</f>
        <v/>
      </c>
      <c r="C467" s="39">
        <f>TEXT(B467,"aaa")</f>
        <v/>
      </c>
      <c r="D467" s="39" t="inlineStr">
        <is>
          <t>네이버 쇼핑검색</t>
        </is>
      </c>
      <c r="K467" s="39">
        <f>24926/1.1</f>
        <v/>
      </c>
    </row>
    <row r="468">
      <c r="B468" s="51">
        <f>B467+1</f>
        <v/>
      </c>
      <c r="C468" s="39">
        <f>TEXT(B468,"aaa")</f>
        <v/>
      </c>
      <c r="D468" s="39" t="inlineStr">
        <is>
          <t>네이버 쇼핑검색</t>
        </is>
      </c>
      <c r="K468" s="39">
        <f>(15609+55)/1.1</f>
        <v/>
      </c>
    </row>
    <row r="469">
      <c r="B469" s="51">
        <f>B468+1</f>
        <v/>
      </c>
      <c r="C469" s="39">
        <f>TEXT(B469,"aaa")</f>
        <v/>
      </c>
      <c r="D469" s="39" t="inlineStr">
        <is>
          <t>네이버 쇼핑검색</t>
        </is>
      </c>
      <c r="K469" s="39">
        <f>25157/1.1</f>
        <v/>
      </c>
    </row>
    <row r="470">
      <c r="B470" s="51">
        <f>B469+1</f>
        <v/>
      </c>
      <c r="C470" s="39">
        <f>TEXT(B470,"aaa")</f>
        <v/>
      </c>
      <c r="D470" s="39" t="inlineStr">
        <is>
          <t>네이버 쇼핑검색</t>
        </is>
      </c>
      <c r="K470" s="39">
        <f>29931/1.1</f>
        <v/>
      </c>
    </row>
    <row r="471">
      <c r="B471" s="51">
        <f>B470+1</f>
        <v/>
      </c>
      <c r="C471" s="39">
        <f>TEXT(B471,"aaa")</f>
        <v/>
      </c>
      <c r="D471" s="39" t="inlineStr">
        <is>
          <t>네이버 쇼핑검색</t>
        </is>
      </c>
      <c r="K471" s="39">
        <f>44946/1.1</f>
        <v/>
      </c>
    </row>
    <row r="472">
      <c r="B472" s="51">
        <f>B471+1</f>
        <v/>
      </c>
      <c r="C472" s="39">
        <f>TEXT(B472,"aaa")</f>
        <v/>
      </c>
      <c r="D472" s="39" t="inlineStr">
        <is>
          <t>네이버 쇼핑검색</t>
        </is>
      </c>
      <c r="K472" s="39">
        <f>29018/1.1</f>
        <v/>
      </c>
    </row>
    <row r="473">
      <c r="B473" s="51">
        <f>B472+1</f>
        <v/>
      </c>
      <c r="C473" s="39">
        <f>TEXT(B473,"aaa")</f>
        <v/>
      </c>
      <c r="D473" s="39" t="inlineStr">
        <is>
          <t>네이버 쇼핑검색</t>
        </is>
      </c>
      <c r="K473" s="39">
        <f>35189/1.1</f>
        <v/>
      </c>
    </row>
    <row r="474">
      <c r="B474" s="51">
        <f>B473+1</f>
        <v/>
      </c>
      <c r="C474" s="39">
        <f>TEXT(B474,"aaa")</f>
        <v/>
      </c>
      <c r="D474" s="39" t="inlineStr">
        <is>
          <t>네이버 쇼핑검색</t>
        </is>
      </c>
      <c r="K474" s="39">
        <f>46970/1.1</f>
        <v/>
      </c>
    </row>
    <row r="475">
      <c r="B475" s="51">
        <f>B474+1</f>
        <v/>
      </c>
      <c r="C475" s="39">
        <f>TEXT(B475,"aaa")</f>
        <v/>
      </c>
      <c r="D475" s="39" t="inlineStr">
        <is>
          <t>네이버 쇼핑검색</t>
        </is>
      </c>
      <c r="K475" s="39">
        <f>(36190+110)/1.1</f>
        <v/>
      </c>
    </row>
    <row r="476">
      <c r="B476" s="51">
        <f>B475+1</f>
        <v/>
      </c>
      <c r="C476" s="39">
        <f>TEXT(B476,"aaa")</f>
        <v/>
      </c>
      <c r="D476" s="39" t="inlineStr">
        <is>
          <t>네이버 쇼핑검색</t>
        </is>
      </c>
      <c r="K476" s="39">
        <f>(42240+55)/1.1</f>
        <v/>
      </c>
    </row>
    <row r="477">
      <c r="B477" s="51">
        <f>B476+1</f>
        <v/>
      </c>
      <c r="C477" s="39">
        <f>TEXT(B477,"aaa")</f>
        <v/>
      </c>
      <c r="D477" s="39" t="inlineStr">
        <is>
          <t>네이버 쇼핑검색</t>
        </is>
      </c>
      <c r="K477" s="39">
        <f>38775/1.1</f>
        <v/>
      </c>
    </row>
    <row r="478">
      <c r="B478" s="51">
        <f>B477+1</f>
        <v/>
      </c>
      <c r="C478" s="39">
        <f>TEXT(B478,"aaa")</f>
        <v/>
      </c>
      <c r="D478" s="39" t="inlineStr">
        <is>
          <t>네이버 쇼핑검색</t>
        </is>
      </c>
      <c r="K478" s="39">
        <f>57596/1.1</f>
        <v/>
      </c>
    </row>
    <row r="479">
      <c r="B479" s="51">
        <f>B478+1</f>
        <v/>
      </c>
      <c r="C479" s="39">
        <f>TEXT(B479,"aaa")</f>
        <v/>
      </c>
      <c r="D479" s="39" t="inlineStr">
        <is>
          <t>네이버 쇼핑검색</t>
        </is>
      </c>
      <c r="K479" s="39">
        <f>53097/1.1</f>
        <v/>
      </c>
    </row>
    <row r="480">
      <c r="B480" s="51">
        <f>B479+1</f>
        <v/>
      </c>
      <c r="C480" s="39">
        <f>TEXT(B480,"aaa")</f>
        <v/>
      </c>
      <c r="D480" s="39" t="inlineStr">
        <is>
          <t>네이버 쇼핑검색</t>
        </is>
      </c>
      <c r="K480" s="39">
        <f>(55682+55)/1.1</f>
        <v/>
      </c>
    </row>
    <row r="481">
      <c r="B481" s="51">
        <f>B480+1</f>
        <v/>
      </c>
      <c r="C481" s="39">
        <f>TEXT(B481,"aaa")</f>
        <v/>
      </c>
      <c r="D481" s="39" t="inlineStr">
        <is>
          <t>네이버 쇼핑검색</t>
        </is>
      </c>
      <c r="K481" s="39">
        <f>(72644+110)/1.1</f>
        <v/>
      </c>
    </row>
    <row r="482">
      <c r="B482" s="51">
        <f>B481+1</f>
        <v/>
      </c>
      <c r="C482" s="39">
        <f>TEXT(B482,"aaa")</f>
        <v/>
      </c>
      <c r="D482" s="39" t="inlineStr">
        <is>
          <t>네이버 쇼핑검색</t>
        </is>
      </c>
      <c r="K482" s="39">
        <f>(69300+55)/1.1</f>
        <v/>
      </c>
    </row>
    <row r="483">
      <c r="B483" s="51">
        <f>B482+1</f>
        <v/>
      </c>
      <c r="C483" s="39">
        <f>TEXT(B483,"aaa")</f>
        <v/>
      </c>
      <c r="D483" s="39" t="inlineStr">
        <is>
          <t>네이버 쇼핑검색</t>
        </is>
      </c>
      <c r="K483" s="39">
        <f>67078/1.1</f>
        <v/>
      </c>
    </row>
    <row r="484">
      <c r="B484" s="51">
        <f>B483+1</f>
        <v/>
      </c>
      <c r="C484" s="39">
        <f>TEXT(B484,"aaa")</f>
        <v/>
      </c>
      <c r="D484" s="39" t="inlineStr">
        <is>
          <t>네이버 쇼핑검색</t>
        </is>
      </c>
      <c r="K484" s="39">
        <f>(74745+55)/1.1</f>
        <v/>
      </c>
    </row>
    <row r="485">
      <c r="B485" s="51">
        <f>B484+1</f>
        <v/>
      </c>
      <c r="C485" s="39">
        <f>TEXT(B485,"aaa")</f>
        <v/>
      </c>
      <c r="D485" s="39" t="inlineStr">
        <is>
          <t>네이버 쇼핑검색</t>
        </is>
      </c>
      <c r="K485" s="39">
        <f>77495/1.1</f>
        <v/>
      </c>
    </row>
    <row r="486">
      <c r="B486" s="51">
        <f>B485+1</f>
        <v/>
      </c>
      <c r="C486" s="39">
        <f>TEXT(B486,"aaa")</f>
        <v/>
      </c>
      <c r="D486" s="39" t="inlineStr">
        <is>
          <t>네이버 쇼핑검색</t>
        </is>
      </c>
      <c r="K486" s="39">
        <f>65879/1.1</f>
        <v/>
      </c>
    </row>
    <row r="487">
      <c r="B487" s="51">
        <f>B486+1</f>
        <v/>
      </c>
      <c r="C487" s="39">
        <f>TEXT(B487,"aaa")</f>
        <v/>
      </c>
      <c r="D487" s="39" t="inlineStr">
        <is>
          <t>네이버 쇼핑검색</t>
        </is>
      </c>
      <c r="K487" s="39">
        <f>(23837+1177+3740+1463)/1.1</f>
        <v/>
      </c>
    </row>
    <row r="488">
      <c r="B488" s="51">
        <f>B487+1</f>
        <v/>
      </c>
      <c r="C488" s="39">
        <f>TEXT(B488,"aaa")</f>
        <v/>
      </c>
      <c r="D488" s="39" t="inlineStr">
        <is>
          <t>네이버 쇼핑검색</t>
        </is>
      </c>
      <c r="K488" s="39">
        <f>(825+14146+1122)/1.1</f>
        <v/>
      </c>
    </row>
    <row r="489">
      <c r="B489" s="51">
        <f>B488+1</f>
        <v/>
      </c>
      <c r="C489" s="39">
        <f>TEXT(B489,"aaa")</f>
        <v/>
      </c>
      <c r="D489" s="39" t="inlineStr">
        <is>
          <t>네이버 쇼핑검색</t>
        </is>
      </c>
      <c r="K489" s="39">
        <f>(1122+12760+2288)/1.1</f>
        <v/>
      </c>
    </row>
    <row r="490">
      <c r="B490" s="51">
        <f>B489+1</f>
        <v/>
      </c>
      <c r="C490" s="39">
        <f>TEXT(B490,"aaa")</f>
        <v/>
      </c>
      <c r="D490" s="39" t="inlineStr">
        <is>
          <t>네이버 쇼핑검색</t>
        </is>
      </c>
      <c r="K490" s="39">
        <f>(847+15389+2189)/1.1</f>
        <v/>
      </c>
    </row>
    <row r="491">
      <c r="B491" s="51">
        <f>B490+1</f>
        <v/>
      </c>
      <c r="C491" s="39">
        <f>TEXT(B491,"aaa")</f>
        <v/>
      </c>
      <c r="D491" s="39" t="inlineStr">
        <is>
          <t>네이버 쇼핑검색</t>
        </is>
      </c>
      <c r="K491" s="39">
        <f>(16665+770+440)/1.1</f>
        <v/>
      </c>
    </row>
    <row r="492">
      <c r="B492" s="51">
        <f>B491+1</f>
        <v/>
      </c>
      <c r="C492" s="39">
        <f>TEXT(B492,"aaa")</f>
        <v/>
      </c>
      <c r="D492" s="39" t="inlineStr">
        <is>
          <t>네이버 쇼핑검색</t>
        </is>
      </c>
      <c r="K492" s="39">
        <f>(957+26169+2090)/1.1</f>
        <v/>
      </c>
    </row>
    <row r="493">
      <c r="B493" s="51">
        <f>B492+1</f>
        <v/>
      </c>
      <c r="C493" s="39">
        <f>TEXT(B493,"aaa")</f>
        <v/>
      </c>
      <c r="D493" s="39" t="inlineStr">
        <is>
          <t>네이버 쇼핑검색</t>
        </is>
      </c>
      <c r="K493" s="39">
        <f>(209+13684+1144)/1.1</f>
        <v/>
      </c>
    </row>
    <row r="494">
      <c r="B494" s="51">
        <f>B493+1</f>
        <v/>
      </c>
      <c r="C494" s="39">
        <f>TEXT(B494,"aaa")</f>
        <v/>
      </c>
      <c r="D494" s="39" t="inlineStr">
        <is>
          <t>네이버 쇼핑검색</t>
        </is>
      </c>
      <c r="K494" s="39">
        <f>(9515+649)/1.1</f>
        <v/>
      </c>
    </row>
    <row r="495">
      <c r="B495" s="51">
        <f>B494+1</f>
        <v/>
      </c>
      <c r="C495" s="39">
        <f>TEXT(B495,"aaa")</f>
        <v/>
      </c>
      <c r="D495" s="39" t="inlineStr">
        <is>
          <t>네이버 쇼핑검색</t>
        </is>
      </c>
      <c r="K495" s="39">
        <f>(836+11671+2244)/1.1</f>
        <v/>
      </c>
    </row>
    <row r="496">
      <c r="B496" s="51">
        <f>B495+1</f>
        <v/>
      </c>
      <c r="C496" s="39">
        <f>TEXT(B496,"aaa")</f>
        <v/>
      </c>
      <c r="D496" s="39" t="inlineStr">
        <is>
          <t>네이버 쇼핑검색</t>
        </is>
      </c>
      <c r="K496" s="39">
        <f>(418+10142+1122)/1.1</f>
        <v/>
      </c>
    </row>
    <row r="497">
      <c r="B497" s="51">
        <f>B496+1</f>
        <v/>
      </c>
      <c r="C497" s="39">
        <f>TEXT(B497,"aaa")</f>
        <v/>
      </c>
      <c r="D497" s="39" t="inlineStr">
        <is>
          <t>네이버 쇼핑검색</t>
        </is>
      </c>
      <c r="K497" s="39">
        <f>(1727+23441+2398)/1.1</f>
        <v/>
      </c>
    </row>
    <row r="498">
      <c r="B498" s="51">
        <f>B497+1</f>
        <v/>
      </c>
      <c r="C498" s="39">
        <f>TEXT(B498,"aaa")</f>
        <v/>
      </c>
      <c r="D498" s="39" t="inlineStr">
        <is>
          <t>네이버 쇼핑검색</t>
        </is>
      </c>
      <c r="K498" s="39">
        <f>(1463+33033+1012)/1.1</f>
        <v/>
      </c>
    </row>
    <row r="499">
      <c r="B499" s="51">
        <f>B498+1</f>
        <v/>
      </c>
      <c r="C499" s="39">
        <f>TEXT(B499,"aaa")</f>
        <v/>
      </c>
      <c r="D499" s="39" t="inlineStr">
        <is>
          <t>네이버 쇼핑검색</t>
        </is>
      </c>
      <c r="K499" s="39">
        <f>(627+32087+2585)/1.1</f>
        <v/>
      </c>
    </row>
    <row r="500">
      <c r="B500" s="51">
        <f>B499+1</f>
        <v/>
      </c>
      <c r="C500" s="39">
        <f>TEXT(B500,"aaa")</f>
        <v/>
      </c>
      <c r="D500" s="39" t="inlineStr">
        <is>
          <t>네이버 쇼핑검색</t>
        </is>
      </c>
      <c r="K500" s="39">
        <f>(308+29183+2266)/1.1</f>
        <v/>
      </c>
    </row>
    <row r="501">
      <c r="B501" s="51">
        <f>B500+1</f>
        <v/>
      </c>
      <c r="C501" s="39">
        <f>TEXT(B501,"aaa")</f>
        <v/>
      </c>
      <c r="D501" s="39" t="inlineStr">
        <is>
          <t>네이버 쇼핑검색</t>
        </is>
      </c>
      <c r="K501" s="39">
        <f>(594+26103+583)/1.1</f>
        <v/>
      </c>
    </row>
    <row r="502">
      <c r="B502" s="51">
        <f>B501+1</f>
        <v/>
      </c>
      <c r="C502" s="39">
        <f>TEXT(B502,"aaa")</f>
        <v/>
      </c>
      <c r="D502" s="39" t="inlineStr">
        <is>
          <t>네이버 쇼핑검색</t>
        </is>
      </c>
      <c r="K502" s="39">
        <f>(1089+30019+2453)/1.1</f>
        <v/>
      </c>
    </row>
    <row r="503">
      <c r="B503" s="51">
        <f>B502+1</f>
        <v/>
      </c>
      <c r="C503" s="39">
        <f>TEXT(B503,"aaa")</f>
        <v/>
      </c>
      <c r="D503" s="39" t="inlineStr">
        <is>
          <t>네이버 쇼핑검색</t>
        </is>
      </c>
      <c r="K503" s="39">
        <f>(1254+25201+1496)/1.1</f>
        <v/>
      </c>
    </row>
    <row r="504">
      <c r="B504" s="51">
        <f>B503+1</f>
        <v/>
      </c>
      <c r="C504" s="39">
        <f>TEXT(B504,"aaa")</f>
        <v/>
      </c>
      <c r="D504" s="39" t="inlineStr">
        <is>
          <t>네이버 쇼핑검색</t>
        </is>
      </c>
      <c r="K504" s="39">
        <f>(561+33242+1034)/1.1</f>
        <v/>
      </c>
    </row>
    <row r="505">
      <c r="B505" s="51">
        <f>B504+1</f>
        <v/>
      </c>
      <c r="C505" s="39">
        <f>TEXT(B505,"aaa")</f>
        <v/>
      </c>
      <c r="D505" s="39" t="inlineStr">
        <is>
          <t>네이버 쇼핑검색</t>
        </is>
      </c>
      <c r="K505" s="39">
        <f>(814+31999+1826)/1.1</f>
        <v/>
      </c>
    </row>
    <row r="506">
      <c r="B506" s="51">
        <f>B505+1</f>
        <v/>
      </c>
      <c r="C506" s="39">
        <f>TEXT(B506,"aaa")</f>
        <v/>
      </c>
      <c r="D506" s="39" t="inlineStr">
        <is>
          <t>네이버 쇼핑검색</t>
        </is>
      </c>
      <c r="K506" s="39">
        <f>(440+32538+3014)/1.1</f>
        <v/>
      </c>
    </row>
    <row r="507">
      <c r="B507" s="51">
        <f>B506+1</f>
        <v/>
      </c>
      <c r="C507" s="39">
        <f>TEXT(B507,"aaa")</f>
        <v/>
      </c>
      <c r="D507" s="39" t="inlineStr">
        <is>
          <t>네이버 쇼핑검색</t>
        </is>
      </c>
      <c r="K507" s="39">
        <f>(61908+935+23518+1969)/1.1</f>
        <v/>
      </c>
    </row>
    <row r="508">
      <c r="B508" s="51">
        <f>B507+1</f>
        <v/>
      </c>
      <c r="C508" s="39">
        <f>TEXT(B508,"aaa")</f>
        <v/>
      </c>
      <c r="D508" s="39" t="inlineStr">
        <is>
          <t>네이버 쇼핑검색</t>
        </is>
      </c>
      <c r="K508" s="39">
        <f>(116743+187+11506+3234)/1.1</f>
        <v/>
      </c>
    </row>
    <row r="509">
      <c r="B509" s="51">
        <f>B508+1</f>
        <v/>
      </c>
      <c r="C509" s="39">
        <f>TEXT(B509,"aaa")</f>
        <v/>
      </c>
      <c r="D509" s="39" t="inlineStr">
        <is>
          <t>네이버 쇼핑검색</t>
        </is>
      </c>
      <c r="K509" s="39">
        <f>(37158+374+17941+6435)/1.1</f>
        <v/>
      </c>
    </row>
    <row r="510">
      <c r="B510" s="51">
        <f>B509+1</f>
        <v/>
      </c>
      <c r="C510" s="39">
        <f>TEXT(B510,"aaa")</f>
        <v/>
      </c>
      <c r="D510" s="39" t="inlineStr">
        <is>
          <t>네이버 쇼핑검색</t>
        </is>
      </c>
      <c r="K510" s="39">
        <f>(1122+30646+3047)/1.1</f>
        <v/>
      </c>
    </row>
    <row r="511">
      <c r="B511" s="51">
        <f>B510+1</f>
        <v/>
      </c>
      <c r="C511" s="39">
        <f>TEXT(B511,"aaa")</f>
        <v/>
      </c>
      <c r="D511" s="39" t="inlineStr">
        <is>
          <t>네이버 쇼핑검색</t>
        </is>
      </c>
      <c r="K511" s="39">
        <f>(374+33913+627)/1.1</f>
        <v/>
      </c>
    </row>
    <row r="512">
      <c r="B512" s="51">
        <f>B511+1</f>
        <v/>
      </c>
      <c r="C512" s="39">
        <f>TEXT(B512,"aaa")</f>
        <v/>
      </c>
      <c r="D512" s="39" t="inlineStr">
        <is>
          <t>네이버 쇼핑검색</t>
        </is>
      </c>
      <c r="K512" s="39">
        <f>(748+33220+1155)/1.1</f>
        <v/>
      </c>
    </row>
    <row r="513">
      <c r="B513" s="51">
        <f>B512+1</f>
        <v/>
      </c>
      <c r="C513" s="39">
        <f>TEXT(B513,"aaa")</f>
        <v/>
      </c>
      <c r="D513" s="39" t="inlineStr">
        <is>
          <t>네이버 쇼핑검색</t>
        </is>
      </c>
      <c r="K513" s="39">
        <f>(253+33990+1001)/1.1</f>
        <v/>
      </c>
    </row>
    <row r="514">
      <c r="B514" s="51">
        <f>B513+1</f>
        <v/>
      </c>
      <c r="C514" s="39">
        <f>TEXT(B514,"aaa")</f>
        <v/>
      </c>
      <c r="D514" s="39" t="inlineStr">
        <is>
          <t>네이버 쇼핑검색</t>
        </is>
      </c>
      <c r="K514" s="39">
        <f>(561+34155+1067)/1.1</f>
        <v/>
      </c>
    </row>
    <row r="515">
      <c r="B515" s="51">
        <f>B514+1</f>
        <v/>
      </c>
      <c r="C515" s="39">
        <f>TEXT(B515,"aaa")</f>
        <v/>
      </c>
      <c r="D515" s="39" t="inlineStr">
        <is>
          <t>네이버 쇼핑검색</t>
        </is>
      </c>
      <c r="K515" s="39">
        <f>(66+32714+1925)/1.1</f>
        <v/>
      </c>
    </row>
    <row r="516">
      <c r="B516" s="51">
        <f>B515+1</f>
        <v/>
      </c>
      <c r="C516" s="39">
        <f>TEXT(B516,"aaa")</f>
        <v/>
      </c>
      <c r="D516" s="39" t="inlineStr">
        <is>
          <t>네이버 쇼핑검색</t>
        </is>
      </c>
      <c r="K516" s="39">
        <f>(385+32252+2310)/1.1</f>
        <v/>
      </c>
    </row>
    <row r="517">
      <c r="B517" s="51">
        <f>B516+1</f>
        <v/>
      </c>
      <c r="C517" s="39">
        <f>TEXT(B517,"aaa")</f>
        <v/>
      </c>
      <c r="D517" s="39" t="inlineStr">
        <is>
          <t>네이버 쇼핑검색</t>
        </is>
      </c>
      <c r="K517" s="39">
        <f>(1210+29964+3762)/1.1</f>
        <v/>
      </c>
    </row>
    <row r="518">
      <c r="B518" s="51">
        <f>B517+1</f>
        <v/>
      </c>
      <c r="C518" s="39">
        <f>TEXT(B518,"aaa")</f>
        <v/>
      </c>
      <c r="D518" s="39" t="inlineStr">
        <is>
          <t>네이버 쇼핑검색</t>
        </is>
      </c>
      <c r="K518" s="39">
        <f>(572+33418+770)/1.1</f>
        <v/>
      </c>
    </row>
    <row r="519">
      <c r="B519" s="51">
        <f>B518+1</f>
        <v/>
      </c>
      <c r="C519" s="39">
        <f>TEXT(B519,"aaa")</f>
        <v/>
      </c>
      <c r="D519" s="39" t="inlineStr">
        <is>
          <t>네이버 쇼핑검색</t>
        </is>
      </c>
      <c r="K519" s="39">
        <f>(924+32714+1540)/1.1</f>
        <v/>
      </c>
    </row>
    <row r="520">
      <c r="B520" s="51">
        <f>B519+1</f>
        <v/>
      </c>
      <c r="C520" s="39">
        <f>TEXT(B520,"aaa")</f>
        <v/>
      </c>
      <c r="D520" s="39" t="inlineStr">
        <is>
          <t>네이버 쇼핑검색</t>
        </is>
      </c>
      <c r="K520" s="39">
        <f>(275+34947)/1.1</f>
        <v/>
      </c>
    </row>
    <row r="521">
      <c r="B521" s="51">
        <f>B520+1</f>
        <v/>
      </c>
      <c r="C521" s="39">
        <f>TEXT(B521,"aaa")</f>
        <v/>
      </c>
      <c r="D521" s="39" t="inlineStr">
        <is>
          <t>네이버 쇼핑검색</t>
        </is>
      </c>
      <c r="K521" s="39">
        <f>(1595+32615+385)/1.1</f>
        <v/>
      </c>
    </row>
    <row r="522">
      <c r="B522" s="51">
        <f>B521+1</f>
        <v/>
      </c>
      <c r="C522" s="39">
        <f>TEXT(B522,"aaa")</f>
        <v/>
      </c>
      <c r="D522" s="39" t="inlineStr">
        <is>
          <t>네이버 쇼핑검색</t>
        </is>
      </c>
      <c r="K522" s="39">
        <f>(902+32043+1925)/1.1</f>
        <v/>
      </c>
    </row>
    <row r="523">
      <c r="B523" s="51">
        <f>B522+1</f>
        <v/>
      </c>
      <c r="C523" s="39">
        <f>TEXT(B523,"aaa")</f>
        <v/>
      </c>
      <c r="D523" s="39" t="inlineStr">
        <is>
          <t>네이버 쇼핑검색</t>
        </is>
      </c>
      <c r="K523" s="39">
        <f>(1441+31955+1540)/1.1</f>
        <v/>
      </c>
    </row>
    <row r="524">
      <c r="B524" s="51">
        <f>B523+1</f>
        <v/>
      </c>
      <c r="C524" s="39">
        <f>TEXT(B524,"aaa")</f>
        <v/>
      </c>
      <c r="D524" s="39" t="inlineStr">
        <is>
          <t>네이버 쇼핑검색</t>
        </is>
      </c>
      <c r="K524" s="39">
        <f>(583+33517+770)/1.1</f>
        <v/>
      </c>
    </row>
    <row r="525">
      <c r="B525" s="51">
        <f>B524+1</f>
        <v/>
      </c>
      <c r="C525" s="39">
        <f>TEXT(B525,"aaa")</f>
        <v/>
      </c>
      <c r="D525" s="39" t="inlineStr">
        <is>
          <t>네이버 쇼핑검색</t>
        </is>
      </c>
      <c r="K525" s="39">
        <f>(891+32901+1540)/1.1</f>
        <v/>
      </c>
    </row>
    <row r="526">
      <c r="B526" s="51">
        <f>B525+1</f>
        <v/>
      </c>
      <c r="C526" s="39">
        <f>TEXT(B526,"aaa")</f>
        <v/>
      </c>
      <c r="D526" s="39" t="inlineStr">
        <is>
          <t>네이버 쇼핑검색</t>
        </is>
      </c>
      <c r="K526" s="39">
        <f>(594+33957+770)/1.1</f>
        <v/>
      </c>
    </row>
    <row r="527">
      <c r="B527" s="51">
        <f>B526+1</f>
        <v/>
      </c>
      <c r="C527" s="39">
        <f>TEXT(B527,"aaa")</f>
        <v/>
      </c>
      <c r="D527" s="39" t="inlineStr">
        <is>
          <t>네이버 쇼핑검색</t>
        </is>
      </c>
      <c r="K527" s="39">
        <f>(1221+31427+2992)/1.1</f>
        <v/>
      </c>
    </row>
    <row r="528">
      <c r="B528" s="51">
        <f>B527+1</f>
        <v/>
      </c>
      <c r="C528" s="39">
        <f>TEXT(B528,"aaa")</f>
        <v/>
      </c>
      <c r="D528" s="39" t="inlineStr">
        <is>
          <t>네이버 쇼핑검색</t>
        </is>
      </c>
      <c r="K528" s="39">
        <f>(1815+30591+2310)/1.1</f>
        <v/>
      </c>
    </row>
    <row r="529">
      <c r="B529" s="51">
        <f>B528+1</f>
        <v/>
      </c>
      <c r="C529" s="39">
        <f>TEXT(B529,"aaa")</f>
        <v/>
      </c>
      <c r="D529" s="39" t="inlineStr">
        <is>
          <t>네이버 쇼핑검색</t>
        </is>
      </c>
      <c r="K529" s="39">
        <f>(1529+31592+1540)/1.1</f>
        <v/>
      </c>
    </row>
    <row r="530">
      <c r="B530" s="51">
        <f>B529+1</f>
        <v/>
      </c>
      <c r="C530" s="39">
        <f>TEXT(B530,"aaa")</f>
        <v/>
      </c>
      <c r="D530" s="39" t="inlineStr">
        <is>
          <t>네이버 쇼핑검색</t>
        </is>
      </c>
      <c r="K530" s="39">
        <f>(2596+31295+1155)/1.1</f>
        <v/>
      </c>
    </row>
    <row r="531">
      <c r="B531" s="51">
        <f>B530+1</f>
        <v/>
      </c>
      <c r="C531" s="39">
        <f>TEXT(B531,"aaa")</f>
        <v/>
      </c>
      <c r="D531" s="39" t="inlineStr">
        <is>
          <t>네이버 쇼핑검색</t>
        </is>
      </c>
      <c r="K531" s="39">
        <f>(1518+31581+2310)/1.1</f>
        <v/>
      </c>
    </row>
    <row r="532">
      <c r="B532" s="51">
        <f>B531+1</f>
        <v/>
      </c>
      <c r="C532" s="39">
        <f>TEXT(B532,"aaa")</f>
        <v/>
      </c>
      <c r="D532" s="39" t="inlineStr">
        <is>
          <t>네이버 쇼핑검색</t>
        </is>
      </c>
      <c r="K532" s="39">
        <f>(5346+28633+770)/1.1</f>
        <v/>
      </c>
    </row>
    <row r="533">
      <c r="B533" s="51">
        <f>B532+1</f>
        <v/>
      </c>
      <c r="C533" s="39">
        <f>TEXT(B533,"aaa")</f>
        <v/>
      </c>
      <c r="D533" s="39" t="inlineStr">
        <is>
          <t>네이버 쇼핑검색</t>
        </is>
      </c>
      <c r="K533" s="39">
        <f>(6809+25212+2662)/1.1</f>
        <v/>
      </c>
    </row>
    <row r="534">
      <c r="B534" s="51">
        <f>B533+1</f>
        <v/>
      </c>
      <c r="C534" s="39">
        <f>TEXT(B534,"aaa")</f>
        <v/>
      </c>
      <c r="D534" s="39" t="inlineStr">
        <is>
          <t>네이버 쇼핑검색</t>
        </is>
      </c>
      <c r="K534" s="39">
        <f>(3663+26917+4180)/1.1</f>
        <v/>
      </c>
    </row>
    <row r="535">
      <c r="B535" s="51">
        <f>B534+1</f>
        <v/>
      </c>
      <c r="C535" s="39">
        <f>TEXT(B535,"aaa")</f>
        <v/>
      </c>
      <c r="D535" s="39" t="inlineStr">
        <is>
          <t>네이버 쇼핑검색</t>
        </is>
      </c>
      <c r="K535" s="39">
        <f>(3960+29711+1155)/1.1</f>
        <v/>
      </c>
    </row>
    <row r="536">
      <c r="B536" s="51">
        <f>B535+1</f>
        <v/>
      </c>
      <c r="C536" s="39">
        <f>TEXT(B536,"aaa")</f>
        <v/>
      </c>
      <c r="D536" s="39" t="inlineStr">
        <is>
          <t>네이버 쇼핑검색</t>
        </is>
      </c>
      <c r="K536" s="39">
        <f>(2574+31702+770)/1.1</f>
        <v/>
      </c>
    </row>
    <row r="537">
      <c r="B537" s="51">
        <f>B536+1</f>
        <v/>
      </c>
      <c r="C537" s="39">
        <f>TEXT(B537,"aaa")</f>
        <v/>
      </c>
      <c r="D537" s="39" t="inlineStr">
        <is>
          <t>네이버 쇼핑검색</t>
        </is>
      </c>
      <c r="K537" s="39">
        <f>(2200+31823+1100)/1.1</f>
        <v/>
      </c>
    </row>
    <row r="538">
      <c r="B538" s="51">
        <f>B537+1</f>
        <v/>
      </c>
      <c r="C538" s="39">
        <f>TEXT(B538,"aaa")</f>
        <v/>
      </c>
      <c r="D538" s="39" t="inlineStr">
        <is>
          <t>네이버 쇼핑검색</t>
        </is>
      </c>
      <c r="K538" s="39">
        <f>(1980+31053+2255)/1.1</f>
        <v/>
      </c>
    </row>
    <row r="539">
      <c r="B539" s="51">
        <f>B538+1</f>
        <v/>
      </c>
      <c r="C539" s="39">
        <f>TEXT(B539,"aaa")</f>
        <v/>
      </c>
      <c r="D539" s="39" t="inlineStr">
        <is>
          <t>네이버 쇼핑검색</t>
        </is>
      </c>
      <c r="K539" s="39">
        <f>(1870+30646+2607)/1.1</f>
        <v/>
      </c>
    </row>
    <row r="540">
      <c r="B540" s="51">
        <f>B539+1</f>
        <v/>
      </c>
      <c r="C540" s="39">
        <f>TEXT(B540,"aaa")</f>
        <v/>
      </c>
      <c r="D540" s="39" t="inlineStr">
        <is>
          <t>네이버 쇼핑검색</t>
        </is>
      </c>
      <c r="K540" s="39">
        <f>(1738+32923+770)/1.1</f>
        <v/>
      </c>
    </row>
    <row r="541">
      <c r="B541" s="51">
        <f>B540+1</f>
        <v/>
      </c>
      <c r="C541" s="39">
        <f>TEXT(B541,"aaa")</f>
        <v/>
      </c>
      <c r="D541" s="39" t="inlineStr">
        <is>
          <t>네이버 쇼핑검색</t>
        </is>
      </c>
      <c r="K541" s="39">
        <f>(1925+32978+1155)/1.1</f>
        <v/>
      </c>
    </row>
    <row r="542">
      <c r="B542" s="51">
        <f>B541+1</f>
        <v/>
      </c>
      <c r="C542" s="39">
        <f>TEXT(B542,"aaa")</f>
        <v/>
      </c>
      <c r="D542" s="39" t="inlineStr">
        <is>
          <t>네이버 쇼핑검색</t>
        </is>
      </c>
      <c r="K542" s="39">
        <f>(990+30756+3069)/1.1</f>
        <v/>
      </c>
    </row>
    <row r="543">
      <c r="B543" s="51">
        <f>B542+1</f>
        <v/>
      </c>
      <c r="C543" s="39">
        <f>TEXT(B543,"aaa")</f>
        <v/>
      </c>
      <c r="D543" s="39" t="inlineStr">
        <is>
          <t>네이버 쇼핑검색</t>
        </is>
      </c>
      <c r="K543" s="39">
        <f>(1870+30558+2310)/1.1</f>
        <v/>
      </c>
    </row>
    <row r="544" ht="16.5" customHeight="1" s="47">
      <c r="B544" s="51" t="n">
        <v>44033</v>
      </c>
      <c r="C544" s="39">
        <f>TEXT(B544,"aaa")</f>
        <v/>
      </c>
      <c r="D544" s="39" t="inlineStr">
        <is>
          <t>네이버 파워링크</t>
        </is>
      </c>
      <c r="K544" s="39" t="n">
        <v>140</v>
      </c>
    </row>
    <row r="545">
      <c r="B545" s="51">
        <f>B544+1</f>
        <v/>
      </c>
      <c r="C545" s="39">
        <f>TEXT(B545,"aaa")</f>
        <v/>
      </c>
      <c r="D545" s="39" t="inlineStr">
        <is>
          <t>네이버 파워링크</t>
        </is>
      </c>
      <c r="K545" s="39" t="n">
        <v>70</v>
      </c>
    </row>
    <row r="546">
      <c r="B546" s="51">
        <f>B545+1</f>
        <v/>
      </c>
      <c r="C546" s="39">
        <f>TEXT(B546,"aaa")</f>
        <v/>
      </c>
      <c r="D546" s="39" t="inlineStr">
        <is>
          <t>네이버 파워링크</t>
        </is>
      </c>
      <c r="K546" s="39" t="n">
        <v>140</v>
      </c>
    </row>
    <row r="547">
      <c r="B547" s="51">
        <f>B546+1</f>
        <v/>
      </c>
      <c r="C547" s="39">
        <f>TEXT(B547,"aaa")</f>
        <v/>
      </c>
      <c r="D547" s="39" t="inlineStr">
        <is>
          <t>네이버 파워링크</t>
        </is>
      </c>
      <c r="K547" s="39" t="n">
        <v>140</v>
      </c>
    </row>
    <row r="548">
      <c r="B548" s="51">
        <f>B547+1</f>
        <v/>
      </c>
      <c r="C548" s="39">
        <f>TEXT(B548,"aaa")</f>
        <v/>
      </c>
      <c r="D548" s="39" t="inlineStr">
        <is>
          <t>네이버 파워링크</t>
        </is>
      </c>
      <c r="K548" s="39" t="n">
        <v>0</v>
      </c>
    </row>
    <row r="549">
      <c r="B549" s="51">
        <f>B548+1</f>
        <v/>
      </c>
      <c r="C549" s="39">
        <f>TEXT(B549,"aaa")</f>
        <v/>
      </c>
      <c r="D549" s="39" t="inlineStr">
        <is>
          <t>네이버 파워링크</t>
        </is>
      </c>
      <c r="K549" s="39" t="n">
        <v>70</v>
      </c>
    </row>
    <row r="550">
      <c r="B550" s="51">
        <f>B549+1</f>
        <v/>
      </c>
      <c r="C550" s="39">
        <f>TEXT(B550,"aaa")</f>
        <v/>
      </c>
      <c r="D550" s="39" t="inlineStr">
        <is>
          <t>네이버 파워링크</t>
        </is>
      </c>
      <c r="K550" s="39" t="n">
        <v>70</v>
      </c>
    </row>
    <row r="551">
      <c r="B551" s="51">
        <f>B550+1</f>
        <v/>
      </c>
      <c r="C551" s="39">
        <f>TEXT(B551,"aaa")</f>
        <v/>
      </c>
      <c r="D551" s="39" t="inlineStr">
        <is>
          <t>네이버 파워링크</t>
        </is>
      </c>
      <c r="K551" s="39" t="n">
        <v>70</v>
      </c>
    </row>
    <row r="552">
      <c r="B552" s="51">
        <f>B551+1</f>
        <v/>
      </c>
      <c r="C552" s="39">
        <f>TEXT(B552,"aaa")</f>
        <v/>
      </c>
      <c r="D552" s="39" t="inlineStr">
        <is>
          <t>네이버 파워링크</t>
        </is>
      </c>
      <c r="K552" s="39" t="n">
        <v>0</v>
      </c>
    </row>
    <row r="553">
      <c r="B553" s="51">
        <f>B552+1</f>
        <v/>
      </c>
      <c r="C553" s="39">
        <f>TEXT(B553,"aaa")</f>
        <v/>
      </c>
      <c r="D553" s="39" t="inlineStr">
        <is>
          <t>네이버 파워링크</t>
        </is>
      </c>
      <c r="K553" s="39" t="n">
        <v>140</v>
      </c>
    </row>
    <row r="554">
      <c r="B554" s="51">
        <f>B553+1</f>
        <v/>
      </c>
      <c r="C554" s="39">
        <f>TEXT(B554,"aaa")</f>
        <v/>
      </c>
      <c r="D554" s="39" t="inlineStr">
        <is>
          <t>네이버 파워링크</t>
        </is>
      </c>
      <c r="K554" s="39" t="n">
        <v>0</v>
      </c>
    </row>
    <row r="555">
      <c r="B555" s="51">
        <f>B554+1</f>
        <v/>
      </c>
      <c r="C555" s="39">
        <f>TEXT(B555,"aaa")</f>
        <v/>
      </c>
      <c r="D555" s="39" t="inlineStr">
        <is>
          <t>네이버 파워링크</t>
        </is>
      </c>
      <c r="K555" s="39" t="n">
        <v>0</v>
      </c>
    </row>
    <row r="556">
      <c r="B556" s="51">
        <f>B555+1</f>
        <v/>
      </c>
      <c r="C556" s="39">
        <f>TEXT(B556,"aaa")</f>
        <v/>
      </c>
      <c r="D556" s="39" t="inlineStr">
        <is>
          <t>네이버 파워링크</t>
        </is>
      </c>
      <c r="K556" s="39" t="n">
        <v>70</v>
      </c>
    </row>
    <row r="557">
      <c r="B557" s="51">
        <f>B556+1</f>
        <v/>
      </c>
      <c r="C557" s="39">
        <f>TEXT(B557,"aaa")</f>
        <v/>
      </c>
      <c r="D557" s="39" t="inlineStr">
        <is>
          <t>네이버 파워링크</t>
        </is>
      </c>
      <c r="K557" s="39" t="n">
        <v>70</v>
      </c>
    </row>
    <row r="558">
      <c r="B558" s="51">
        <f>B557+1</f>
        <v/>
      </c>
      <c r="C558" s="39">
        <f>TEXT(B558,"aaa")</f>
        <v/>
      </c>
      <c r="D558" s="39" t="inlineStr">
        <is>
          <t>네이버 파워링크</t>
        </is>
      </c>
      <c r="K558" s="39" t="n">
        <v>0</v>
      </c>
    </row>
    <row r="559">
      <c r="B559" s="51">
        <f>B558+1</f>
        <v/>
      </c>
      <c r="C559" s="39">
        <f>TEXT(B559,"aaa")</f>
        <v/>
      </c>
      <c r="D559" s="39" t="inlineStr">
        <is>
          <t>네이버 파워링크</t>
        </is>
      </c>
      <c r="K559" s="39" t="n">
        <v>70</v>
      </c>
    </row>
    <row r="560">
      <c r="B560" s="51">
        <f>B559+1</f>
        <v/>
      </c>
      <c r="C560" s="39">
        <f>TEXT(B560,"aaa")</f>
        <v/>
      </c>
      <c r="D560" s="39" t="inlineStr">
        <is>
          <t>네이버 파워링크</t>
        </is>
      </c>
      <c r="K560" s="39" t="n">
        <v>70</v>
      </c>
    </row>
    <row r="561">
      <c r="B561" s="51">
        <f>B560+1</f>
        <v/>
      </c>
      <c r="C561" s="39">
        <f>TEXT(B561,"aaa")</f>
        <v/>
      </c>
      <c r="D561" s="39" t="inlineStr">
        <is>
          <t>네이버 파워링크</t>
        </is>
      </c>
      <c r="K561" s="39" t="n">
        <v>70</v>
      </c>
    </row>
    <row r="562">
      <c r="B562" s="51">
        <f>B561+1</f>
        <v/>
      </c>
      <c r="C562" s="39">
        <f>TEXT(B562,"aaa")</f>
        <v/>
      </c>
      <c r="D562" s="39" t="inlineStr">
        <is>
          <t>네이버 파워링크</t>
        </is>
      </c>
      <c r="K562" s="39" t="n">
        <v>0</v>
      </c>
    </row>
    <row r="563">
      <c r="B563" s="51">
        <f>B562+1</f>
        <v/>
      </c>
      <c r="C563" s="39">
        <f>TEXT(B563,"aaa")</f>
        <v/>
      </c>
      <c r="D563" s="39" t="inlineStr">
        <is>
          <t>네이버 파워링크</t>
        </is>
      </c>
      <c r="K563" s="39" t="n">
        <v>140</v>
      </c>
    </row>
    <row r="564">
      <c r="B564" s="51">
        <f>B563+1</f>
        <v/>
      </c>
      <c r="C564" s="39">
        <f>TEXT(B564,"aaa")</f>
        <v/>
      </c>
      <c r="D564" s="39" t="inlineStr">
        <is>
          <t>네이버 파워링크</t>
        </is>
      </c>
      <c r="K564" s="39" t="n">
        <v>0</v>
      </c>
    </row>
    <row r="565">
      <c r="B565" s="51">
        <f>B564+1</f>
        <v/>
      </c>
      <c r="C565" s="39">
        <f>TEXT(B565,"aaa")</f>
        <v/>
      </c>
      <c r="D565" s="39" t="inlineStr">
        <is>
          <t>네이버 파워링크</t>
        </is>
      </c>
      <c r="K565" s="39" t="n">
        <v>210</v>
      </c>
    </row>
    <row r="566">
      <c r="B566" s="51">
        <f>B565+1</f>
        <v/>
      </c>
      <c r="C566" s="39">
        <f>TEXT(B566,"aaa")</f>
        <v/>
      </c>
      <c r="D566" s="39" t="inlineStr">
        <is>
          <t>네이버 파워링크</t>
        </is>
      </c>
      <c r="K566" s="39" t="n">
        <v>0</v>
      </c>
    </row>
    <row r="567">
      <c r="B567" s="51">
        <f>B566+1</f>
        <v/>
      </c>
      <c r="C567" s="39">
        <f>TEXT(B567,"aaa")</f>
        <v/>
      </c>
      <c r="D567" s="39" t="inlineStr">
        <is>
          <t>네이버 파워링크</t>
        </is>
      </c>
      <c r="K567" s="39" t="n">
        <v>0</v>
      </c>
    </row>
    <row r="568">
      <c r="B568" s="51">
        <f>B567+1</f>
        <v/>
      </c>
      <c r="C568" s="39">
        <f>TEXT(B568,"aaa")</f>
        <v/>
      </c>
      <c r="D568" s="39" t="inlineStr">
        <is>
          <t>네이버 파워링크</t>
        </is>
      </c>
      <c r="K568" s="39" t="n">
        <v>140</v>
      </c>
    </row>
    <row r="569">
      <c r="B569" s="51">
        <f>B568+1</f>
        <v/>
      </c>
      <c r="C569" s="39">
        <f>TEXT(B569,"aaa")</f>
        <v/>
      </c>
      <c r="D569" s="39" t="inlineStr">
        <is>
          <t>네이버 파워링크</t>
        </is>
      </c>
      <c r="K569" s="39" t="n">
        <v>0</v>
      </c>
    </row>
    <row r="570">
      <c r="B570" s="51">
        <f>B569+1</f>
        <v/>
      </c>
      <c r="C570" s="39">
        <f>TEXT(B570,"aaa")</f>
        <v/>
      </c>
      <c r="D570" s="39" t="inlineStr">
        <is>
          <t>네이버 파워링크</t>
        </is>
      </c>
      <c r="K570" s="39" t="n">
        <v>0</v>
      </c>
    </row>
    <row r="571">
      <c r="B571" s="51">
        <f>B570+1</f>
        <v/>
      </c>
      <c r="C571" s="39">
        <f>TEXT(B571,"aaa")</f>
        <v/>
      </c>
      <c r="D571" s="39" t="inlineStr">
        <is>
          <t>네이버 파워링크</t>
        </is>
      </c>
      <c r="K571" s="39" t="n">
        <v>0</v>
      </c>
    </row>
    <row r="572">
      <c r="B572" s="51">
        <f>B571+1</f>
        <v/>
      </c>
      <c r="C572" s="39">
        <f>TEXT(B572,"aaa")</f>
        <v/>
      </c>
      <c r="D572" s="39" t="inlineStr">
        <is>
          <t>네이버 파워링크</t>
        </is>
      </c>
      <c r="K572" s="39" t="n">
        <v>210</v>
      </c>
    </row>
    <row r="573">
      <c r="B573" s="51">
        <f>B572+1</f>
        <v/>
      </c>
      <c r="C573" s="39">
        <f>TEXT(B573,"aaa")</f>
        <v/>
      </c>
      <c r="D573" s="39" t="inlineStr">
        <is>
          <t>네이버 파워링크</t>
        </is>
      </c>
      <c r="K573" s="39" t="n">
        <v>70</v>
      </c>
    </row>
    <row r="574">
      <c r="B574" s="51">
        <f>B573+1</f>
        <v/>
      </c>
      <c r="C574" s="39">
        <f>TEXT(B574,"aaa")</f>
        <v/>
      </c>
      <c r="D574" s="39" t="inlineStr">
        <is>
          <t>네이버 파워링크</t>
        </is>
      </c>
      <c r="K574" s="39" t="n">
        <v>70</v>
      </c>
    </row>
    <row r="575">
      <c r="B575" s="51">
        <f>B574+1</f>
        <v/>
      </c>
      <c r="C575" s="39">
        <f>TEXT(B575,"aaa")</f>
        <v/>
      </c>
      <c r="D575" s="39" t="inlineStr">
        <is>
          <t>네이버 파워링크</t>
        </is>
      </c>
      <c r="K575" s="39" t="n">
        <v>0</v>
      </c>
    </row>
    <row r="576">
      <c r="B576" s="51">
        <f>B575+1</f>
        <v/>
      </c>
      <c r="C576" s="39">
        <f>TEXT(B576,"aaa")</f>
        <v/>
      </c>
      <c r="D576" s="39" t="inlineStr">
        <is>
          <t>네이버 파워링크</t>
        </is>
      </c>
      <c r="K576" s="39" t="n">
        <v>70</v>
      </c>
    </row>
    <row r="577">
      <c r="B577" s="51">
        <f>B576+1</f>
        <v/>
      </c>
      <c r="C577" s="39">
        <f>TEXT(B577,"aaa")</f>
        <v/>
      </c>
      <c r="D577" s="39" t="inlineStr">
        <is>
          <t>네이버 파워링크</t>
        </is>
      </c>
      <c r="K577" s="39" t="n">
        <v>0</v>
      </c>
    </row>
    <row r="578">
      <c r="B578" s="51">
        <f>B577+1</f>
        <v/>
      </c>
      <c r="C578" s="39">
        <f>TEXT(B578,"aaa")</f>
        <v/>
      </c>
      <c r="D578" s="39" t="inlineStr">
        <is>
          <t>네이버 파워링크</t>
        </is>
      </c>
      <c r="K578" s="39" t="n">
        <v>70</v>
      </c>
    </row>
    <row r="579">
      <c r="B579" s="51">
        <f>B578+1</f>
        <v/>
      </c>
      <c r="C579" s="39">
        <f>TEXT(B579,"aaa")</f>
        <v/>
      </c>
      <c r="D579" s="39" t="inlineStr">
        <is>
          <t>네이버 파워링크</t>
        </is>
      </c>
      <c r="K579" s="39" t="n">
        <v>0</v>
      </c>
    </row>
    <row r="580">
      <c r="B580" s="51">
        <f>B579+1</f>
        <v/>
      </c>
      <c r="C580" s="39">
        <f>TEXT(B580,"aaa")</f>
        <v/>
      </c>
      <c r="D580" s="39" t="inlineStr">
        <is>
          <t>네이버 파워링크</t>
        </is>
      </c>
      <c r="K580" s="39" t="n">
        <v>0</v>
      </c>
    </row>
    <row r="581">
      <c r="B581" s="51">
        <f>B580+1</f>
        <v/>
      </c>
      <c r="C581" s="39">
        <f>TEXT(B581,"aaa")</f>
        <v/>
      </c>
      <c r="D581" s="39" t="inlineStr">
        <is>
          <t>네이버 파워링크</t>
        </is>
      </c>
      <c r="K581" s="39" t="n">
        <v>0</v>
      </c>
    </row>
    <row r="582">
      <c r="B582" s="51">
        <f>B581+1</f>
        <v/>
      </c>
      <c r="C582" s="39">
        <f>TEXT(B582,"aaa")</f>
        <v/>
      </c>
      <c r="D582" s="39" t="inlineStr">
        <is>
          <t>네이버 파워링크</t>
        </is>
      </c>
      <c r="K582" s="39" t="n">
        <v>210</v>
      </c>
    </row>
    <row r="583">
      <c r="B583" s="51">
        <f>B582+1</f>
        <v/>
      </c>
      <c r="C583" s="39">
        <f>TEXT(B583,"aaa")</f>
        <v/>
      </c>
      <c r="D583" s="39" t="inlineStr">
        <is>
          <t>네이버 파워링크</t>
        </is>
      </c>
      <c r="K583" s="39" t="n">
        <v>70</v>
      </c>
    </row>
    <row r="584">
      <c r="B584" s="51">
        <f>B583+1</f>
        <v/>
      </c>
      <c r="C584" s="39">
        <f>TEXT(B584,"aaa")</f>
        <v/>
      </c>
      <c r="D584" s="39" t="inlineStr">
        <is>
          <t>네이버 파워링크</t>
        </is>
      </c>
      <c r="K584" s="39" t="n">
        <v>70</v>
      </c>
    </row>
    <row r="585">
      <c r="B585" s="51">
        <f>B584+1</f>
        <v/>
      </c>
      <c r="C585" s="39">
        <f>TEXT(B585,"aaa")</f>
        <v/>
      </c>
      <c r="D585" s="39" t="inlineStr">
        <is>
          <t>네이버 파워링크</t>
        </is>
      </c>
      <c r="K585" s="39" t="n">
        <v>0</v>
      </c>
    </row>
    <row r="586">
      <c r="B586" s="51">
        <f>B585+1</f>
        <v/>
      </c>
      <c r="C586" s="39">
        <f>TEXT(B586,"aaa")</f>
        <v/>
      </c>
      <c r="D586" s="39" t="inlineStr">
        <is>
          <t>네이버 파워링크</t>
        </is>
      </c>
      <c r="K586" s="39" t="n">
        <v>210</v>
      </c>
    </row>
    <row r="587">
      <c r="B587" s="51">
        <f>B586+1</f>
        <v/>
      </c>
      <c r="C587" s="39">
        <f>TEXT(B587,"aaa")</f>
        <v/>
      </c>
      <c r="D587" s="39" t="inlineStr">
        <is>
          <t>네이버 파워링크</t>
        </is>
      </c>
      <c r="K587" s="39" t="n">
        <v>70</v>
      </c>
    </row>
    <row r="588">
      <c r="B588" s="51">
        <f>B587+1</f>
        <v/>
      </c>
      <c r="C588" s="39">
        <f>TEXT(B588,"aaa")</f>
        <v/>
      </c>
      <c r="D588" s="39" t="inlineStr">
        <is>
          <t>네이버 파워링크</t>
        </is>
      </c>
      <c r="K588" s="39" t="n">
        <v>70</v>
      </c>
    </row>
    <row r="589">
      <c r="B589" s="51">
        <f>B588+1</f>
        <v/>
      </c>
      <c r="C589" s="39">
        <f>TEXT(B589,"aaa")</f>
        <v/>
      </c>
      <c r="D589" s="39" t="inlineStr">
        <is>
          <t>네이버 파워링크</t>
        </is>
      </c>
      <c r="K589" s="39" t="n">
        <v>0</v>
      </c>
    </row>
    <row r="590">
      <c r="B590" s="51">
        <f>B589+1</f>
        <v/>
      </c>
      <c r="C590" s="39">
        <f>TEXT(B590,"aaa")</f>
        <v/>
      </c>
      <c r="D590" s="39" t="inlineStr">
        <is>
          <t>네이버 파워링크</t>
        </is>
      </c>
      <c r="K590" s="39" t="n">
        <v>140</v>
      </c>
    </row>
    <row r="591">
      <c r="B591" s="51">
        <f>B590+1</f>
        <v/>
      </c>
      <c r="C591" s="39">
        <f>TEXT(B591,"aaa")</f>
        <v/>
      </c>
      <c r="D591" s="39" t="inlineStr">
        <is>
          <t>네이버 파워링크</t>
        </is>
      </c>
      <c r="K591" s="39" t="n">
        <v>70</v>
      </c>
    </row>
    <row r="592">
      <c r="B592" s="51">
        <f>B591+1</f>
        <v/>
      </c>
      <c r="C592" s="39">
        <f>TEXT(B592,"aaa")</f>
        <v/>
      </c>
      <c r="D592" s="39" t="inlineStr">
        <is>
          <t>네이버 파워링크</t>
        </is>
      </c>
      <c r="K592" s="39" t="n">
        <v>0</v>
      </c>
    </row>
    <row r="593">
      <c r="B593" s="51">
        <f>B592+1</f>
        <v/>
      </c>
      <c r="C593" s="39">
        <f>TEXT(B593,"aaa")</f>
        <v/>
      </c>
      <c r="D593" s="39" t="inlineStr">
        <is>
          <t>네이버 파워링크</t>
        </is>
      </c>
      <c r="K593" s="39" t="n">
        <v>0</v>
      </c>
    </row>
    <row r="594">
      <c r="B594" s="51">
        <f>B593+1</f>
        <v/>
      </c>
      <c r="C594" s="39">
        <f>TEXT(B594,"aaa")</f>
        <v/>
      </c>
      <c r="D594" s="39" t="inlineStr">
        <is>
          <t>네이버 파워링크</t>
        </is>
      </c>
      <c r="K594" s="39" t="n">
        <v>70</v>
      </c>
    </row>
    <row r="595">
      <c r="B595" s="51">
        <f>B594+1</f>
        <v/>
      </c>
      <c r="C595" s="39">
        <f>TEXT(B595,"aaa")</f>
        <v/>
      </c>
      <c r="D595" s="39" t="inlineStr">
        <is>
          <t>네이버 파워링크</t>
        </is>
      </c>
      <c r="K595" s="39" t="n">
        <v>70</v>
      </c>
    </row>
    <row r="596">
      <c r="B596" s="51">
        <f>B595+1</f>
        <v/>
      </c>
      <c r="C596" s="39">
        <f>TEXT(B596,"aaa")</f>
        <v/>
      </c>
      <c r="D596" s="39" t="inlineStr">
        <is>
          <t>네이버 파워링크</t>
        </is>
      </c>
      <c r="K596" s="39" t="n">
        <v>0</v>
      </c>
    </row>
    <row r="597">
      <c r="B597" s="51">
        <f>B596+1</f>
        <v/>
      </c>
      <c r="C597" s="39">
        <f>TEXT(B597,"aaa")</f>
        <v/>
      </c>
      <c r="D597" s="39" t="inlineStr">
        <is>
          <t>네이버 파워링크</t>
        </is>
      </c>
      <c r="K597" s="39" t="n">
        <v>140</v>
      </c>
    </row>
    <row r="598">
      <c r="B598" s="51">
        <f>B597+1</f>
        <v/>
      </c>
      <c r="C598" s="39">
        <f>TEXT(B598,"aaa")</f>
        <v/>
      </c>
      <c r="D598" s="39" t="inlineStr">
        <is>
          <t>네이버 파워링크</t>
        </is>
      </c>
      <c r="K598" s="39" t="n">
        <v>140</v>
      </c>
    </row>
    <row r="599">
      <c r="B599" s="51">
        <f>B598+1</f>
        <v/>
      </c>
      <c r="C599" s="39">
        <f>TEXT(B599,"aaa")</f>
        <v/>
      </c>
      <c r="D599" s="39" t="inlineStr">
        <is>
          <t>네이버 파워링크</t>
        </is>
      </c>
      <c r="K599" s="39" t="n">
        <v>0</v>
      </c>
    </row>
    <row r="600">
      <c r="B600" s="51">
        <f>B599+1</f>
        <v/>
      </c>
      <c r="C600" s="39">
        <f>TEXT(B600,"aaa")</f>
        <v/>
      </c>
      <c r="D600" s="39" t="inlineStr">
        <is>
          <t>네이버 파워링크</t>
        </is>
      </c>
      <c r="K600" s="39" t="n">
        <v>70</v>
      </c>
    </row>
    <row r="601">
      <c r="B601" s="51">
        <f>B600+1</f>
        <v/>
      </c>
      <c r="C601" s="39">
        <f>TEXT(B601,"aaa")</f>
        <v/>
      </c>
      <c r="D601" s="39" t="inlineStr">
        <is>
          <t>네이버 파워링크</t>
        </is>
      </c>
      <c r="K601" s="39" t="n">
        <v>0</v>
      </c>
    </row>
    <row r="602">
      <c r="B602" s="51">
        <f>B601+1</f>
        <v/>
      </c>
      <c r="C602" s="39">
        <f>TEXT(B602,"aaa")</f>
        <v/>
      </c>
      <c r="D602" s="39" t="inlineStr">
        <is>
          <t>네이버 파워링크</t>
        </is>
      </c>
      <c r="K602" s="39" t="n">
        <v>70</v>
      </c>
    </row>
    <row r="603">
      <c r="B603" s="51">
        <f>B602+1</f>
        <v/>
      </c>
      <c r="C603" s="39">
        <f>TEXT(B603,"aaa")</f>
        <v/>
      </c>
      <c r="D603" s="39" t="inlineStr">
        <is>
          <t>네이버 파워링크</t>
        </is>
      </c>
      <c r="K603" s="39" t="n">
        <v>70</v>
      </c>
    </row>
    <row r="604">
      <c r="B604" s="51">
        <f>B603+1</f>
        <v/>
      </c>
      <c r="C604" s="39">
        <f>TEXT(B604,"aaa")</f>
        <v/>
      </c>
      <c r="D604" s="39" t="inlineStr">
        <is>
          <t>네이버 파워링크</t>
        </is>
      </c>
      <c r="K604" s="39" t="n">
        <v>140</v>
      </c>
    </row>
    <row r="605">
      <c r="B605" s="51">
        <f>B604+1</f>
        <v/>
      </c>
      <c r="C605" s="39">
        <f>TEXT(B605,"aaa")</f>
        <v/>
      </c>
      <c r="D605" s="39" t="inlineStr">
        <is>
          <t>네이버 파워링크</t>
        </is>
      </c>
      <c r="K605" s="39" t="n">
        <v>70</v>
      </c>
    </row>
    <row r="606">
      <c r="B606" s="51">
        <f>B605+1</f>
        <v/>
      </c>
      <c r="C606" s="39">
        <f>TEXT(B606,"aaa")</f>
        <v/>
      </c>
      <c r="D606" s="39" t="inlineStr">
        <is>
          <t>네이버 파워링크</t>
        </is>
      </c>
      <c r="K606" s="39" t="n">
        <v>70</v>
      </c>
    </row>
    <row r="607">
      <c r="B607" s="51">
        <f>B606+1</f>
        <v/>
      </c>
      <c r="C607" s="39">
        <f>TEXT(B607,"aaa")</f>
        <v/>
      </c>
      <c r="D607" s="39" t="inlineStr">
        <is>
          <t>네이버 파워링크</t>
        </is>
      </c>
      <c r="K607" s="39" t="n">
        <v>70</v>
      </c>
    </row>
    <row r="608">
      <c r="B608" s="51">
        <f>B607+1</f>
        <v/>
      </c>
      <c r="C608" s="39">
        <f>TEXT(B608,"aaa")</f>
        <v/>
      </c>
      <c r="D608" s="39" t="inlineStr">
        <is>
          <t>네이버 파워링크</t>
        </is>
      </c>
      <c r="K608" s="39" t="n">
        <v>140</v>
      </c>
    </row>
    <row r="609">
      <c r="B609" s="51">
        <f>B608+1</f>
        <v/>
      </c>
      <c r="C609" s="39">
        <f>TEXT(B609,"aaa")</f>
        <v/>
      </c>
      <c r="D609" s="39" t="inlineStr">
        <is>
          <t>네이버 파워링크</t>
        </is>
      </c>
      <c r="K609" s="39" t="n">
        <v>0</v>
      </c>
    </row>
    <row r="610">
      <c r="B610" s="51">
        <f>B609+1</f>
        <v/>
      </c>
      <c r="C610" s="39">
        <f>TEXT(B610,"aaa")</f>
        <v/>
      </c>
      <c r="D610" s="39" t="inlineStr">
        <is>
          <t>네이버 파워링크</t>
        </is>
      </c>
      <c r="K610" s="39" t="n">
        <v>0</v>
      </c>
    </row>
    <row r="611">
      <c r="B611" s="51">
        <f>B610+1</f>
        <v/>
      </c>
      <c r="C611" s="39">
        <f>TEXT(B611,"aaa")</f>
        <v/>
      </c>
      <c r="D611" s="39" t="inlineStr">
        <is>
          <t>네이버 파워링크</t>
        </is>
      </c>
      <c r="K611" s="39" t="n">
        <v>70</v>
      </c>
    </row>
    <row r="612">
      <c r="B612" s="51">
        <f>B611+1</f>
        <v/>
      </c>
      <c r="C612" s="39">
        <f>TEXT(B612,"aaa")</f>
        <v/>
      </c>
      <c r="D612" s="39" t="inlineStr">
        <is>
          <t>네이버 파워링크</t>
        </is>
      </c>
      <c r="K612" s="39" t="n">
        <v>0</v>
      </c>
    </row>
    <row r="613">
      <c r="B613" s="51">
        <f>B612+1</f>
        <v/>
      </c>
      <c r="C613" s="39">
        <f>TEXT(B613,"aaa")</f>
        <v/>
      </c>
      <c r="D613" s="39" t="inlineStr">
        <is>
          <t>네이버 파워링크</t>
        </is>
      </c>
      <c r="K613" s="39" t="n">
        <v>140</v>
      </c>
    </row>
    <row r="614">
      <c r="B614" s="51">
        <f>B613+1</f>
        <v/>
      </c>
      <c r="C614" s="39">
        <f>TEXT(B614,"aaa")</f>
        <v/>
      </c>
      <c r="D614" s="39" t="inlineStr">
        <is>
          <t>네이버 파워링크</t>
        </is>
      </c>
      <c r="K614" s="39" t="n">
        <v>0</v>
      </c>
    </row>
    <row r="615">
      <c r="B615" s="51">
        <f>B614+1</f>
        <v/>
      </c>
      <c r="C615" s="39">
        <f>TEXT(B615,"aaa")</f>
        <v/>
      </c>
      <c r="D615" s="39" t="inlineStr">
        <is>
          <t>네이버 파워링크</t>
        </is>
      </c>
      <c r="K615" s="39" t="n">
        <v>140</v>
      </c>
    </row>
    <row r="616">
      <c r="B616" s="51">
        <f>B615+1</f>
        <v/>
      </c>
      <c r="C616" s="39">
        <f>TEXT(B616,"aaa")</f>
        <v/>
      </c>
      <c r="D616" s="39" t="inlineStr">
        <is>
          <t>네이버 파워링크</t>
        </is>
      </c>
      <c r="K616" s="39" t="n">
        <v>0</v>
      </c>
    </row>
    <row r="617">
      <c r="B617" s="51">
        <f>B616+1</f>
        <v/>
      </c>
      <c r="C617" s="39">
        <f>TEXT(B617,"aaa")</f>
        <v/>
      </c>
      <c r="D617" s="39" t="inlineStr">
        <is>
          <t>네이버 파워링크</t>
        </is>
      </c>
      <c r="K617" s="39" t="n">
        <v>0</v>
      </c>
    </row>
    <row r="618">
      <c r="B618" s="51">
        <f>B617+1</f>
        <v/>
      </c>
      <c r="C618" s="39">
        <f>TEXT(B618,"aaa")</f>
        <v/>
      </c>
      <c r="D618" s="39" t="inlineStr">
        <is>
          <t>네이버 파워링크</t>
        </is>
      </c>
      <c r="K618" s="39" t="n">
        <v>140</v>
      </c>
    </row>
    <row r="619">
      <c r="B619" s="51">
        <f>B618+1</f>
        <v/>
      </c>
      <c r="C619" s="39">
        <f>TEXT(B619,"aaa")</f>
        <v/>
      </c>
      <c r="D619" s="39" t="inlineStr">
        <is>
          <t>네이버 파워링크</t>
        </is>
      </c>
      <c r="K619" s="39" t="n">
        <v>3690</v>
      </c>
    </row>
    <row r="620">
      <c r="B620" s="51">
        <f>B619+1</f>
        <v/>
      </c>
      <c r="C620" s="39">
        <f>TEXT(B620,"aaa")</f>
        <v/>
      </c>
      <c r="D620" s="39" t="inlineStr">
        <is>
          <t>네이버 파워링크</t>
        </is>
      </c>
      <c r="K620" s="39" t="n">
        <v>13340</v>
      </c>
    </row>
    <row r="621">
      <c r="B621" s="51">
        <f>B620+1</f>
        <v/>
      </c>
      <c r="C621" s="39">
        <f>TEXT(B621,"aaa")</f>
        <v/>
      </c>
      <c r="D621" s="39" t="inlineStr">
        <is>
          <t>네이버 파워링크</t>
        </is>
      </c>
      <c r="K621" s="39" t="n">
        <v>740</v>
      </c>
    </row>
    <row r="622">
      <c r="B622" s="51">
        <f>B621+1</f>
        <v/>
      </c>
      <c r="C622" s="39">
        <f>TEXT(B622,"aaa")</f>
        <v/>
      </c>
      <c r="D622" s="39" t="inlineStr">
        <is>
          <t>네이버 파워링크</t>
        </is>
      </c>
      <c r="K622" s="39" t="n">
        <v>0</v>
      </c>
    </row>
    <row r="623">
      <c r="B623" s="51">
        <f>B622+1</f>
        <v/>
      </c>
      <c r="C623" s="39">
        <f>TEXT(B623,"aaa")</f>
        <v/>
      </c>
      <c r="D623" s="39" t="inlineStr">
        <is>
          <t>네이버 파워링크</t>
        </is>
      </c>
      <c r="K623" s="39" t="n">
        <v>0</v>
      </c>
    </row>
    <row r="624">
      <c r="B624" s="51">
        <f>B623+1</f>
        <v/>
      </c>
      <c r="C624" s="39">
        <f>TEXT(B624,"aaa")</f>
        <v/>
      </c>
      <c r="D624" s="39" t="inlineStr">
        <is>
          <t>네이버 파워링크</t>
        </is>
      </c>
      <c r="K624" s="39" t="n">
        <v>0</v>
      </c>
    </row>
    <row r="625">
      <c r="B625" s="51">
        <f>B624+1</f>
        <v/>
      </c>
      <c r="C625" s="39">
        <f>TEXT(B625,"aaa")</f>
        <v/>
      </c>
      <c r="D625" s="39" t="inlineStr">
        <is>
          <t>네이버 파워링크</t>
        </is>
      </c>
      <c r="K625" s="39" t="n">
        <v>0</v>
      </c>
    </row>
    <row r="626">
      <c r="B626" s="51">
        <f>B625+1</f>
        <v/>
      </c>
      <c r="C626" s="39">
        <f>TEXT(B626,"aaa")</f>
        <v/>
      </c>
      <c r="D626" s="39" t="inlineStr">
        <is>
          <t>네이버 파워링크</t>
        </is>
      </c>
      <c r="K626" s="39" t="n">
        <v>0</v>
      </c>
    </row>
    <row r="627">
      <c r="B627" s="51">
        <f>B626+1</f>
        <v/>
      </c>
      <c r="C627" s="39">
        <f>TEXT(B627,"aaa")</f>
        <v/>
      </c>
      <c r="D627" s="39" t="inlineStr">
        <is>
          <t>네이버 파워링크</t>
        </is>
      </c>
      <c r="K627" s="39" t="n">
        <v>0</v>
      </c>
    </row>
    <row r="628">
      <c r="B628" s="51">
        <f>B627+1</f>
        <v/>
      </c>
      <c r="C628" s="39">
        <f>TEXT(B628,"aaa")</f>
        <v/>
      </c>
      <c r="D628" s="39" t="inlineStr">
        <is>
          <t>네이버 파워링크</t>
        </is>
      </c>
      <c r="K628" s="39" t="n">
        <v>0</v>
      </c>
    </row>
    <row r="629">
      <c r="B629" s="51">
        <f>B628+1</f>
        <v/>
      </c>
      <c r="C629" s="39">
        <f>TEXT(B629,"aaa")</f>
        <v/>
      </c>
      <c r="D629" s="39" t="inlineStr">
        <is>
          <t>네이버 파워링크</t>
        </is>
      </c>
      <c r="K629" s="39" t="n">
        <v>4930</v>
      </c>
    </row>
    <row r="630">
      <c r="B630" s="51">
        <f>B629+1</f>
        <v/>
      </c>
      <c r="C630" s="39">
        <f>TEXT(B630,"aaa")</f>
        <v/>
      </c>
      <c r="D630" s="39" t="inlineStr">
        <is>
          <t>네이버 파워링크</t>
        </is>
      </c>
      <c r="K630" s="39" t="n">
        <v>17470</v>
      </c>
    </row>
    <row r="631">
      <c r="B631" s="51">
        <f>B630+1</f>
        <v/>
      </c>
      <c r="C631" s="39">
        <f>TEXT(B631,"aaa")</f>
        <v/>
      </c>
      <c r="D631" s="39" t="inlineStr">
        <is>
          <t>네이버 파워링크</t>
        </is>
      </c>
      <c r="K631" s="39" t="n">
        <v>11880</v>
      </c>
    </row>
    <row r="632">
      <c r="B632" s="51">
        <f>B631+1</f>
        <v/>
      </c>
      <c r="C632" s="39">
        <f>TEXT(B632,"aaa")</f>
        <v/>
      </c>
      <c r="D632" s="39" t="inlineStr">
        <is>
          <t>네이버 파워링크</t>
        </is>
      </c>
      <c r="K632" s="39" t="n">
        <v>11040</v>
      </c>
    </row>
    <row r="633">
      <c r="B633" s="51">
        <f>B632+1</f>
        <v/>
      </c>
      <c r="C633" s="39">
        <f>TEXT(B633,"aaa")</f>
        <v/>
      </c>
      <c r="D633" s="39" t="inlineStr">
        <is>
          <t>네이버 파워링크</t>
        </is>
      </c>
      <c r="K633" s="39" t="n">
        <v>9410</v>
      </c>
    </row>
    <row r="634">
      <c r="B634" s="51">
        <f>B633+1</f>
        <v/>
      </c>
      <c r="C634" s="39">
        <f>TEXT(B634,"aaa")</f>
        <v/>
      </c>
      <c r="D634" s="39" t="inlineStr">
        <is>
          <t>네이버 파워링크</t>
        </is>
      </c>
      <c r="K634" s="39" t="n">
        <v>16380</v>
      </c>
    </row>
    <row r="635">
      <c r="B635" s="51">
        <f>B634+1</f>
        <v/>
      </c>
      <c r="C635" s="39">
        <f>TEXT(B635,"aaa")</f>
        <v/>
      </c>
      <c r="D635" s="39" t="inlineStr">
        <is>
          <t>네이버 파워링크</t>
        </is>
      </c>
      <c r="K635" s="39" t="n">
        <v>9130</v>
      </c>
    </row>
    <row r="636">
      <c r="B636" s="51">
        <f>B635+1</f>
        <v/>
      </c>
      <c r="C636" s="39">
        <f>TEXT(B636,"aaa")</f>
        <v/>
      </c>
      <c r="D636" s="39" t="inlineStr">
        <is>
          <t>네이버 파워링크</t>
        </is>
      </c>
      <c r="K636" s="39" t="n">
        <v>19310</v>
      </c>
    </row>
    <row r="637">
      <c r="B637" s="51">
        <f>B636+1</f>
        <v/>
      </c>
      <c r="C637" s="39">
        <f>TEXT(B637,"aaa")</f>
        <v/>
      </c>
      <c r="D637" s="39" t="inlineStr">
        <is>
          <t>네이버 파워링크</t>
        </is>
      </c>
      <c r="K637" s="39" t="n">
        <v>38670</v>
      </c>
    </row>
    <row r="638">
      <c r="B638" s="51">
        <f>B637+1</f>
        <v/>
      </c>
      <c r="C638" s="39">
        <f>TEXT(B638,"aaa")</f>
        <v/>
      </c>
      <c r="D638" s="39" t="inlineStr">
        <is>
          <t>네이버 파워링크</t>
        </is>
      </c>
      <c r="K638" s="39" t="n">
        <v>45680</v>
      </c>
    </row>
    <row r="639">
      <c r="B639" s="51">
        <f>B638+1</f>
        <v/>
      </c>
      <c r="C639" s="39">
        <f>TEXT(B639,"aaa")</f>
        <v/>
      </c>
      <c r="D639" s="39" t="inlineStr">
        <is>
          <t>네이버 파워링크</t>
        </is>
      </c>
      <c r="K639" s="39" t="n">
        <v>48380</v>
      </c>
    </row>
    <row r="640">
      <c r="B640" s="51">
        <f>B639+1</f>
        <v/>
      </c>
      <c r="C640" s="39">
        <f>TEXT(B640,"aaa")</f>
        <v/>
      </c>
      <c r="D640" s="39" t="inlineStr">
        <is>
          <t>네이버 파워링크</t>
        </is>
      </c>
      <c r="K640" s="39" t="n">
        <v>61550</v>
      </c>
    </row>
    <row r="641">
      <c r="B641" s="51">
        <f>B640+1</f>
        <v/>
      </c>
      <c r="C641" s="39">
        <f>TEXT(B641,"aaa")</f>
        <v/>
      </c>
      <c r="D641" s="39" t="inlineStr">
        <is>
          <t>네이버 파워링크</t>
        </is>
      </c>
      <c r="K641" s="39" t="n">
        <v>63190</v>
      </c>
    </row>
    <row r="642">
      <c r="B642" s="51">
        <f>B641+1</f>
        <v/>
      </c>
      <c r="C642" s="39">
        <f>TEXT(B642,"aaa")</f>
        <v/>
      </c>
      <c r="D642" s="39" t="inlineStr">
        <is>
          <t>네이버 파워링크</t>
        </is>
      </c>
      <c r="K642" s="39" t="n">
        <v>31360</v>
      </c>
    </row>
    <row r="643">
      <c r="B643" s="51">
        <f>B642+1</f>
        <v/>
      </c>
      <c r="C643" s="39">
        <f>TEXT(B643,"aaa")</f>
        <v/>
      </c>
      <c r="D643" s="39" t="inlineStr">
        <is>
          <t>네이버 파워링크</t>
        </is>
      </c>
      <c r="K643" s="39" t="n">
        <v>5890</v>
      </c>
    </row>
    <row r="644">
      <c r="B644" s="51">
        <f>B643+1</f>
        <v/>
      </c>
      <c r="C644" s="39">
        <f>TEXT(B644,"aaa")</f>
        <v/>
      </c>
      <c r="D644" s="39" t="inlineStr">
        <is>
          <t>네이버 파워링크</t>
        </is>
      </c>
      <c r="K644" s="39">
        <f>4367/1.1</f>
        <v/>
      </c>
    </row>
    <row r="645">
      <c r="B645" s="51">
        <f>B644+1</f>
        <v/>
      </c>
      <c r="C645" s="39">
        <f>TEXT(B645,"aaa")</f>
        <v/>
      </c>
      <c r="D645" s="39" t="inlineStr">
        <is>
          <t>네이버 파워링크</t>
        </is>
      </c>
      <c r="K645" s="39">
        <f>8184/1.1</f>
        <v/>
      </c>
    </row>
    <row r="646">
      <c r="B646" s="51">
        <f>B645+1</f>
        <v/>
      </c>
      <c r="C646" s="39">
        <f>TEXT(B646,"aaa")</f>
        <v/>
      </c>
      <c r="D646" s="39" t="inlineStr">
        <is>
          <t>네이버 파워링크</t>
        </is>
      </c>
      <c r="K646" s="39">
        <f>5852/1.1</f>
        <v/>
      </c>
    </row>
    <row r="647">
      <c r="B647" s="51">
        <f>B646+1</f>
        <v/>
      </c>
      <c r="C647" s="39">
        <f>TEXT(B647,"aaa")</f>
        <v/>
      </c>
      <c r="D647" s="39" t="inlineStr">
        <is>
          <t>네이버 파워링크</t>
        </is>
      </c>
      <c r="K647" s="39">
        <f>8910/1.1</f>
        <v/>
      </c>
    </row>
    <row r="648">
      <c r="B648" s="51">
        <f>B647+1</f>
        <v/>
      </c>
      <c r="C648" s="39">
        <f>TEXT(B648,"aaa")</f>
        <v/>
      </c>
      <c r="D648" s="39" t="inlineStr">
        <is>
          <t>네이버 파워링크</t>
        </is>
      </c>
      <c r="K648" s="39">
        <f>10142/1.1</f>
        <v/>
      </c>
    </row>
    <row r="649">
      <c r="B649" s="51">
        <f>B648+1</f>
        <v/>
      </c>
      <c r="C649" s="39">
        <f>TEXT(B649,"aaa")</f>
        <v/>
      </c>
      <c r="D649" s="39" t="inlineStr">
        <is>
          <t>네이버 파워링크</t>
        </is>
      </c>
      <c r="K649" s="39">
        <f>4631/1.1</f>
        <v/>
      </c>
    </row>
    <row r="650">
      <c r="B650" s="51">
        <f>B649+1</f>
        <v/>
      </c>
      <c r="C650" s="39">
        <f>TEXT(B650,"aaa")</f>
        <v/>
      </c>
      <c r="D650" s="39" t="inlineStr">
        <is>
          <t>네이버 파워링크</t>
        </is>
      </c>
      <c r="K650" s="39">
        <f>7810/1.1</f>
        <v/>
      </c>
    </row>
    <row r="651">
      <c r="B651" s="51">
        <f>B650+1</f>
        <v/>
      </c>
      <c r="C651" s="39">
        <f>TEXT(B651,"aaa")</f>
        <v/>
      </c>
      <c r="D651" s="39" t="inlineStr">
        <is>
          <t>네이버 파워링크</t>
        </is>
      </c>
      <c r="K651" s="39">
        <f>2475/1.1</f>
        <v/>
      </c>
    </row>
    <row r="652">
      <c r="B652" s="51">
        <f>B651+1</f>
        <v/>
      </c>
      <c r="C652" s="39">
        <f>TEXT(B652,"aaa")</f>
        <v/>
      </c>
      <c r="D652" s="39" t="inlineStr">
        <is>
          <t>네이버 파워링크</t>
        </is>
      </c>
      <c r="K652" s="39">
        <f>10219/1.1</f>
        <v/>
      </c>
    </row>
    <row r="653">
      <c r="B653" s="51">
        <f>B652+1</f>
        <v/>
      </c>
      <c r="C653" s="39">
        <f>TEXT(B653,"aaa")</f>
        <v/>
      </c>
      <c r="D653" s="39" t="inlineStr">
        <is>
          <t>네이버 파워링크</t>
        </is>
      </c>
      <c r="K653" s="39">
        <f>2783/1.1</f>
        <v/>
      </c>
    </row>
    <row r="654">
      <c r="B654" s="51">
        <f>B653+1</f>
        <v/>
      </c>
      <c r="C654" s="39">
        <f>TEXT(B654,"aaa")</f>
        <v/>
      </c>
      <c r="D654" s="39" t="inlineStr">
        <is>
          <t>네이버 파워링크</t>
        </is>
      </c>
      <c r="K654" s="39">
        <f>4488/1.1</f>
        <v/>
      </c>
    </row>
    <row r="655">
      <c r="B655" s="51">
        <f>B654+1</f>
        <v/>
      </c>
      <c r="C655" s="39">
        <f>TEXT(B655,"aaa")</f>
        <v/>
      </c>
      <c r="D655" s="39" t="inlineStr">
        <is>
          <t>네이버 파워링크</t>
        </is>
      </c>
      <c r="K655" s="39">
        <f>4411/1.1</f>
        <v/>
      </c>
    </row>
    <row r="656">
      <c r="B656" s="51">
        <f>B655+1</f>
        <v/>
      </c>
      <c r="C656" s="39">
        <f>TEXT(B656,"aaa")</f>
        <v/>
      </c>
      <c r="D656" s="39" t="inlineStr">
        <is>
          <t>네이버 파워링크</t>
        </is>
      </c>
      <c r="K656" s="39">
        <f>6765/1.1</f>
        <v/>
      </c>
    </row>
    <row r="657">
      <c r="B657" s="51">
        <f>B656+1</f>
        <v/>
      </c>
      <c r="C657" s="39">
        <f>TEXT(B657,"aaa")</f>
        <v/>
      </c>
      <c r="D657" s="39" t="inlineStr">
        <is>
          <t>네이버 파워링크</t>
        </is>
      </c>
      <c r="K657" s="39">
        <f>3157/1.1</f>
        <v/>
      </c>
    </row>
    <row r="658">
      <c r="B658" s="51">
        <f>B657+1</f>
        <v/>
      </c>
      <c r="C658" s="39">
        <f>TEXT(B658,"aaa")</f>
        <v/>
      </c>
      <c r="D658" s="39" t="inlineStr">
        <is>
          <t>네이버 파워링크</t>
        </is>
      </c>
      <c r="K658" s="39">
        <f>9086/1.1</f>
        <v/>
      </c>
    </row>
    <row r="659">
      <c r="B659" s="51">
        <f>B658+1</f>
        <v/>
      </c>
      <c r="C659" s="39">
        <f>TEXT(B659,"aaa")</f>
        <v/>
      </c>
      <c r="D659" s="39" t="inlineStr">
        <is>
          <t>네이버 파워링크</t>
        </is>
      </c>
      <c r="K659" s="39">
        <f>3388/1.1</f>
        <v/>
      </c>
    </row>
    <row r="660">
      <c r="B660" s="51">
        <f>B659+1</f>
        <v/>
      </c>
      <c r="C660" s="39">
        <f>TEXT(B660,"aaa")</f>
        <v/>
      </c>
      <c r="D660" s="39" t="inlineStr">
        <is>
          <t>네이버 파워링크</t>
        </is>
      </c>
      <c r="K660" s="39">
        <f>4411/1.1</f>
        <v/>
      </c>
    </row>
    <row r="661">
      <c r="B661" s="51">
        <f>B660+1</f>
        <v/>
      </c>
      <c r="C661" s="39">
        <f>TEXT(B661,"aaa")</f>
        <v/>
      </c>
      <c r="D661" s="39" t="inlineStr">
        <is>
          <t>네이버 파워링크</t>
        </is>
      </c>
      <c r="K661" s="39">
        <f>7557/1.1</f>
        <v/>
      </c>
    </row>
    <row r="662">
      <c r="B662" s="51">
        <f>B661+1</f>
        <v/>
      </c>
      <c r="C662" s="39">
        <f>TEXT(B662,"aaa")</f>
        <v/>
      </c>
      <c r="D662" s="39" t="inlineStr">
        <is>
          <t>네이버 파워링크</t>
        </is>
      </c>
      <c r="K662" s="39">
        <f>3377/1.1</f>
        <v/>
      </c>
    </row>
    <row r="663">
      <c r="B663" s="51">
        <f>B662+1</f>
        <v/>
      </c>
      <c r="C663" s="39">
        <f>TEXT(B663,"aaa")</f>
        <v/>
      </c>
      <c r="D663" s="39" t="inlineStr">
        <is>
          <t>네이버 파워링크</t>
        </is>
      </c>
      <c r="K663" s="39">
        <f>11803/1.1</f>
        <v/>
      </c>
    </row>
    <row r="664">
      <c r="B664" s="51">
        <f>B663+1</f>
        <v/>
      </c>
      <c r="C664" s="39">
        <f>TEXT(B664,"aaa")</f>
        <v/>
      </c>
      <c r="D664" s="39" t="inlineStr">
        <is>
          <t>네이버 파워링크</t>
        </is>
      </c>
      <c r="K664" s="39">
        <f>4851/1.1</f>
        <v/>
      </c>
    </row>
    <row r="665">
      <c r="B665" s="51">
        <f>B664+1</f>
        <v/>
      </c>
      <c r="C665" s="39">
        <f>TEXT(B665,"aaa")</f>
        <v/>
      </c>
      <c r="D665" s="39" t="inlineStr">
        <is>
          <t>네이버 파워링크</t>
        </is>
      </c>
      <c r="K665" s="39">
        <f>9878/1.1</f>
        <v/>
      </c>
    </row>
    <row r="666">
      <c r="B666" s="51">
        <f>B665+1</f>
        <v/>
      </c>
      <c r="C666" s="39">
        <f>TEXT(B666,"aaa")</f>
        <v/>
      </c>
      <c r="D666" s="39" t="inlineStr">
        <is>
          <t>네이버 파워링크</t>
        </is>
      </c>
      <c r="K666" s="39">
        <f>2585/1.1</f>
        <v/>
      </c>
    </row>
    <row r="667">
      <c r="B667" s="51">
        <f>B666+1</f>
        <v/>
      </c>
      <c r="C667" s="39">
        <f>TEXT(B667,"aaa")</f>
        <v/>
      </c>
      <c r="D667" s="39" t="inlineStr">
        <is>
          <t>네이버 파워링크</t>
        </is>
      </c>
      <c r="K667" s="39">
        <f>6919/1.1</f>
        <v/>
      </c>
    </row>
    <row r="668">
      <c r="B668" s="51">
        <f>B667+1</f>
        <v/>
      </c>
      <c r="C668" s="39">
        <f>TEXT(B668,"aaa")</f>
        <v/>
      </c>
      <c r="D668" s="39" t="inlineStr">
        <is>
          <t>네이버 파워링크</t>
        </is>
      </c>
      <c r="K668" s="39">
        <f>7843/1.1</f>
        <v/>
      </c>
    </row>
    <row r="669">
      <c r="B669" s="51">
        <f>B668+1</f>
        <v/>
      </c>
      <c r="C669" s="39">
        <f>TEXT(B669,"aaa")</f>
        <v/>
      </c>
      <c r="D669" s="39" t="inlineStr">
        <is>
          <t>네이버 파워링크</t>
        </is>
      </c>
      <c r="K669" s="39">
        <f>13167/1.1</f>
        <v/>
      </c>
    </row>
    <row r="670">
      <c r="B670" s="51">
        <f>B669+1</f>
        <v/>
      </c>
      <c r="C670" s="39">
        <f>TEXT(B670,"aaa")</f>
        <v/>
      </c>
      <c r="D670" s="39" t="inlineStr">
        <is>
          <t>네이버 파워링크</t>
        </is>
      </c>
      <c r="K670" s="39">
        <f>8888/1.1</f>
        <v/>
      </c>
    </row>
    <row r="671">
      <c r="B671" s="51">
        <f>B670+1</f>
        <v/>
      </c>
      <c r="C671" s="39">
        <f>TEXT(B671,"aaa")</f>
        <v/>
      </c>
      <c r="D671" s="39" t="inlineStr">
        <is>
          <t>네이버 파워링크</t>
        </is>
      </c>
      <c r="K671" s="39">
        <f>10527/1.1</f>
        <v/>
      </c>
    </row>
    <row r="672">
      <c r="B672" s="51">
        <f>B671+1</f>
        <v/>
      </c>
      <c r="C672" s="39">
        <f>TEXT(B672,"aaa")</f>
        <v/>
      </c>
      <c r="D672" s="39" t="inlineStr">
        <is>
          <t>네이버 파워링크</t>
        </is>
      </c>
      <c r="K672" s="39">
        <f>4862/1.1</f>
        <v/>
      </c>
    </row>
    <row r="673">
      <c r="B673" s="51">
        <f>B672+1</f>
        <v/>
      </c>
      <c r="C673" s="39">
        <f>TEXT(B673,"aaa")</f>
        <v/>
      </c>
      <c r="D673" s="39" t="inlineStr">
        <is>
          <t>네이버 파워링크</t>
        </is>
      </c>
      <c r="K673" s="39">
        <f>6028/1.1</f>
        <v/>
      </c>
    </row>
    <row r="674">
      <c r="B674" s="51">
        <f>B673+1</f>
        <v/>
      </c>
      <c r="C674" s="39">
        <f>TEXT(B674,"aaa")</f>
        <v/>
      </c>
      <c r="D674" s="39" t="inlineStr">
        <is>
          <t>네이버 파워링크</t>
        </is>
      </c>
      <c r="K674" s="39">
        <f>4334/1.1</f>
        <v/>
      </c>
    </row>
    <row r="675">
      <c r="B675" s="51">
        <f>B674+1</f>
        <v/>
      </c>
      <c r="C675" s="39">
        <f>TEXT(B675,"aaa")</f>
        <v/>
      </c>
      <c r="D675" s="39" t="inlineStr">
        <is>
          <t>네이버 파워링크</t>
        </is>
      </c>
      <c r="K675" s="39">
        <f>2552/1.1</f>
        <v/>
      </c>
    </row>
    <row r="676">
      <c r="B676" s="51">
        <f>B675+1</f>
        <v/>
      </c>
      <c r="C676" s="39">
        <f>TEXT(B676,"aaa")</f>
        <v/>
      </c>
      <c r="D676" s="39" t="inlineStr">
        <is>
          <t>네이버 파워링크</t>
        </is>
      </c>
      <c r="K676" s="39">
        <f>9350/1.1</f>
        <v/>
      </c>
    </row>
    <row r="677">
      <c r="B677" s="51">
        <f>B676+1</f>
        <v/>
      </c>
      <c r="C677" s="39">
        <f>TEXT(B677,"aaa")</f>
        <v/>
      </c>
      <c r="D677" s="39" t="inlineStr">
        <is>
          <t>네이버 파워링크</t>
        </is>
      </c>
      <c r="K677" s="39">
        <f>9790/1.1</f>
        <v/>
      </c>
    </row>
    <row r="678">
      <c r="B678" s="51">
        <f>B677+1</f>
        <v/>
      </c>
      <c r="C678" s="39">
        <f>TEXT(B678,"aaa")</f>
        <v/>
      </c>
      <c r="D678" s="39" t="inlineStr">
        <is>
          <t>네이버 파워링크</t>
        </is>
      </c>
      <c r="K678" s="39">
        <f>7689/1.1</f>
        <v/>
      </c>
    </row>
    <row r="679">
      <c r="B679" s="51">
        <f>B678+1</f>
        <v/>
      </c>
      <c r="C679" s="39">
        <f>TEXT(B679,"aaa")</f>
        <v/>
      </c>
      <c r="D679" s="39" t="inlineStr">
        <is>
          <t>네이버 파워링크</t>
        </is>
      </c>
      <c r="K679" s="39">
        <f>9493/1.1</f>
        <v/>
      </c>
    </row>
    <row r="680">
      <c r="B680" s="51">
        <f>B679+1</f>
        <v/>
      </c>
      <c r="C680" s="39">
        <f>TEXT(B680,"aaa")</f>
        <v/>
      </c>
      <c r="D680" s="39" t="inlineStr">
        <is>
          <t>네이버 파워링크</t>
        </is>
      </c>
      <c r="K680" s="39">
        <f>8371/1.1</f>
        <v/>
      </c>
    </row>
    <row r="681">
      <c r="B681" s="51">
        <f>B680+1</f>
        <v/>
      </c>
      <c r="C681" s="39">
        <f>TEXT(B681,"aaa")</f>
        <v/>
      </c>
      <c r="D681" s="39" t="inlineStr">
        <is>
          <t>네이버 파워링크</t>
        </is>
      </c>
      <c r="K681" s="39">
        <f>14509/1.1</f>
        <v/>
      </c>
    </row>
    <row r="682">
      <c r="B682" s="51">
        <f>B681+1</f>
        <v/>
      </c>
      <c r="C682" s="39">
        <f>TEXT(B682,"aaa")</f>
        <v/>
      </c>
      <c r="D682" s="39" t="inlineStr">
        <is>
          <t>네이버 파워링크</t>
        </is>
      </c>
      <c r="K682" s="39">
        <f>12947/1.1</f>
        <v/>
      </c>
    </row>
    <row r="683">
      <c r="B683" s="51">
        <f>B682+1</f>
        <v/>
      </c>
      <c r="C683" s="39">
        <f>TEXT(B683,"aaa")</f>
        <v/>
      </c>
      <c r="D683" s="39" t="inlineStr">
        <is>
          <t>네이버 파워링크</t>
        </is>
      </c>
      <c r="K683" s="39">
        <f>11814/1.1</f>
        <v/>
      </c>
    </row>
    <row r="684">
      <c r="B684" s="51">
        <f>B683+1</f>
        <v/>
      </c>
      <c r="C684" s="39">
        <f>TEXT(B684,"aaa")</f>
        <v/>
      </c>
      <c r="D684" s="39" t="inlineStr">
        <is>
          <t>네이버 파워링크</t>
        </is>
      </c>
      <c r="K684" s="39">
        <f>12067/1.1</f>
        <v/>
      </c>
    </row>
    <row r="685">
      <c r="B685" s="51">
        <f>B684+1</f>
        <v/>
      </c>
      <c r="C685" s="39">
        <f>TEXT(B685,"aaa")</f>
        <v/>
      </c>
      <c r="D685" s="39" t="inlineStr">
        <is>
          <t>네이버 파워링크</t>
        </is>
      </c>
      <c r="K685" s="39">
        <f>9900/1.1</f>
        <v/>
      </c>
    </row>
    <row r="686">
      <c r="B686" s="51">
        <f>B685+1</f>
        <v/>
      </c>
      <c r="C686" s="39">
        <f>TEXT(B686,"aaa")</f>
        <v/>
      </c>
      <c r="D686" s="39" t="inlineStr">
        <is>
          <t>네이버 파워링크</t>
        </is>
      </c>
      <c r="K686" s="39">
        <f>8008/1.1</f>
        <v/>
      </c>
    </row>
    <row r="687">
      <c r="B687" s="51">
        <f>B686+1</f>
        <v/>
      </c>
      <c r="C687" s="39">
        <f>TEXT(B687,"aaa")</f>
        <v/>
      </c>
      <c r="D687" s="39" t="inlineStr">
        <is>
          <t>네이버 파워링크</t>
        </is>
      </c>
      <c r="K687" s="39">
        <f>6237/1.1</f>
        <v/>
      </c>
    </row>
    <row r="688">
      <c r="B688" s="51">
        <f>B687+1</f>
        <v/>
      </c>
      <c r="C688" s="39">
        <f>TEXT(B688,"aaa")</f>
        <v/>
      </c>
      <c r="D688" s="39" t="inlineStr">
        <is>
          <t>네이버 파워링크</t>
        </is>
      </c>
      <c r="K688" s="39">
        <f>1078/1.1</f>
        <v/>
      </c>
    </row>
    <row r="689">
      <c r="B689" s="51">
        <f>B688+1</f>
        <v/>
      </c>
      <c r="C689" s="39">
        <f>TEXT(B689,"aaa")</f>
        <v/>
      </c>
      <c r="D689" s="39" t="inlineStr">
        <is>
          <t>네이버 파워링크</t>
        </is>
      </c>
      <c r="K689" s="39">
        <f>9559/1.1</f>
        <v/>
      </c>
    </row>
    <row r="690">
      <c r="B690" s="51">
        <f>B689+1</f>
        <v/>
      </c>
      <c r="C690" s="39">
        <f>TEXT(B690,"aaa")</f>
        <v/>
      </c>
      <c r="D690" s="39" t="inlineStr">
        <is>
          <t>네이버 파워링크</t>
        </is>
      </c>
      <c r="K690" s="39">
        <f>10285/1.1</f>
        <v/>
      </c>
    </row>
    <row r="691">
      <c r="B691" s="51">
        <f>B690+1</f>
        <v/>
      </c>
      <c r="C691" s="39">
        <f>TEXT(B691,"aaa")</f>
        <v/>
      </c>
      <c r="D691" s="39" t="inlineStr">
        <is>
          <t>네이버 파워링크</t>
        </is>
      </c>
      <c r="K691" s="39">
        <f>3817/1.1</f>
        <v/>
      </c>
    </row>
    <row r="692">
      <c r="B692" s="51">
        <f>B691+1</f>
        <v/>
      </c>
      <c r="C692" s="39">
        <f>TEXT(B692,"aaa")</f>
        <v/>
      </c>
      <c r="D692" s="39" t="inlineStr">
        <is>
          <t>네이버 파워링크</t>
        </is>
      </c>
      <c r="K692" s="39" t="n">
        <v>0</v>
      </c>
    </row>
    <row r="693">
      <c r="B693" s="51">
        <f>B692+1</f>
        <v/>
      </c>
      <c r="C693" s="39">
        <f>TEXT(B693,"aaa")</f>
        <v/>
      </c>
      <c r="D693" s="39" t="inlineStr">
        <is>
          <t>네이버 파워링크</t>
        </is>
      </c>
      <c r="K693" s="39" t="n">
        <v>0</v>
      </c>
    </row>
    <row r="694">
      <c r="B694" s="51">
        <f>B693+1</f>
        <v/>
      </c>
      <c r="C694" s="39">
        <f>TEXT(B694,"aaa")</f>
        <v/>
      </c>
      <c r="D694" s="39" t="inlineStr">
        <is>
          <t>네이버 파워링크</t>
        </is>
      </c>
      <c r="K694" s="39" t="n">
        <v>0</v>
      </c>
    </row>
    <row r="695">
      <c r="B695" s="51">
        <f>B694+1</f>
        <v/>
      </c>
      <c r="C695" s="39">
        <f>TEXT(B695,"aaa")</f>
        <v/>
      </c>
      <c r="D695" s="39" t="inlineStr">
        <is>
          <t>네이버 파워링크</t>
        </is>
      </c>
      <c r="K695" s="39" t="n">
        <v>0</v>
      </c>
    </row>
    <row r="696">
      <c r="B696" s="51">
        <f>B695+1</f>
        <v/>
      </c>
      <c r="C696" s="39">
        <f>TEXT(B696,"aaa")</f>
        <v/>
      </c>
      <c r="D696" s="39" t="inlineStr">
        <is>
          <t>네이버 파워링크</t>
        </is>
      </c>
      <c r="K696" s="39" t="n">
        <v>0</v>
      </c>
    </row>
    <row r="697">
      <c r="B697" s="51">
        <f>B696+1</f>
        <v/>
      </c>
      <c r="C697" s="39">
        <f>TEXT(B697,"aaa")</f>
        <v/>
      </c>
      <c r="D697" s="39" t="inlineStr">
        <is>
          <t>네이버 파워링크</t>
        </is>
      </c>
      <c r="K697" s="39">
        <f>30162/1.1</f>
        <v/>
      </c>
    </row>
    <row r="698">
      <c r="B698" s="51">
        <f>B697+1</f>
        <v/>
      </c>
      <c r="C698" s="39">
        <f>TEXT(B698,"aaa")</f>
        <v/>
      </c>
      <c r="D698" s="39" t="inlineStr">
        <is>
          <t>네이버 파워링크</t>
        </is>
      </c>
      <c r="K698" s="39">
        <f>43241/1.1</f>
        <v/>
      </c>
    </row>
    <row r="699">
      <c r="B699" s="51">
        <f>B698+1</f>
        <v/>
      </c>
      <c r="C699" s="39">
        <f>TEXT(B699,"aaa")</f>
        <v/>
      </c>
      <c r="D699" s="39" t="inlineStr">
        <is>
          <t>네이버 파워링크</t>
        </is>
      </c>
      <c r="K699" s="39">
        <f>36410/1.1</f>
        <v/>
      </c>
    </row>
    <row r="700">
      <c r="B700" s="51">
        <f>B699+1</f>
        <v/>
      </c>
      <c r="C700" s="39">
        <f>TEXT(B700,"aaa")</f>
        <v/>
      </c>
      <c r="D700" s="39" t="inlineStr">
        <is>
          <t>네이버 파워링크</t>
        </is>
      </c>
      <c r="K700" s="39">
        <f>36608/1.1</f>
        <v/>
      </c>
    </row>
    <row r="701">
      <c r="B701" s="51">
        <f>B700+1</f>
        <v/>
      </c>
      <c r="C701" s="39">
        <f>TEXT(B701,"aaa")</f>
        <v/>
      </c>
      <c r="D701" s="39" t="inlineStr">
        <is>
          <t>네이버 파워링크</t>
        </is>
      </c>
      <c r="K701" s="39">
        <f>50677/1.1</f>
        <v/>
      </c>
    </row>
    <row r="702">
      <c r="B702" s="51">
        <f>B701+1</f>
        <v/>
      </c>
      <c r="C702" s="39">
        <f>TEXT(B702,"aaa")</f>
        <v/>
      </c>
      <c r="D702" s="39" t="inlineStr">
        <is>
          <t>네이버 파워링크</t>
        </is>
      </c>
      <c r="K702" s="39">
        <f>65362/1.1</f>
        <v/>
      </c>
    </row>
    <row r="703">
      <c r="B703" s="51">
        <f>B702+1</f>
        <v/>
      </c>
      <c r="C703" s="39">
        <f>TEXT(B703,"aaa")</f>
        <v/>
      </c>
      <c r="D703" s="39" t="inlineStr">
        <is>
          <t>네이버 파워링크</t>
        </is>
      </c>
      <c r="K703" s="39">
        <f>71951/1.1</f>
        <v/>
      </c>
    </row>
    <row r="704">
      <c r="B704" s="51">
        <f>B703+1</f>
        <v/>
      </c>
      <c r="C704" s="39">
        <f>TEXT(B704,"aaa")</f>
        <v/>
      </c>
      <c r="D704" s="39" t="inlineStr">
        <is>
          <t>네이버 파워링크</t>
        </is>
      </c>
      <c r="K704" s="39">
        <f>40205/1.1</f>
        <v/>
      </c>
    </row>
    <row r="705">
      <c r="B705" s="51">
        <f>B704+1</f>
        <v/>
      </c>
      <c r="C705" s="39">
        <f>TEXT(B705,"aaa")</f>
        <v/>
      </c>
      <c r="D705" s="39" t="inlineStr">
        <is>
          <t>네이버 파워링크</t>
        </is>
      </c>
      <c r="K705" s="39">
        <f>114796/1.1</f>
        <v/>
      </c>
    </row>
    <row r="706">
      <c r="B706" s="51">
        <f>B705+1</f>
        <v/>
      </c>
      <c r="C706" s="39">
        <f>TEXT(B706,"aaa")</f>
        <v/>
      </c>
      <c r="D706" s="39" t="inlineStr">
        <is>
          <t>네이버 파워링크</t>
        </is>
      </c>
      <c r="K706" s="39">
        <f>76527/1.1</f>
        <v/>
      </c>
    </row>
    <row r="707">
      <c r="B707" s="51">
        <f>B706+1</f>
        <v/>
      </c>
      <c r="C707" s="39">
        <f>TEXT(B707,"aaa")</f>
        <v/>
      </c>
      <c r="D707" s="39" t="inlineStr">
        <is>
          <t>네이버 파워링크</t>
        </is>
      </c>
      <c r="K707" s="39">
        <f>90398/1.1</f>
        <v/>
      </c>
    </row>
    <row r="708">
      <c r="B708" s="51">
        <f>B707+1</f>
        <v/>
      </c>
      <c r="C708" s="39">
        <f>TEXT(B708,"aaa")</f>
        <v/>
      </c>
      <c r="D708" s="39" t="inlineStr">
        <is>
          <t>네이버 파워링크</t>
        </is>
      </c>
      <c r="K708" s="39">
        <f>136752/1.1</f>
        <v/>
      </c>
    </row>
    <row r="709">
      <c r="B709" s="51">
        <f>B708+1</f>
        <v/>
      </c>
      <c r="C709" s="39">
        <f>TEXT(B709,"aaa")</f>
        <v/>
      </c>
      <c r="D709" s="39" t="inlineStr">
        <is>
          <t>네이버 파워링크</t>
        </is>
      </c>
      <c r="K709" s="39">
        <f>186065/1.1</f>
        <v/>
      </c>
    </row>
    <row r="710">
      <c r="B710" s="51">
        <f>B709+1</f>
        <v/>
      </c>
      <c r="C710" s="39">
        <f>TEXT(B710,"aaa")</f>
        <v/>
      </c>
      <c r="D710" s="39" t="inlineStr">
        <is>
          <t>네이버 파워링크</t>
        </is>
      </c>
      <c r="K710" s="39">
        <f>193600/1.1</f>
        <v/>
      </c>
    </row>
    <row r="711">
      <c r="B711" s="51">
        <f>B710+1</f>
        <v/>
      </c>
      <c r="C711" s="39">
        <f>TEXT(B711,"aaa")</f>
        <v/>
      </c>
      <c r="D711" s="39" t="inlineStr">
        <is>
          <t>네이버 파워링크</t>
        </is>
      </c>
      <c r="K711" s="39">
        <f>112376/1.1</f>
        <v/>
      </c>
    </row>
    <row r="712">
      <c r="B712" s="51">
        <f>B711+1</f>
        <v/>
      </c>
      <c r="C712" s="39">
        <f>TEXT(B712,"aaa")</f>
        <v/>
      </c>
      <c r="D712" s="39" t="inlineStr">
        <is>
          <t>네이버 파워링크</t>
        </is>
      </c>
      <c r="K712" s="39">
        <f>99077/1.1</f>
        <v/>
      </c>
    </row>
    <row r="713">
      <c r="B713" s="51">
        <f>B712+1</f>
        <v/>
      </c>
      <c r="C713" s="39">
        <f>TEXT(B713,"aaa")</f>
        <v/>
      </c>
      <c r="D713" s="39" t="inlineStr">
        <is>
          <t>네이버 파워링크</t>
        </is>
      </c>
      <c r="K713" s="39">
        <f>155617/1.1</f>
        <v/>
      </c>
    </row>
    <row r="714">
      <c r="B714" s="51">
        <f>B713+1</f>
        <v/>
      </c>
      <c r="C714" s="39">
        <f>TEXT(B714,"aaa")</f>
        <v/>
      </c>
      <c r="D714" s="39" t="inlineStr">
        <is>
          <t>네이버 파워링크</t>
        </is>
      </c>
      <c r="K714" s="39">
        <f>99055/1.1</f>
        <v/>
      </c>
    </row>
    <row r="715">
      <c r="B715" s="51">
        <f>B714+1</f>
        <v/>
      </c>
      <c r="C715" s="39">
        <f>TEXT(B715,"aaa")</f>
        <v/>
      </c>
      <c r="D715" s="39" t="inlineStr">
        <is>
          <t>네이버 파워링크</t>
        </is>
      </c>
      <c r="K715" s="39">
        <f>38313/1.1</f>
        <v/>
      </c>
    </row>
    <row r="716">
      <c r="B716" s="51">
        <f>B715+1</f>
        <v/>
      </c>
      <c r="C716" s="39">
        <f>TEXT(B716,"aaa")</f>
        <v/>
      </c>
      <c r="D716" s="39" t="inlineStr">
        <is>
          <t>네이버 파워링크</t>
        </is>
      </c>
      <c r="K716" s="39">
        <f>8800/1.1</f>
        <v/>
      </c>
    </row>
    <row r="717">
      <c r="B717" s="51">
        <f>B716+1</f>
        <v/>
      </c>
      <c r="C717" s="39">
        <f>TEXT(B717,"aaa")</f>
        <v/>
      </c>
      <c r="D717" s="39" t="inlineStr">
        <is>
          <t>네이버 파워링크</t>
        </is>
      </c>
      <c r="K717" s="39">
        <f>12463/1.1</f>
        <v/>
      </c>
    </row>
    <row r="718">
      <c r="B718" s="51">
        <f>B717+1</f>
        <v/>
      </c>
      <c r="C718" s="39">
        <f>TEXT(B718,"aaa")</f>
        <v/>
      </c>
      <c r="D718" s="39" t="inlineStr">
        <is>
          <t>네이버 파워링크</t>
        </is>
      </c>
      <c r="K718" s="39">
        <f>10890/1.1</f>
        <v/>
      </c>
    </row>
    <row r="719">
      <c r="B719" s="51">
        <f>B718+1</f>
        <v/>
      </c>
      <c r="C719" s="39">
        <f>TEXT(B719,"aaa")</f>
        <v/>
      </c>
      <c r="D719" s="39" t="inlineStr">
        <is>
          <t>네이버 파워링크</t>
        </is>
      </c>
      <c r="K719" s="39">
        <f>9185/1.1</f>
        <v/>
      </c>
    </row>
    <row r="720">
      <c r="B720" s="51">
        <f>B719+1</f>
        <v/>
      </c>
      <c r="C720" s="39">
        <f>TEXT(B720,"aaa")</f>
        <v/>
      </c>
      <c r="D720" s="39" t="inlineStr">
        <is>
          <t>네이버 파워링크</t>
        </is>
      </c>
      <c r="K720" s="39">
        <f>9746/1.1</f>
        <v/>
      </c>
    </row>
    <row r="721">
      <c r="B721" s="51">
        <f>B720+1</f>
        <v/>
      </c>
      <c r="C721" s="39">
        <f>TEXT(B721,"aaa")</f>
        <v/>
      </c>
      <c r="D721" s="39" t="inlineStr">
        <is>
          <t>네이버 파워링크</t>
        </is>
      </c>
      <c r="K721" s="39">
        <f>10274/1.1</f>
        <v/>
      </c>
    </row>
    <row r="722">
      <c r="B722" s="51">
        <f>B721+1</f>
        <v/>
      </c>
      <c r="C722" s="39">
        <f>TEXT(B722,"aaa")</f>
        <v/>
      </c>
      <c r="D722" s="39" t="inlineStr">
        <is>
          <t>네이버 파워링크</t>
        </is>
      </c>
      <c r="K722" s="39">
        <f>8877/1.1</f>
        <v/>
      </c>
    </row>
    <row r="723">
      <c r="B723" s="51">
        <f>B722+1</f>
        <v/>
      </c>
      <c r="C723" s="39">
        <f>TEXT(B723,"aaa")</f>
        <v/>
      </c>
      <c r="D723" s="39" t="inlineStr">
        <is>
          <t>네이버 파워링크</t>
        </is>
      </c>
      <c r="K723" s="39">
        <f>9009/1.1</f>
        <v/>
      </c>
    </row>
    <row r="724">
      <c r="B724" s="51">
        <f>B723+1</f>
        <v/>
      </c>
      <c r="C724" s="39">
        <f>TEXT(B724,"aaa")</f>
        <v/>
      </c>
      <c r="D724" s="39" t="inlineStr">
        <is>
          <t>네이버 파워링크</t>
        </is>
      </c>
      <c r="K724" s="39">
        <f>9196/1.1</f>
        <v/>
      </c>
    </row>
    <row r="725">
      <c r="B725" s="51">
        <f>B724+1</f>
        <v/>
      </c>
      <c r="C725" s="39">
        <f>TEXT(B725,"aaa")</f>
        <v/>
      </c>
      <c r="D725" s="39" t="inlineStr">
        <is>
          <t>네이버 파워링크</t>
        </is>
      </c>
      <c r="K725" s="39">
        <f>9988/1.1</f>
        <v/>
      </c>
    </row>
    <row r="726">
      <c r="B726" s="51">
        <f>B725+1</f>
        <v/>
      </c>
      <c r="C726" s="39">
        <f>TEXT(B726,"aaa")</f>
        <v/>
      </c>
      <c r="D726" s="39" t="inlineStr">
        <is>
          <t>네이버 파워링크</t>
        </is>
      </c>
      <c r="K726" s="39">
        <f>8998/1.1</f>
        <v/>
      </c>
    </row>
    <row r="727">
      <c r="B727" s="51">
        <f>B726+1</f>
        <v/>
      </c>
      <c r="C727" s="39">
        <f>TEXT(B727,"aaa")</f>
        <v/>
      </c>
      <c r="D727" s="39" t="inlineStr">
        <is>
          <t>네이버 파워링크</t>
        </is>
      </c>
      <c r="K727" s="39">
        <f>10549/1.1</f>
        <v/>
      </c>
    </row>
    <row r="728">
      <c r="B728" s="51">
        <f>B727+1</f>
        <v/>
      </c>
      <c r="C728" s="39">
        <f>TEXT(B728,"aaa")</f>
        <v/>
      </c>
      <c r="D728" s="39" t="inlineStr">
        <is>
          <t>네이버 파워링크</t>
        </is>
      </c>
      <c r="K728" s="39">
        <f>12617/1.1</f>
        <v/>
      </c>
    </row>
    <row r="729">
      <c r="B729" s="51">
        <f>B728+1</f>
        <v/>
      </c>
      <c r="C729" s="39">
        <f>TEXT(B729,"aaa")</f>
        <v/>
      </c>
      <c r="D729" s="39" t="inlineStr">
        <is>
          <t>네이버 파워링크</t>
        </is>
      </c>
      <c r="K729" s="39">
        <f>9240/1.1</f>
        <v/>
      </c>
    </row>
    <row r="730">
      <c r="B730" s="51">
        <f>B729+1</f>
        <v/>
      </c>
      <c r="C730" s="39">
        <f>TEXT(B730,"aaa")</f>
        <v/>
      </c>
      <c r="D730" s="39" t="inlineStr">
        <is>
          <t>네이버 파워링크</t>
        </is>
      </c>
      <c r="K730" s="39">
        <f>8954/1.1</f>
        <v/>
      </c>
    </row>
    <row r="731">
      <c r="B731" s="51">
        <f>B730+1</f>
        <v/>
      </c>
      <c r="C731" s="39">
        <f>TEXT(B731,"aaa")</f>
        <v/>
      </c>
      <c r="D731" s="39" t="inlineStr">
        <is>
          <t>네이버 파워링크</t>
        </is>
      </c>
      <c r="K731" s="39">
        <f>9944/1.1</f>
        <v/>
      </c>
    </row>
    <row r="732">
      <c r="B732" s="51">
        <f>B731+1</f>
        <v/>
      </c>
      <c r="C732" s="39">
        <f>TEXT(B732,"aaa")</f>
        <v/>
      </c>
      <c r="D732" s="39" t="inlineStr">
        <is>
          <t>네이버 파워링크</t>
        </is>
      </c>
      <c r="K732" s="39">
        <f>10868/1.1</f>
        <v/>
      </c>
    </row>
    <row r="733">
      <c r="B733" s="51">
        <f>B732+1</f>
        <v/>
      </c>
      <c r="C733" s="39">
        <f>TEXT(B733,"aaa")</f>
        <v/>
      </c>
      <c r="D733" s="39" t="inlineStr">
        <is>
          <t>네이버 파워링크</t>
        </is>
      </c>
      <c r="K733" s="39">
        <f>10065/1.1</f>
        <v/>
      </c>
    </row>
    <row r="734">
      <c r="B734" s="51">
        <f>B733+1</f>
        <v/>
      </c>
      <c r="C734" s="39">
        <f>TEXT(B734,"aaa")</f>
        <v/>
      </c>
      <c r="D734" s="39" t="inlineStr">
        <is>
          <t>네이버 파워링크</t>
        </is>
      </c>
      <c r="K734" s="39">
        <f>10956/1.1</f>
        <v/>
      </c>
    </row>
    <row r="735">
      <c r="B735" s="51">
        <f>B734+1</f>
        <v/>
      </c>
      <c r="C735" s="39">
        <f>TEXT(B735,"aaa")</f>
        <v/>
      </c>
      <c r="D735" s="39" t="inlineStr">
        <is>
          <t>네이버 파워링크</t>
        </is>
      </c>
      <c r="K735" s="39">
        <f>9262/1.1</f>
        <v/>
      </c>
    </row>
    <row r="736">
      <c r="B736" s="51">
        <f>B735+1</f>
        <v/>
      </c>
      <c r="C736" s="39">
        <f>TEXT(B736,"aaa")</f>
        <v/>
      </c>
      <c r="D736" s="39" t="inlineStr">
        <is>
          <t>네이버 파워링크</t>
        </is>
      </c>
      <c r="K736" s="39">
        <f>8855/1.1</f>
        <v/>
      </c>
    </row>
    <row r="737">
      <c r="B737" s="51">
        <f>B736+1</f>
        <v/>
      </c>
      <c r="C737" s="39">
        <f>TEXT(B737,"aaa")</f>
        <v/>
      </c>
      <c r="D737" s="39" t="inlineStr">
        <is>
          <t>네이버 파워링크</t>
        </is>
      </c>
      <c r="K737" s="39">
        <f>9493/1.1</f>
        <v/>
      </c>
    </row>
    <row r="738">
      <c r="B738" s="51">
        <f>B737+1</f>
        <v/>
      </c>
      <c r="C738" s="39">
        <f>TEXT(B738,"aaa")</f>
        <v/>
      </c>
      <c r="D738" s="39" t="inlineStr">
        <is>
          <t>네이버 파워링크</t>
        </is>
      </c>
      <c r="K738" s="39">
        <f>9009/1.1</f>
        <v/>
      </c>
    </row>
    <row r="739">
      <c r="B739" s="51">
        <f>B738+1</f>
        <v/>
      </c>
      <c r="C739" s="39">
        <f>TEXT(B739,"aaa")</f>
        <v/>
      </c>
      <c r="D739" s="39" t="inlineStr">
        <is>
          <t>네이버 파워링크</t>
        </is>
      </c>
      <c r="K739" s="39">
        <f>9207/1.1</f>
        <v/>
      </c>
    </row>
    <row r="740">
      <c r="B740" s="51">
        <f>B739+1</f>
        <v/>
      </c>
      <c r="C740" s="39">
        <f>TEXT(B740,"aaa")</f>
        <v/>
      </c>
      <c r="D740" s="39" t="inlineStr">
        <is>
          <t>네이버 파워링크</t>
        </is>
      </c>
      <c r="K740" s="39">
        <f>10934/1.1</f>
        <v/>
      </c>
    </row>
    <row r="741">
      <c r="B741" s="51">
        <f>B740+1</f>
        <v/>
      </c>
      <c r="C741" s="39">
        <f>TEXT(B741,"aaa")</f>
        <v/>
      </c>
      <c r="D741" s="39" t="inlineStr">
        <is>
          <t>네이버 파워링크</t>
        </is>
      </c>
      <c r="K741" s="39">
        <f>9768/1.1</f>
        <v/>
      </c>
    </row>
    <row r="742">
      <c r="B742" s="51">
        <f>B741+1</f>
        <v/>
      </c>
      <c r="C742" s="39">
        <f>TEXT(B742,"aaa")</f>
        <v/>
      </c>
      <c r="D742" s="39" t="inlineStr">
        <is>
          <t>네이버 파워링크</t>
        </is>
      </c>
      <c r="K742" s="39">
        <f>11110/1.1</f>
        <v/>
      </c>
    </row>
    <row r="743">
      <c r="B743" s="51">
        <f>B742+1</f>
        <v/>
      </c>
      <c r="C743" s="39">
        <f>TEXT(B743,"aaa")</f>
        <v/>
      </c>
      <c r="D743" s="39" t="inlineStr">
        <is>
          <t>네이버 파워링크</t>
        </is>
      </c>
      <c r="K743" s="39">
        <f>9504/1.1</f>
        <v/>
      </c>
    </row>
    <row r="744">
      <c r="B744" s="51">
        <f>B743+1</f>
        <v/>
      </c>
      <c r="C744" s="39">
        <f>TEXT(B744,"aaa")</f>
        <v/>
      </c>
      <c r="D744" s="39" t="inlineStr">
        <is>
          <t>네이버 파워링크</t>
        </is>
      </c>
      <c r="K744" s="39">
        <f>8811/1.1</f>
        <v/>
      </c>
    </row>
    <row r="745">
      <c r="B745" s="51">
        <f>B744+1</f>
        <v/>
      </c>
      <c r="C745" s="39">
        <f>TEXT(B745,"aaa")</f>
        <v/>
      </c>
      <c r="D745" s="39" t="inlineStr">
        <is>
          <t>네이버 파워링크</t>
        </is>
      </c>
      <c r="K745" s="39" t="n">
        <v>0</v>
      </c>
    </row>
    <row r="746">
      <c r="B746" s="51">
        <f>B745+1</f>
        <v/>
      </c>
      <c r="C746" s="39">
        <f>TEXT(B746,"aaa")</f>
        <v/>
      </c>
      <c r="D746" s="39" t="inlineStr">
        <is>
          <t>네이버 파워링크</t>
        </is>
      </c>
      <c r="K746" s="39" t="n">
        <v>0</v>
      </c>
    </row>
    <row r="747">
      <c r="B747" s="51">
        <f>B746+1</f>
        <v/>
      </c>
      <c r="C747" s="39">
        <f>TEXT(B747,"aaa")</f>
        <v/>
      </c>
      <c r="D747" s="39" t="inlineStr">
        <is>
          <t>네이버 파워링크</t>
        </is>
      </c>
      <c r="K747" s="39" t="n">
        <v>0</v>
      </c>
    </row>
    <row r="748" ht="16.05" customHeight="1" s="47">
      <c r="B748" s="51" t="n">
        <v>44033</v>
      </c>
      <c r="C748" s="39">
        <f>TEXT(B748,"aaa")</f>
        <v/>
      </c>
      <c r="D748" s="39" t="inlineStr">
        <is>
          <t>네이버 브랜드검색</t>
        </is>
      </c>
      <c r="K748" s="49">
        <f>600000/30</f>
        <v/>
      </c>
    </row>
    <row r="749">
      <c r="B749" s="51">
        <f>B748+1</f>
        <v/>
      </c>
      <c r="C749" s="39">
        <f>TEXT(B749,"aaa")</f>
        <v/>
      </c>
      <c r="D749" s="39" t="inlineStr">
        <is>
          <t>네이버 브랜드검색</t>
        </is>
      </c>
      <c r="K749" s="49">
        <f>600000/30</f>
        <v/>
      </c>
    </row>
    <row r="750">
      <c r="B750" s="51">
        <f>B749+1</f>
        <v/>
      </c>
      <c r="C750" s="39">
        <f>TEXT(B750,"aaa")</f>
        <v/>
      </c>
      <c r="D750" s="39" t="inlineStr">
        <is>
          <t>네이버 브랜드검색</t>
        </is>
      </c>
      <c r="K750" s="49">
        <f>600000/30</f>
        <v/>
      </c>
    </row>
    <row r="751">
      <c r="B751" s="51">
        <f>B750+1</f>
        <v/>
      </c>
      <c r="C751" s="39">
        <f>TEXT(B751,"aaa")</f>
        <v/>
      </c>
      <c r="D751" s="39" t="inlineStr">
        <is>
          <t>네이버 브랜드검색</t>
        </is>
      </c>
      <c r="K751" s="49">
        <f>600000/30</f>
        <v/>
      </c>
    </row>
    <row r="752">
      <c r="B752" s="51">
        <f>B751+1</f>
        <v/>
      </c>
      <c r="C752" s="39">
        <f>TEXT(B752,"aaa")</f>
        <v/>
      </c>
      <c r="D752" s="39" t="inlineStr">
        <is>
          <t>네이버 브랜드검색</t>
        </is>
      </c>
      <c r="K752" s="49">
        <f>600000/30</f>
        <v/>
      </c>
    </row>
    <row r="753">
      <c r="B753" s="51">
        <f>B752+1</f>
        <v/>
      </c>
      <c r="C753" s="39">
        <f>TEXT(B753,"aaa")</f>
        <v/>
      </c>
      <c r="D753" s="39" t="inlineStr">
        <is>
          <t>네이버 브랜드검색</t>
        </is>
      </c>
      <c r="K753" s="49">
        <f>600000/30</f>
        <v/>
      </c>
    </row>
    <row r="754">
      <c r="B754" s="51">
        <f>B753+1</f>
        <v/>
      </c>
      <c r="C754" s="39">
        <f>TEXT(B754,"aaa")</f>
        <v/>
      </c>
      <c r="D754" s="39" t="inlineStr">
        <is>
          <t>네이버 브랜드검색</t>
        </is>
      </c>
      <c r="K754" s="49">
        <f>600000/30</f>
        <v/>
      </c>
    </row>
    <row r="755">
      <c r="B755" s="51">
        <f>B754+1</f>
        <v/>
      </c>
      <c r="C755" s="39">
        <f>TEXT(B755,"aaa")</f>
        <v/>
      </c>
      <c r="D755" s="39" t="inlineStr">
        <is>
          <t>네이버 브랜드검색</t>
        </is>
      </c>
      <c r="K755" s="49">
        <f>600000/30</f>
        <v/>
      </c>
    </row>
    <row r="756">
      <c r="B756" s="51">
        <f>B755+1</f>
        <v/>
      </c>
      <c r="C756" s="39">
        <f>TEXT(B756,"aaa")</f>
        <v/>
      </c>
      <c r="D756" s="39" t="inlineStr">
        <is>
          <t>네이버 브랜드검색</t>
        </is>
      </c>
      <c r="K756" s="49">
        <f>600000/30</f>
        <v/>
      </c>
    </row>
    <row r="757">
      <c r="B757" s="51">
        <f>B756+1</f>
        <v/>
      </c>
      <c r="C757" s="39">
        <f>TEXT(B757,"aaa")</f>
        <v/>
      </c>
      <c r="D757" s="39" t="inlineStr">
        <is>
          <t>네이버 브랜드검색</t>
        </is>
      </c>
      <c r="K757" s="49">
        <f>600000/30</f>
        <v/>
      </c>
    </row>
    <row r="758">
      <c r="B758" s="51">
        <f>B757+1</f>
        <v/>
      </c>
      <c r="C758" s="39">
        <f>TEXT(B758,"aaa")</f>
        <v/>
      </c>
      <c r="D758" s="39" t="inlineStr">
        <is>
          <t>네이버 브랜드검색</t>
        </is>
      </c>
      <c r="K758" s="49">
        <f>600000/30</f>
        <v/>
      </c>
    </row>
    <row r="759">
      <c r="B759" s="51">
        <f>B758+1</f>
        <v/>
      </c>
      <c r="C759" s="39">
        <f>TEXT(B759,"aaa")</f>
        <v/>
      </c>
      <c r="D759" s="39" t="inlineStr">
        <is>
          <t>네이버 브랜드검색</t>
        </is>
      </c>
      <c r="K759" s="49">
        <f>600000/30</f>
        <v/>
      </c>
    </row>
    <row r="760">
      <c r="B760" s="51">
        <f>B759+1</f>
        <v/>
      </c>
      <c r="C760" s="39">
        <f>TEXT(B760,"aaa")</f>
        <v/>
      </c>
      <c r="D760" s="39" t="inlineStr">
        <is>
          <t>네이버 브랜드검색</t>
        </is>
      </c>
      <c r="K760" s="49">
        <f>600000/30</f>
        <v/>
      </c>
    </row>
    <row r="761">
      <c r="B761" s="51">
        <f>B760+1</f>
        <v/>
      </c>
      <c r="C761" s="39">
        <f>TEXT(B761,"aaa")</f>
        <v/>
      </c>
      <c r="D761" s="39" t="inlineStr">
        <is>
          <t>네이버 브랜드검색</t>
        </is>
      </c>
      <c r="K761" s="49">
        <f>600000/30</f>
        <v/>
      </c>
    </row>
    <row r="762">
      <c r="B762" s="51">
        <f>B761+1</f>
        <v/>
      </c>
      <c r="C762" s="39">
        <f>TEXT(B762,"aaa")</f>
        <v/>
      </c>
      <c r="D762" s="39" t="inlineStr">
        <is>
          <t>네이버 브랜드검색</t>
        </is>
      </c>
      <c r="K762" s="49">
        <f>600000/30</f>
        <v/>
      </c>
    </row>
    <row r="763">
      <c r="B763" s="51">
        <f>B762+1</f>
        <v/>
      </c>
      <c r="C763" s="39">
        <f>TEXT(B763,"aaa")</f>
        <v/>
      </c>
      <c r="D763" s="39" t="inlineStr">
        <is>
          <t>네이버 브랜드검색</t>
        </is>
      </c>
      <c r="K763" s="49">
        <f>600000/30</f>
        <v/>
      </c>
    </row>
    <row r="764">
      <c r="B764" s="51">
        <f>B763+1</f>
        <v/>
      </c>
      <c r="C764" s="39">
        <f>TEXT(B764,"aaa")</f>
        <v/>
      </c>
      <c r="D764" s="39" t="inlineStr">
        <is>
          <t>네이버 브랜드검색</t>
        </is>
      </c>
      <c r="K764" s="49">
        <f>600000/30</f>
        <v/>
      </c>
    </row>
    <row r="765">
      <c r="B765" s="51">
        <f>B764+1</f>
        <v/>
      </c>
      <c r="C765" s="39">
        <f>TEXT(B765,"aaa")</f>
        <v/>
      </c>
      <c r="D765" s="39" t="inlineStr">
        <is>
          <t>네이버 브랜드검색</t>
        </is>
      </c>
      <c r="K765" s="49">
        <f>600000/30</f>
        <v/>
      </c>
    </row>
    <row r="766">
      <c r="B766" s="51">
        <f>B765+1</f>
        <v/>
      </c>
      <c r="C766" s="39">
        <f>TEXT(B766,"aaa")</f>
        <v/>
      </c>
      <c r="D766" s="39" t="inlineStr">
        <is>
          <t>네이버 브랜드검색</t>
        </is>
      </c>
      <c r="K766" s="49">
        <f>600000/30</f>
        <v/>
      </c>
    </row>
    <row r="767">
      <c r="B767" s="51">
        <f>B766+1</f>
        <v/>
      </c>
      <c r="C767" s="39">
        <f>TEXT(B767,"aaa")</f>
        <v/>
      </c>
      <c r="D767" s="39" t="inlineStr">
        <is>
          <t>네이버 브랜드검색</t>
        </is>
      </c>
      <c r="K767" s="49">
        <f>600000/30</f>
        <v/>
      </c>
    </row>
    <row r="768">
      <c r="B768" s="51">
        <f>B767+1</f>
        <v/>
      </c>
      <c r="C768" s="39">
        <f>TEXT(B768,"aaa")</f>
        <v/>
      </c>
      <c r="D768" s="39" t="inlineStr">
        <is>
          <t>네이버 브랜드검색</t>
        </is>
      </c>
      <c r="K768" s="49">
        <f>600000/30</f>
        <v/>
      </c>
    </row>
    <row r="769">
      <c r="B769" s="51">
        <f>B768+1</f>
        <v/>
      </c>
      <c r="C769" s="39">
        <f>TEXT(B769,"aaa")</f>
        <v/>
      </c>
      <c r="D769" s="39" t="inlineStr">
        <is>
          <t>네이버 브랜드검색</t>
        </is>
      </c>
      <c r="K769" s="49">
        <f>600000/30</f>
        <v/>
      </c>
    </row>
    <row r="770">
      <c r="B770" s="51">
        <f>B769+1</f>
        <v/>
      </c>
      <c r="C770" s="39">
        <f>TEXT(B770,"aaa")</f>
        <v/>
      </c>
      <c r="D770" s="39" t="inlineStr">
        <is>
          <t>네이버 브랜드검색</t>
        </is>
      </c>
      <c r="K770" s="49">
        <f>600000/30</f>
        <v/>
      </c>
    </row>
    <row r="771">
      <c r="B771" s="51">
        <f>B770+1</f>
        <v/>
      </c>
      <c r="C771" s="39">
        <f>TEXT(B771,"aaa")</f>
        <v/>
      </c>
      <c r="D771" s="39" t="inlineStr">
        <is>
          <t>네이버 브랜드검색</t>
        </is>
      </c>
      <c r="K771" s="49">
        <f>600000/30</f>
        <v/>
      </c>
    </row>
    <row r="772">
      <c r="B772" s="51">
        <f>B771+1</f>
        <v/>
      </c>
      <c r="C772" s="39">
        <f>TEXT(B772,"aaa")</f>
        <v/>
      </c>
      <c r="D772" s="39" t="inlineStr">
        <is>
          <t>네이버 브랜드검색</t>
        </is>
      </c>
      <c r="K772" s="49">
        <f>600000/30</f>
        <v/>
      </c>
    </row>
    <row r="773">
      <c r="B773" s="51">
        <f>B772+1</f>
        <v/>
      </c>
      <c r="C773" s="39">
        <f>TEXT(B773,"aaa")</f>
        <v/>
      </c>
      <c r="D773" s="39" t="inlineStr">
        <is>
          <t>네이버 브랜드검색</t>
        </is>
      </c>
      <c r="K773" s="49">
        <f>600000/30</f>
        <v/>
      </c>
    </row>
    <row r="774">
      <c r="B774" s="51">
        <f>B773+1</f>
        <v/>
      </c>
      <c r="C774" s="39">
        <f>TEXT(B774,"aaa")</f>
        <v/>
      </c>
      <c r="D774" s="39" t="inlineStr">
        <is>
          <t>네이버 브랜드검색</t>
        </is>
      </c>
      <c r="K774" s="49">
        <f>600000/30</f>
        <v/>
      </c>
    </row>
    <row r="775">
      <c r="B775" s="51">
        <f>B774+1</f>
        <v/>
      </c>
      <c r="C775" s="39">
        <f>TEXT(B775,"aaa")</f>
        <v/>
      </c>
      <c r="D775" s="39" t="inlineStr">
        <is>
          <t>네이버 브랜드검색</t>
        </is>
      </c>
      <c r="K775" s="49">
        <f>600000/30</f>
        <v/>
      </c>
    </row>
    <row r="776">
      <c r="B776" s="51">
        <f>B775+1</f>
        <v/>
      </c>
      <c r="C776" s="39">
        <f>TEXT(B776,"aaa")</f>
        <v/>
      </c>
      <c r="D776" s="39" t="inlineStr">
        <is>
          <t>네이버 브랜드검색</t>
        </is>
      </c>
      <c r="K776" s="49">
        <f>600000/30</f>
        <v/>
      </c>
    </row>
    <row r="777">
      <c r="B777" s="51">
        <f>B776+1</f>
        <v/>
      </c>
      <c r="C777" s="39">
        <f>TEXT(B777,"aaa")</f>
        <v/>
      </c>
      <c r="D777" s="39" t="inlineStr">
        <is>
          <t>네이버 브랜드검색</t>
        </is>
      </c>
      <c r="K777" s="49">
        <f>600000/30</f>
        <v/>
      </c>
    </row>
    <row r="778">
      <c r="B778" s="51">
        <f>B777+1</f>
        <v/>
      </c>
      <c r="C778" s="39">
        <f>TEXT(B778,"aaa")</f>
        <v/>
      </c>
      <c r="D778" s="39" t="inlineStr">
        <is>
          <t>네이버 브랜드검색</t>
        </is>
      </c>
      <c r="K778" s="49">
        <f>600000/30</f>
        <v/>
      </c>
    </row>
    <row r="779">
      <c r="B779" s="51">
        <f>B778+1</f>
        <v/>
      </c>
      <c r="C779" s="39">
        <f>TEXT(B779,"aaa")</f>
        <v/>
      </c>
      <c r="D779" s="39" t="inlineStr">
        <is>
          <t>네이버 브랜드검색</t>
        </is>
      </c>
      <c r="K779" s="49">
        <f>600000/30</f>
        <v/>
      </c>
    </row>
    <row r="780">
      <c r="B780" s="51">
        <f>B779+1</f>
        <v/>
      </c>
      <c r="C780" s="39">
        <f>TEXT(B780,"aaa")</f>
        <v/>
      </c>
      <c r="D780" s="39" t="inlineStr">
        <is>
          <t>네이버 브랜드검색</t>
        </is>
      </c>
      <c r="K780" s="49">
        <f>600000/30</f>
        <v/>
      </c>
    </row>
    <row r="781">
      <c r="B781" s="51">
        <f>B780+1</f>
        <v/>
      </c>
      <c r="C781" s="39">
        <f>TEXT(B781,"aaa")</f>
        <v/>
      </c>
      <c r="D781" s="39" t="inlineStr">
        <is>
          <t>네이버 브랜드검색</t>
        </is>
      </c>
      <c r="K781" s="49">
        <f>600000/30</f>
        <v/>
      </c>
    </row>
    <row r="782">
      <c r="B782" s="51">
        <f>B781+1</f>
        <v/>
      </c>
      <c r="C782" s="39">
        <f>TEXT(B782,"aaa")</f>
        <v/>
      </c>
      <c r="D782" s="39" t="inlineStr">
        <is>
          <t>네이버 브랜드검색</t>
        </is>
      </c>
      <c r="K782" s="49">
        <f>600000/30</f>
        <v/>
      </c>
    </row>
    <row r="783">
      <c r="B783" s="51">
        <f>B782+1</f>
        <v/>
      </c>
      <c r="C783" s="39">
        <f>TEXT(B783,"aaa")</f>
        <v/>
      </c>
      <c r="D783" s="39" t="inlineStr">
        <is>
          <t>네이버 브랜드검색</t>
        </is>
      </c>
      <c r="K783" s="49">
        <f>600000/30</f>
        <v/>
      </c>
    </row>
    <row r="784">
      <c r="B784" s="51">
        <f>B783+1</f>
        <v/>
      </c>
      <c r="C784" s="39">
        <f>TEXT(B784,"aaa")</f>
        <v/>
      </c>
      <c r="D784" s="39" t="inlineStr">
        <is>
          <t>네이버 브랜드검색</t>
        </is>
      </c>
      <c r="K784" s="49">
        <f>600000/30</f>
        <v/>
      </c>
    </row>
    <row r="785">
      <c r="B785" s="51">
        <f>B784+1</f>
        <v/>
      </c>
      <c r="C785" s="39">
        <f>TEXT(B785,"aaa")</f>
        <v/>
      </c>
      <c r="D785" s="39" t="inlineStr">
        <is>
          <t>네이버 브랜드검색</t>
        </is>
      </c>
      <c r="K785" s="49">
        <f>600000/30</f>
        <v/>
      </c>
    </row>
    <row r="786">
      <c r="B786" s="51">
        <f>B785+1</f>
        <v/>
      </c>
      <c r="C786" s="39">
        <f>TEXT(B786,"aaa")</f>
        <v/>
      </c>
      <c r="D786" s="39" t="inlineStr">
        <is>
          <t>네이버 브랜드검색</t>
        </is>
      </c>
      <c r="K786" s="49">
        <f>600000/30</f>
        <v/>
      </c>
    </row>
    <row r="787">
      <c r="B787" s="51">
        <f>B786+1</f>
        <v/>
      </c>
      <c r="C787" s="39">
        <f>TEXT(B787,"aaa")</f>
        <v/>
      </c>
      <c r="D787" s="39" t="inlineStr">
        <is>
          <t>네이버 브랜드검색</t>
        </is>
      </c>
      <c r="K787" s="49">
        <f>600000/30</f>
        <v/>
      </c>
    </row>
    <row r="788">
      <c r="B788" s="51">
        <f>B787+1</f>
        <v/>
      </c>
      <c r="C788" s="39">
        <f>TEXT(B788,"aaa")</f>
        <v/>
      </c>
      <c r="D788" s="39" t="inlineStr">
        <is>
          <t>네이버 브랜드검색</t>
        </is>
      </c>
      <c r="K788" s="49">
        <f>600000/30</f>
        <v/>
      </c>
    </row>
    <row r="789">
      <c r="B789" s="51">
        <f>B788+1</f>
        <v/>
      </c>
      <c r="C789" s="39">
        <f>TEXT(B789,"aaa")</f>
        <v/>
      </c>
      <c r="D789" s="39" t="inlineStr">
        <is>
          <t>네이버 브랜드검색</t>
        </is>
      </c>
      <c r="K789" s="49">
        <f>600000/30</f>
        <v/>
      </c>
    </row>
    <row r="790">
      <c r="B790" s="51">
        <f>B789+1</f>
        <v/>
      </c>
      <c r="C790" s="39">
        <f>TEXT(B790,"aaa")</f>
        <v/>
      </c>
      <c r="D790" s="39" t="inlineStr">
        <is>
          <t>네이버 브랜드검색</t>
        </is>
      </c>
      <c r="K790" s="49">
        <f>600000/30</f>
        <v/>
      </c>
    </row>
    <row r="791">
      <c r="B791" s="51">
        <f>B790+1</f>
        <v/>
      </c>
      <c r="C791" s="39">
        <f>TEXT(B791,"aaa")</f>
        <v/>
      </c>
      <c r="D791" s="39" t="inlineStr">
        <is>
          <t>네이버 브랜드검색</t>
        </is>
      </c>
      <c r="K791" s="49">
        <f>600000/30</f>
        <v/>
      </c>
    </row>
    <row r="792">
      <c r="B792" s="51">
        <f>B791+1</f>
        <v/>
      </c>
      <c r="C792" s="39">
        <f>TEXT(B792,"aaa")</f>
        <v/>
      </c>
      <c r="D792" s="39" t="inlineStr">
        <is>
          <t>네이버 브랜드검색</t>
        </is>
      </c>
      <c r="K792" s="49">
        <f>600000/30</f>
        <v/>
      </c>
    </row>
    <row r="793">
      <c r="B793" s="51">
        <f>B792+1</f>
        <v/>
      </c>
      <c r="C793" s="39">
        <f>TEXT(B793,"aaa")</f>
        <v/>
      </c>
      <c r="D793" s="39" t="inlineStr">
        <is>
          <t>네이버 브랜드검색</t>
        </is>
      </c>
      <c r="K793" s="49">
        <f>600000/30</f>
        <v/>
      </c>
    </row>
    <row r="794">
      <c r="B794" s="51">
        <f>B793+1</f>
        <v/>
      </c>
      <c r="C794" s="39">
        <f>TEXT(B794,"aaa")</f>
        <v/>
      </c>
      <c r="D794" s="39" t="inlineStr">
        <is>
          <t>네이버 브랜드검색</t>
        </is>
      </c>
      <c r="K794" s="49">
        <f>600000/30</f>
        <v/>
      </c>
    </row>
    <row r="795">
      <c r="B795" s="51">
        <f>B794+1</f>
        <v/>
      </c>
      <c r="C795" s="39">
        <f>TEXT(B795,"aaa")</f>
        <v/>
      </c>
      <c r="D795" s="39" t="inlineStr">
        <is>
          <t>네이버 브랜드검색</t>
        </is>
      </c>
      <c r="K795" s="49">
        <f>600000/30</f>
        <v/>
      </c>
    </row>
    <row r="796">
      <c r="B796" s="51">
        <f>B795+1</f>
        <v/>
      </c>
      <c r="C796" s="39">
        <f>TEXT(B796,"aaa")</f>
        <v/>
      </c>
      <c r="D796" s="39" t="inlineStr">
        <is>
          <t>네이버 브랜드검색</t>
        </is>
      </c>
      <c r="K796" s="49">
        <f>600000/30</f>
        <v/>
      </c>
    </row>
    <row r="797">
      <c r="B797" s="51">
        <f>B796+1</f>
        <v/>
      </c>
      <c r="C797" s="39">
        <f>TEXT(B797,"aaa")</f>
        <v/>
      </c>
      <c r="D797" s="39" t="inlineStr">
        <is>
          <t>네이버 브랜드검색</t>
        </is>
      </c>
      <c r="K797" s="49">
        <f>600000/30</f>
        <v/>
      </c>
    </row>
    <row r="798">
      <c r="B798" s="51">
        <f>B797+1</f>
        <v/>
      </c>
      <c r="C798" s="39">
        <f>TEXT(B798,"aaa")</f>
        <v/>
      </c>
      <c r="D798" s="39" t="inlineStr">
        <is>
          <t>네이버 브랜드검색</t>
        </is>
      </c>
      <c r="K798" s="49">
        <f>600000/30</f>
        <v/>
      </c>
    </row>
    <row r="799">
      <c r="B799" s="51">
        <f>B798+1</f>
        <v/>
      </c>
      <c r="C799" s="39">
        <f>TEXT(B799,"aaa")</f>
        <v/>
      </c>
      <c r="D799" s="39" t="inlineStr">
        <is>
          <t>네이버 브랜드검색</t>
        </is>
      </c>
      <c r="K799" s="49">
        <f>600000/30</f>
        <v/>
      </c>
    </row>
    <row r="800">
      <c r="B800" s="51">
        <f>B799+1</f>
        <v/>
      </c>
      <c r="C800" s="39">
        <f>TEXT(B800,"aaa")</f>
        <v/>
      </c>
      <c r="D800" s="39" t="inlineStr">
        <is>
          <t>네이버 브랜드검색</t>
        </is>
      </c>
      <c r="K800" s="49">
        <f>600000/30</f>
        <v/>
      </c>
    </row>
    <row r="801">
      <c r="B801" s="51">
        <f>B800+1</f>
        <v/>
      </c>
      <c r="C801" s="39">
        <f>TEXT(B801,"aaa")</f>
        <v/>
      </c>
      <c r="D801" s="39" t="inlineStr">
        <is>
          <t>네이버 브랜드검색</t>
        </is>
      </c>
      <c r="K801" s="49">
        <f>600000/30</f>
        <v/>
      </c>
    </row>
    <row r="802">
      <c r="B802" s="51">
        <f>B801+1</f>
        <v/>
      </c>
      <c r="C802" s="39">
        <f>TEXT(B802,"aaa")</f>
        <v/>
      </c>
      <c r="D802" s="39" t="inlineStr">
        <is>
          <t>네이버 브랜드검색</t>
        </is>
      </c>
      <c r="K802" s="49">
        <f>600000/30</f>
        <v/>
      </c>
    </row>
    <row r="803">
      <c r="B803" s="51">
        <f>B802+1</f>
        <v/>
      </c>
      <c r="C803" s="39">
        <f>TEXT(B803,"aaa")</f>
        <v/>
      </c>
      <c r="D803" s="39" t="inlineStr">
        <is>
          <t>네이버 브랜드검색</t>
        </is>
      </c>
      <c r="K803" s="49">
        <f>600000/30</f>
        <v/>
      </c>
    </row>
    <row r="804">
      <c r="B804" s="51">
        <f>B803+1</f>
        <v/>
      </c>
      <c r="C804" s="39">
        <f>TEXT(B804,"aaa")</f>
        <v/>
      </c>
      <c r="D804" s="39" t="inlineStr">
        <is>
          <t>네이버 브랜드검색</t>
        </is>
      </c>
      <c r="K804" s="49">
        <f>600000/30</f>
        <v/>
      </c>
    </row>
    <row r="805">
      <c r="B805" s="51">
        <f>B804+1</f>
        <v/>
      </c>
      <c r="C805" s="39">
        <f>TEXT(B805,"aaa")</f>
        <v/>
      </c>
      <c r="D805" s="39" t="inlineStr">
        <is>
          <t>네이버 브랜드검색</t>
        </is>
      </c>
      <c r="K805" s="49">
        <f>600000/30</f>
        <v/>
      </c>
    </row>
    <row r="806">
      <c r="B806" s="51">
        <f>B805+1</f>
        <v/>
      </c>
      <c r="C806" s="39">
        <f>TEXT(B806,"aaa")</f>
        <v/>
      </c>
      <c r="D806" s="39" t="inlineStr">
        <is>
          <t>네이버 브랜드검색</t>
        </is>
      </c>
      <c r="K806" s="49">
        <f>600000/30</f>
        <v/>
      </c>
    </row>
    <row r="807">
      <c r="B807" s="51">
        <f>B806+1</f>
        <v/>
      </c>
      <c r="C807" s="39">
        <f>TEXT(B807,"aaa")</f>
        <v/>
      </c>
      <c r="D807" s="39" t="inlineStr">
        <is>
          <t>네이버 브랜드검색</t>
        </is>
      </c>
      <c r="K807" s="49">
        <f>600000/30</f>
        <v/>
      </c>
    </row>
    <row r="808">
      <c r="B808" s="51">
        <f>B807+1</f>
        <v/>
      </c>
      <c r="C808" s="39">
        <f>TEXT(B808,"aaa")</f>
        <v/>
      </c>
      <c r="D808" s="39" t="inlineStr">
        <is>
          <t>네이버 브랜드검색</t>
        </is>
      </c>
      <c r="K808" s="49">
        <f>600000/30</f>
        <v/>
      </c>
    </row>
    <row r="809">
      <c r="B809" s="51">
        <f>B808+1</f>
        <v/>
      </c>
      <c r="C809" s="39">
        <f>TEXT(B809,"aaa")</f>
        <v/>
      </c>
      <c r="D809" s="39" t="inlineStr">
        <is>
          <t>네이버 브랜드검색</t>
        </is>
      </c>
      <c r="K809" s="49">
        <f>600000/30</f>
        <v/>
      </c>
    </row>
    <row r="810">
      <c r="B810" s="51">
        <f>B809+1</f>
        <v/>
      </c>
      <c r="C810" s="39">
        <f>TEXT(B810,"aaa")</f>
        <v/>
      </c>
      <c r="D810" s="39" t="inlineStr">
        <is>
          <t>네이버 브랜드검색</t>
        </is>
      </c>
      <c r="K810" s="49">
        <f>600000/30</f>
        <v/>
      </c>
    </row>
    <row r="811">
      <c r="B811" s="51">
        <f>B810+1</f>
        <v/>
      </c>
      <c r="C811" s="39">
        <f>TEXT(B811,"aaa")</f>
        <v/>
      </c>
      <c r="D811" s="39" t="inlineStr">
        <is>
          <t>네이버 브랜드검색</t>
        </is>
      </c>
      <c r="K811" s="49">
        <f>600000/30</f>
        <v/>
      </c>
    </row>
    <row r="812">
      <c r="B812" s="51">
        <f>B811+1</f>
        <v/>
      </c>
      <c r="C812" s="39">
        <f>TEXT(B812,"aaa")</f>
        <v/>
      </c>
      <c r="D812" s="39" t="inlineStr">
        <is>
          <t>네이버 브랜드검색</t>
        </is>
      </c>
      <c r="K812" s="49">
        <f>600000/30</f>
        <v/>
      </c>
    </row>
    <row r="813">
      <c r="B813" s="51">
        <f>B812+1</f>
        <v/>
      </c>
      <c r="C813" s="39">
        <f>TEXT(B813,"aaa")</f>
        <v/>
      </c>
      <c r="D813" s="39" t="inlineStr">
        <is>
          <t>네이버 브랜드검색</t>
        </is>
      </c>
      <c r="K813" s="49">
        <f>600000/30</f>
        <v/>
      </c>
    </row>
    <row r="814">
      <c r="B814" s="51">
        <f>B813+1</f>
        <v/>
      </c>
      <c r="C814" s="39">
        <f>TEXT(B814,"aaa")</f>
        <v/>
      </c>
      <c r="D814" s="39" t="inlineStr">
        <is>
          <t>네이버 브랜드검색</t>
        </is>
      </c>
      <c r="K814" s="49">
        <f>600000/30</f>
        <v/>
      </c>
    </row>
    <row r="815">
      <c r="B815" s="51">
        <f>B814+1</f>
        <v/>
      </c>
      <c r="C815" s="39">
        <f>TEXT(B815,"aaa")</f>
        <v/>
      </c>
      <c r="D815" s="39" t="inlineStr">
        <is>
          <t>네이버 브랜드검색</t>
        </is>
      </c>
      <c r="K815" s="49">
        <f>600000/30</f>
        <v/>
      </c>
    </row>
    <row r="816">
      <c r="B816" s="51">
        <f>B815+1</f>
        <v/>
      </c>
      <c r="C816" s="39">
        <f>TEXT(B816,"aaa")</f>
        <v/>
      </c>
      <c r="D816" s="39" t="inlineStr">
        <is>
          <t>네이버 브랜드검색</t>
        </is>
      </c>
      <c r="K816" s="49">
        <f>600000/30</f>
        <v/>
      </c>
    </row>
    <row r="817">
      <c r="B817" s="51">
        <f>B816+1</f>
        <v/>
      </c>
      <c r="C817" s="39">
        <f>TEXT(B817,"aaa")</f>
        <v/>
      </c>
      <c r="D817" s="39" t="inlineStr">
        <is>
          <t>네이버 브랜드검색</t>
        </is>
      </c>
      <c r="K817" s="49">
        <f>600000/30</f>
        <v/>
      </c>
    </row>
    <row r="818">
      <c r="B818" s="51">
        <f>B817+1</f>
        <v/>
      </c>
      <c r="C818" s="39">
        <f>TEXT(B818,"aaa")</f>
        <v/>
      </c>
      <c r="D818" s="39" t="inlineStr">
        <is>
          <t>네이버 브랜드검색</t>
        </is>
      </c>
      <c r="K818" s="49">
        <f>600000/30</f>
        <v/>
      </c>
    </row>
    <row r="819">
      <c r="B819" s="51">
        <f>B818+1</f>
        <v/>
      </c>
      <c r="C819" s="39">
        <f>TEXT(B819,"aaa")</f>
        <v/>
      </c>
      <c r="D819" s="39" t="inlineStr">
        <is>
          <t>네이버 브랜드검색</t>
        </is>
      </c>
      <c r="K819" s="49">
        <f>600000/30</f>
        <v/>
      </c>
    </row>
    <row r="820">
      <c r="B820" s="51">
        <f>B819+1</f>
        <v/>
      </c>
      <c r="C820" s="39">
        <f>TEXT(B820,"aaa")</f>
        <v/>
      </c>
      <c r="D820" s="39" t="inlineStr">
        <is>
          <t>네이버 브랜드검색</t>
        </is>
      </c>
      <c r="K820" s="49">
        <f>600000/30</f>
        <v/>
      </c>
    </row>
    <row r="821">
      <c r="B821" s="51">
        <f>B820+1</f>
        <v/>
      </c>
      <c r="C821" s="39">
        <f>TEXT(B821,"aaa")</f>
        <v/>
      </c>
      <c r="D821" s="39" t="inlineStr">
        <is>
          <t>네이버 브랜드검색</t>
        </is>
      </c>
      <c r="K821" s="49">
        <f>600000/30</f>
        <v/>
      </c>
    </row>
    <row r="822">
      <c r="B822" s="51">
        <f>B821+1</f>
        <v/>
      </c>
      <c r="C822" s="39">
        <f>TEXT(B822,"aaa")</f>
        <v/>
      </c>
      <c r="D822" s="39" t="inlineStr">
        <is>
          <t>네이버 브랜드검색</t>
        </is>
      </c>
      <c r="K822" s="49">
        <f>600000/30</f>
        <v/>
      </c>
    </row>
    <row r="823">
      <c r="B823" s="51">
        <f>B822+1</f>
        <v/>
      </c>
      <c r="C823" s="39">
        <f>TEXT(B823,"aaa")</f>
        <v/>
      </c>
      <c r="D823" s="39" t="inlineStr">
        <is>
          <t>네이버 브랜드검색</t>
        </is>
      </c>
      <c r="K823" s="49">
        <f>600000/30</f>
        <v/>
      </c>
    </row>
    <row r="824">
      <c r="B824" s="51">
        <f>B823+1</f>
        <v/>
      </c>
      <c r="C824" s="39">
        <f>TEXT(B824,"aaa")</f>
        <v/>
      </c>
      <c r="D824" s="39" t="inlineStr">
        <is>
          <t>네이버 브랜드검색</t>
        </is>
      </c>
      <c r="K824" s="49">
        <f>600000/30</f>
        <v/>
      </c>
    </row>
    <row r="825">
      <c r="B825" s="51">
        <f>B824+1</f>
        <v/>
      </c>
      <c r="C825" s="39">
        <f>TEXT(B825,"aaa")</f>
        <v/>
      </c>
      <c r="D825" s="39" t="inlineStr">
        <is>
          <t>네이버 브랜드검색</t>
        </is>
      </c>
      <c r="K825" s="49">
        <f>600000/30</f>
        <v/>
      </c>
    </row>
    <row r="826">
      <c r="B826" s="51">
        <f>B825+1</f>
        <v/>
      </c>
      <c r="C826" s="39">
        <f>TEXT(B826,"aaa")</f>
        <v/>
      </c>
      <c r="D826" s="39" t="inlineStr">
        <is>
          <t>네이버 브랜드검색</t>
        </is>
      </c>
      <c r="K826" s="49">
        <f>600000/30</f>
        <v/>
      </c>
    </row>
    <row r="827">
      <c r="B827" s="51">
        <f>B826+1</f>
        <v/>
      </c>
      <c r="C827" s="39">
        <f>TEXT(B827,"aaa")</f>
        <v/>
      </c>
      <c r="D827" s="39" t="inlineStr">
        <is>
          <t>네이버 브랜드검색</t>
        </is>
      </c>
      <c r="K827" s="49">
        <f>600000/30</f>
        <v/>
      </c>
    </row>
    <row r="828">
      <c r="B828" s="51">
        <f>B827+1</f>
        <v/>
      </c>
      <c r="C828" s="39">
        <f>TEXT(B828,"aaa")</f>
        <v/>
      </c>
      <c r="D828" s="39" t="inlineStr">
        <is>
          <t>네이버 브랜드검색</t>
        </is>
      </c>
      <c r="K828" s="49">
        <f>600000/30</f>
        <v/>
      </c>
    </row>
    <row r="829">
      <c r="B829" s="51">
        <f>B828+1</f>
        <v/>
      </c>
      <c r="C829" s="39">
        <f>TEXT(B829,"aaa")</f>
        <v/>
      </c>
      <c r="D829" s="39" t="inlineStr">
        <is>
          <t>네이버 브랜드검색</t>
        </is>
      </c>
      <c r="K829" s="49">
        <f>600000/30</f>
        <v/>
      </c>
    </row>
    <row r="830">
      <c r="B830" s="51">
        <f>B829+1</f>
        <v/>
      </c>
      <c r="C830" s="39">
        <f>TEXT(B830,"aaa")</f>
        <v/>
      </c>
      <c r="D830" s="39" t="inlineStr">
        <is>
          <t>네이버 브랜드검색</t>
        </is>
      </c>
      <c r="K830" s="49">
        <f>600000/30</f>
        <v/>
      </c>
    </row>
    <row r="831">
      <c r="B831" s="51">
        <f>B830+1</f>
        <v/>
      </c>
      <c r="C831" s="39">
        <f>TEXT(B831,"aaa")</f>
        <v/>
      </c>
      <c r="D831" s="39" t="inlineStr">
        <is>
          <t>네이버 브랜드검색</t>
        </is>
      </c>
      <c r="K831" s="49">
        <f>600000/30</f>
        <v/>
      </c>
    </row>
    <row r="832">
      <c r="B832" s="51">
        <f>B831+1</f>
        <v/>
      </c>
      <c r="C832" s="39">
        <f>TEXT(B832,"aaa")</f>
        <v/>
      </c>
      <c r="D832" s="39" t="inlineStr">
        <is>
          <t>네이버 브랜드검색</t>
        </is>
      </c>
      <c r="K832" s="49">
        <f>600000/30</f>
        <v/>
      </c>
    </row>
    <row r="833">
      <c r="B833" s="51">
        <f>B832+1</f>
        <v/>
      </c>
      <c r="C833" s="39">
        <f>TEXT(B833,"aaa")</f>
        <v/>
      </c>
      <c r="D833" s="39" t="inlineStr">
        <is>
          <t>네이버 브랜드검색</t>
        </is>
      </c>
      <c r="K833" s="49">
        <f>600000/30</f>
        <v/>
      </c>
    </row>
    <row r="834">
      <c r="B834" s="51">
        <f>B833+1</f>
        <v/>
      </c>
      <c r="C834" s="39">
        <f>TEXT(B834,"aaa")</f>
        <v/>
      </c>
      <c r="D834" s="39" t="inlineStr">
        <is>
          <t>네이버 브랜드검색</t>
        </is>
      </c>
      <c r="K834" s="49">
        <f>600000/30</f>
        <v/>
      </c>
    </row>
    <row r="835">
      <c r="B835" s="51">
        <f>B834+1</f>
        <v/>
      </c>
      <c r="C835" s="39">
        <f>TEXT(B835,"aaa")</f>
        <v/>
      </c>
      <c r="D835" s="39" t="inlineStr">
        <is>
          <t>네이버 브랜드검색</t>
        </is>
      </c>
      <c r="K835" s="49">
        <f>600000/30</f>
        <v/>
      </c>
    </row>
    <row r="836">
      <c r="B836" s="51">
        <f>B835+1</f>
        <v/>
      </c>
      <c r="C836" s="39">
        <f>TEXT(B836,"aaa")</f>
        <v/>
      </c>
      <c r="D836" s="39" t="inlineStr">
        <is>
          <t>네이버 브랜드검색</t>
        </is>
      </c>
      <c r="K836" s="49">
        <f>600000/30</f>
        <v/>
      </c>
    </row>
    <row r="837">
      <c r="B837" s="51">
        <f>B836+1</f>
        <v/>
      </c>
      <c r="C837" s="39">
        <f>TEXT(B837,"aaa")</f>
        <v/>
      </c>
      <c r="D837" s="39" t="inlineStr">
        <is>
          <t>네이버 브랜드검색</t>
        </is>
      </c>
      <c r="K837" s="49">
        <f>600000/30</f>
        <v/>
      </c>
    </row>
    <row r="838">
      <c r="B838" s="51">
        <f>B837+1</f>
        <v/>
      </c>
      <c r="C838" s="39">
        <f>TEXT(B838,"aaa")</f>
        <v/>
      </c>
      <c r="D838" s="39" t="inlineStr">
        <is>
          <t>네이버 브랜드검색</t>
        </is>
      </c>
      <c r="K838" s="49">
        <f>600000/30</f>
        <v/>
      </c>
    </row>
    <row r="839">
      <c r="B839" s="51">
        <f>B838+1</f>
        <v/>
      </c>
      <c r="C839" s="39">
        <f>TEXT(B839,"aaa")</f>
        <v/>
      </c>
      <c r="D839" s="39" t="inlineStr">
        <is>
          <t>네이버 브랜드검색</t>
        </is>
      </c>
      <c r="K839" s="49">
        <f>600000/30</f>
        <v/>
      </c>
    </row>
    <row r="840">
      <c r="B840" s="51">
        <f>B839+1</f>
        <v/>
      </c>
      <c r="C840" s="39">
        <f>TEXT(B840,"aaa")</f>
        <v/>
      </c>
      <c r="D840" s="39" t="inlineStr">
        <is>
          <t>네이버 브랜드검색</t>
        </is>
      </c>
      <c r="K840" s="49">
        <f>600000/30</f>
        <v/>
      </c>
    </row>
    <row r="841">
      <c r="B841" s="51">
        <f>B840+1</f>
        <v/>
      </c>
      <c r="C841" s="39">
        <f>TEXT(B841,"aaa")</f>
        <v/>
      </c>
      <c r="D841" s="39" t="inlineStr">
        <is>
          <t>네이버 브랜드검색</t>
        </is>
      </c>
      <c r="K841" s="49">
        <f>5400000/90</f>
        <v/>
      </c>
    </row>
    <row r="842">
      <c r="B842" s="51">
        <f>B841+1</f>
        <v/>
      </c>
      <c r="C842" s="39">
        <f>TEXT(B842,"aaa")</f>
        <v/>
      </c>
      <c r="D842" s="39" t="inlineStr">
        <is>
          <t>네이버 브랜드검색</t>
        </is>
      </c>
      <c r="K842" s="49">
        <f>5400000/90</f>
        <v/>
      </c>
    </row>
    <row r="843">
      <c r="B843" s="51">
        <f>B842+1</f>
        <v/>
      </c>
      <c r="C843" s="39">
        <f>TEXT(B843,"aaa")</f>
        <v/>
      </c>
      <c r="D843" s="39" t="inlineStr">
        <is>
          <t>네이버 브랜드검색</t>
        </is>
      </c>
      <c r="K843" s="49">
        <f>5400000/90</f>
        <v/>
      </c>
    </row>
    <row r="844">
      <c r="B844" s="51">
        <f>B843+1</f>
        <v/>
      </c>
      <c r="C844" s="39">
        <f>TEXT(B844,"aaa")</f>
        <v/>
      </c>
      <c r="D844" s="39" t="inlineStr">
        <is>
          <t>네이버 브랜드검색</t>
        </is>
      </c>
      <c r="K844" s="49">
        <f>5400000/90</f>
        <v/>
      </c>
    </row>
    <row r="845">
      <c r="B845" s="51">
        <f>B844+1</f>
        <v/>
      </c>
      <c r="C845" s="39">
        <f>TEXT(B845,"aaa")</f>
        <v/>
      </c>
      <c r="D845" s="39" t="inlineStr">
        <is>
          <t>네이버 브랜드검색</t>
        </is>
      </c>
      <c r="K845" s="49">
        <f>5400000/90</f>
        <v/>
      </c>
    </row>
    <row r="846">
      <c r="B846" s="51">
        <f>B845+1</f>
        <v/>
      </c>
      <c r="C846" s="39">
        <f>TEXT(B846,"aaa")</f>
        <v/>
      </c>
      <c r="D846" s="39" t="inlineStr">
        <is>
          <t>네이버 브랜드검색</t>
        </is>
      </c>
      <c r="K846" s="49">
        <f>5400000/90</f>
        <v/>
      </c>
    </row>
    <row r="847">
      <c r="B847" s="51">
        <f>B846+1</f>
        <v/>
      </c>
      <c r="C847" s="39">
        <f>TEXT(B847,"aaa")</f>
        <v/>
      </c>
      <c r="D847" s="39" t="inlineStr">
        <is>
          <t>네이버 브랜드검색</t>
        </is>
      </c>
      <c r="K847" s="49">
        <f>5400000/90</f>
        <v/>
      </c>
    </row>
    <row r="848">
      <c r="B848" s="51">
        <f>B847+1</f>
        <v/>
      </c>
      <c r="C848" s="39">
        <f>TEXT(B848,"aaa")</f>
        <v/>
      </c>
      <c r="D848" s="39" t="inlineStr">
        <is>
          <t>네이버 브랜드검색</t>
        </is>
      </c>
      <c r="K848" s="49">
        <f>5400000/90</f>
        <v/>
      </c>
    </row>
    <row r="849">
      <c r="B849" s="51">
        <f>B848+1</f>
        <v/>
      </c>
      <c r="C849" s="39">
        <f>TEXT(B849,"aaa")</f>
        <v/>
      </c>
      <c r="D849" s="39" t="inlineStr">
        <is>
          <t>네이버 브랜드검색</t>
        </is>
      </c>
      <c r="K849" s="49">
        <f>5400000/90</f>
        <v/>
      </c>
    </row>
    <row r="850">
      <c r="B850" s="51">
        <f>B849+1</f>
        <v/>
      </c>
      <c r="C850" s="39">
        <f>TEXT(B850,"aaa")</f>
        <v/>
      </c>
      <c r="D850" s="39" t="inlineStr">
        <is>
          <t>네이버 브랜드검색</t>
        </is>
      </c>
      <c r="K850" s="49">
        <f>5400000/90</f>
        <v/>
      </c>
    </row>
    <row r="851">
      <c r="B851" s="51">
        <f>B850+1</f>
        <v/>
      </c>
      <c r="C851" s="39">
        <f>TEXT(B851,"aaa")</f>
        <v/>
      </c>
      <c r="D851" s="39" t="inlineStr">
        <is>
          <t>네이버 브랜드검색</t>
        </is>
      </c>
      <c r="K851" s="49">
        <f>5400000/90</f>
        <v/>
      </c>
    </row>
    <row r="852">
      <c r="B852" s="51">
        <f>B851+1</f>
        <v/>
      </c>
      <c r="C852" s="39">
        <f>TEXT(B852,"aaa")</f>
        <v/>
      </c>
      <c r="D852" s="39" t="inlineStr">
        <is>
          <t>네이버 브랜드검색</t>
        </is>
      </c>
      <c r="K852" s="49">
        <f>5400000/90</f>
        <v/>
      </c>
    </row>
    <row r="853">
      <c r="B853" s="51">
        <f>B852+1</f>
        <v/>
      </c>
      <c r="C853" s="39">
        <f>TEXT(B853,"aaa")</f>
        <v/>
      </c>
      <c r="D853" s="39" t="inlineStr">
        <is>
          <t>네이버 브랜드검색</t>
        </is>
      </c>
      <c r="K853" s="49">
        <f>5400000/90</f>
        <v/>
      </c>
    </row>
    <row r="854">
      <c r="B854" s="51">
        <f>B853+1</f>
        <v/>
      </c>
      <c r="C854" s="39">
        <f>TEXT(B854,"aaa")</f>
        <v/>
      </c>
      <c r="D854" s="39" t="inlineStr">
        <is>
          <t>네이버 브랜드검색</t>
        </is>
      </c>
      <c r="K854" s="49">
        <f>5400000/90</f>
        <v/>
      </c>
    </row>
    <row r="855">
      <c r="B855" s="51">
        <f>B854+1</f>
        <v/>
      </c>
      <c r="C855" s="39">
        <f>TEXT(B855,"aaa")</f>
        <v/>
      </c>
      <c r="D855" s="39" t="inlineStr">
        <is>
          <t>네이버 브랜드검색</t>
        </is>
      </c>
      <c r="K855" s="49">
        <f>5400000/90</f>
        <v/>
      </c>
    </row>
    <row r="856">
      <c r="B856" s="51">
        <f>B855+1</f>
        <v/>
      </c>
      <c r="C856" s="39">
        <f>TEXT(B856,"aaa")</f>
        <v/>
      </c>
      <c r="D856" s="39" t="inlineStr">
        <is>
          <t>네이버 브랜드검색</t>
        </is>
      </c>
      <c r="K856" s="49">
        <f>5400000/90</f>
        <v/>
      </c>
    </row>
    <row r="857">
      <c r="B857" s="51">
        <f>B856+1</f>
        <v/>
      </c>
      <c r="C857" s="39">
        <f>TEXT(B857,"aaa")</f>
        <v/>
      </c>
      <c r="D857" s="39" t="inlineStr">
        <is>
          <t>네이버 브랜드검색</t>
        </is>
      </c>
      <c r="K857" s="49">
        <f>5400000/90</f>
        <v/>
      </c>
    </row>
    <row r="858">
      <c r="B858" s="51">
        <f>B857+1</f>
        <v/>
      </c>
      <c r="C858" s="39">
        <f>TEXT(B858,"aaa")</f>
        <v/>
      </c>
      <c r="D858" s="39" t="inlineStr">
        <is>
          <t>네이버 브랜드검색</t>
        </is>
      </c>
      <c r="K858" s="49">
        <f>5400000/90</f>
        <v/>
      </c>
    </row>
    <row r="859">
      <c r="B859" s="51">
        <f>B858+1</f>
        <v/>
      </c>
      <c r="C859" s="39">
        <f>TEXT(B859,"aaa")</f>
        <v/>
      </c>
      <c r="D859" s="39" t="inlineStr">
        <is>
          <t>네이버 브랜드검색</t>
        </is>
      </c>
      <c r="K859" s="49">
        <f>5400000/90</f>
        <v/>
      </c>
    </row>
    <row r="860">
      <c r="B860" s="51">
        <f>B859+1</f>
        <v/>
      </c>
      <c r="C860" s="39">
        <f>TEXT(B860,"aaa")</f>
        <v/>
      </c>
      <c r="D860" s="39" t="inlineStr">
        <is>
          <t>네이버 브랜드검색</t>
        </is>
      </c>
      <c r="K860" s="49">
        <f>5400000/90</f>
        <v/>
      </c>
    </row>
    <row r="861">
      <c r="B861" s="51">
        <f>B860+1</f>
        <v/>
      </c>
      <c r="C861" s="39">
        <f>TEXT(B861,"aaa")</f>
        <v/>
      </c>
      <c r="D861" s="39" t="inlineStr">
        <is>
          <t>네이버 브랜드검색</t>
        </is>
      </c>
      <c r="K861" s="49">
        <f>5400000/90</f>
        <v/>
      </c>
    </row>
    <row r="862">
      <c r="B862" s="51">
        <f>B861+1</f>
        <v/>
      </c>
      <c r="C862" s="39">
        <f>TEXT(B862,"aaa")</f>
        <v/>
      </c>
      <c r="D862" s="39" t="inlineStr">
        <is>
          <t>네이버 브랜드검색</t>
        </is>
      </c>
      <c r="K862" s="49">
        <f>5400000/90</f>
        <v/>
      </c>
    </row>
    <row r="863">
      <c r="B863" s="51">
        <f>B862+1</f>
        <v/>
      </c>
      <c r="C863" s="39">
        <f>TEXT(B863,"aaa")</f>
        <v/>
      </c>
      <c r="D863" s="39" t="inlineStr">
        <is>
          <t>네이버 브랜드검색</t>
        </is>
      </c>
      <c r="K863" s="49">
        <f>5400000/90</f>
        <v/>
      </c>
    </row>
    <row r="864">
      <c r="B864" s="51">
        <f>B863+1</f>
        <v/>
      </c>
      <c r="C864" s="39">
        <f>TEXT(B864,"aaa")</f>
        <v/>
      </c>
      <c r="D864" s="39" t="inlineStr">
        <is>
          <t>네이버 브랜드검색</t>
        </is>
      </c>
      <c r="K864" s="49">
        <f>5400000/90</f>
        <v/>
      </c>
    </row>
    <row r="865">
      <c r="B865" s="51">
        <f>B864+1</f>
        <v/>
      </c>
      <c r="C865" s="39">
        <f>TEXT(B865,"aaa")</f>
        <v/>
      </c>
      <c r="D865" s="39" t="inlineStr">
        <is>
          <t>네이버 브랜드검색</t>
        </is>
      </c>
      <c r="K865" s="49">
        <f>5400000/90</f>
        <v/>
      </c>
    </row>
    <row r="866">
      <c r="B866" s="51">
        <f>B865+1</f>
        <v/>
      </c>
      <c r="C866" s="39">
        <f>TEXT(B866,"aaa")</f>
        <v/>
      </c>
      <c r="D866" s="39" t="inlineStr">
        <is>
          <t>네이버 브랜드검색</t>
        </is>
      </c>
      <c r="K866" s="49">
        <f>5400000/90</f>
        <v/>
      </c>
    </row>
    <row r="867">
      <c r="B867" s="51">
        <f>B866+1</f>
        <v/>
      </c>
      <c r="C867" s="39">
        <f>TEXT(B867,"aaa")</f>
        <v/>
      </c>
      <c r="D867" s="39" t="inlineStr">
        <is>
          <t>네이버 브랜드검색</t>
        </is>
      </c>
      <c r="K867" s="49">
        <f>5400000/90</f>
        <v/>
      </c>
    </row>
    <row r="868">
      <c r="B868" s="51">
        <f>B867+1</f>
        <v/>
      </c>
      <c r="C868" s="39">
        <f>TEXT(B868,"aaa")</f>
        <v/>
      </c>
      <c r="D868" s="39" t="inlineStr">
        <is>
          <t>네이버 브랜드검색</t>
        </is>
      </c>
      <c r="K868" s="49">
        <f>5400000/90</f>
        <v/>
      </c>
    </row>
    <row r="869">
      <c r="B869" s="51">
        <f>B868+1</f>
        <v/>
      </c>
      <c r="C869" s="39">
        <f>TEXT(B869,"aaa")</f>
        <v/>
      </c>
      <c r="D869" s="39" t="inlineStr">
        <is>
          <t>네이버 브랜드검색</t>
        </is>
      </c>
      <c r="K869" s="49">
        <f>5400000/90</f>
        <v/>
      </c>
    </row>
    <row r="870">
      <c r="B870" s="51">
        <f>B869+1</f>
        <v/>
      </c>
      <c r="C870" s="39">
        <f>TEXT(B870,"aaa")</f>
        <v/>
      </c>
      <c r="D870" s="39" t="inlineStr">
        <is>
          <t>네이버 브랜드검색</t>
        </is>
      </c>
      <c r="K870" s="49">
        <f>5400000/90</f>
        <v/>
      </c>
    </row>
    <row r="871">
      <c r="B871" s="51">
        <f>B870+1</f>
        <v/>
      </c>
      <c r="C871" s="39">
        <f>TEXT(B871,"aaa")</f>
        <v/>
      </c>
      <c r="D871" s="39" t="inlineStr">
        <is>
          <t>네이버 브랜드검색</t>
        </is>
      </c>
      <c r="K871" s="49">
        <f>5400000/90</f>
        <v/>
      </c>
    </row>
    <row r="872">
      <c r="B872" s="51">
        <f>B871+1</f>
        <v/>
      </c>
      <c r="C872" s="39">
        <f>TEXT(B872,"aaa")</f>
        <v/>
      </c>
      <c r="D872" s="39" t="inlineStr">
        <is>
          <t>네이버 브랜드검색</t>
        </is>
      </c>
      <c r="K872" s="49">
        <f>5400000/90</f>
        <v/>
      </c>
    </row>
    <row r="873">
      <c r="B873" s="51">
        <f>B872+1</f>
        <v/>
      </c>
      <c r="C873" s="39">
        <f>TEXT(B873,"aaa")</f>
        <v/>
      </c>
      <c r="D873" s="39" t="inlineStr">
        <is>
          <t>네이버 브랜드검색</t>
        </is>
      </c>
      <c r="K873" s="49">
        <f>5400000/90</f>
        <v/>
      </c>
    </row>
    <row r="874">
      <c r="B874" s="51">
        <f>B873+1</f>
        <v/>
      </c>
      <c r="C874" s="39">
        <f>TEXT(B874,"aaa")</f>
        <v/>
      </c>
      <c r="D874" s="39" t="inlineStr">
        <is>
          <t>네이버 브랜드검색</t>
        </is>
      </c>
      <c r="K874" s="49">
        <f>5400000/90</f>
        <v/>
      </c>
    </row>
    <row r="875">
      <c r="B875" s="51">
        <f>B874+1</f>
        <v/>
      </c>
      <c r="C875" s="39">
        <f>TEXT(B875,"aaa")</f>
        <v/>
      </c>
      <c r="D875" s="39" t="inlineStr">
        <is>
          <t>네이버 브랜드검색</t>
        </is>
      </c>
      <c r="K875" s="49">
        <f>5400000/90</f>
        <v/>
      </c>
    </row>
    <row r="876">
      <c r="B876" s="51">
        <f>B875+1</f>
        <v/>
      </c>
      <c r="C876" s="39">
        <f>TEXT(B876,"aaa")</f>
        <v/>
      </c>
      <c r="D876" s="39" t="inlineStr">
        <is>
          <t>네이버 브랜드검색</t>
        </is>
      </c>
      <c r="K876" s="49">
        <f>5400000/90</f>
        <v/>
      </c>
    </row>
    <row r="877">
      <c r="B877" s="51">
        <f>B876+1</f>
        <v/>
      </c>
      <c r="C877" s="39">
        <f>TEXT(B877,"aaa")</f>
        <v/>
      </c>
      <c r="D877" s="39" t="inlineStr">
        <is>
          <t>네이버 브랜드검색</t>
        </is>
      </c>
      <c r="K877" s="49">
        <f>5400000/90</f>
        <v/>
      </c>
    </row>
    <row r="878">
      <c r="B878" s="51">
        <f>B877+1</f>
        <v/>
      </c>
      <c r="C878" s="39">
        <f>TEXT(B878,"aaa")</f>
        <v/>
      </c>
      <c r="D878" s="39" t="inlineStr">
        <is>
          <t>네이버 브랜드검색</t>
        </is>
      </c>
      <c r="K878" s="49">
        <f>5400000/90</f>
        <v/>
      </c>
    </row>
    <row r="879">
      <c r="B879" s="51">
        <f>B878+1</f>
        <v/>
      </c>
      <c r="C879" s="39">
        <f>TEXT(B879,"aaa")</f>
        <v/>
      </c>
      <c r="D879" s="39" t="inlineStr">
        <is>
          <t>네이버 브랜드검색</t>
        </is>
      </c>
      <c r="K879" s="49">
        <f>5400000/90</f>
        <v/>
      </c>
    </row>
    <row r="880">
      <c r="B880" s="51">
        <f>B879+1</f>
        <v/>
      </c>
      <c r="C880" s="39">
        <f>TEXT(B880,"aaa")</f>
        <v/>
      </c>
      <c r="D880" s="39" t="inlineStr">
        <is>
          <t>네이버 브랜드검색</t>
        </is>
      </c>
      <c r="K880" s="49">
        <f>5400000/90</f>
        <v/>
      </c>
    </row>
    <row r="881">
      <c r="B881" s="51">
        <f>B880+1</f>
        <v/>
      </c>
      <c r="C881" s="39">
        <f>TEXT(B881,"aaa")</f>
        <v/>
      </c>
      <c r="D881" s="39" t="inlineStr">
        <is>
          <t>네이버 브랜드검색</t>
        </is>
      </c>
      <c r="K881" s="49">
        <f>5400000/90</f>
        <v/>
      </c>
    </row>
    <row r="882">
      <c r="B882" s="51">
        <f>B881+1</f>
        <v/>
      </c>
      <c r="C882" s="39">
        <f>TEXT(B882,"aaa")</f>
        <v/>
      </c>
      <c r="D882" s="39" t="inlineStr">
        <is>
          <t>네이버 브랜드검색</t>
        </is>
      </c>
      <c r="K882" s="49">
        <f>5400000/90</f>
        <v/>
      </c>
    </row>
    <row r="883">
      <c r="B883" s="51">
        <f>B882+1</f>
        <v/>
      </c>
      <c r="C883" s="39">
        <f>TEXT(B883,"aaa")</f>
        <v/>
      </c>
      <c r="D883" s="39" t="inlineStr">
        <is>
          <t>네이버 브랜드검색</t>
        </is>
      </c>
      <c r="K883" s="49">
        <f>5400000/90</f>
        <v/>
      </c>
    </row>
    <row r="884">
      <c r="B884" s="51">
        <f>B883+1</f>
        <v/>
      </c>
      <c r="C884" s="39">
        <f>TEXT(B884,"aaa")</f>
        <v/>
      </c>
      <c r="D884" s="39" t="inlineStr">
        <is>
          <t>네이버 브랜드검색</t>
        </is>
      </c>
      <c r="K884" s="49">
        <f>5400000/90</f>
        <v/>
      </c>
    </row>
    <row r="885">
      <c r="B885" s="51">
        <f>B884+1</f>
        <v/>
      </c>
      <c r="C885" s="39">
        <f>TEXT(B885,"aaa")</f>
        <v/>
      </c>
      <c r="D885" s="39" t="inlineStr">
        <is>
          <t>네이버 브랜드검색</t>
        </is>
      </c>
      <c r="K885" s="49">
        <f>5400000/90</f>
        <v/>
      </c>
    </row>
    <row r="886">
      <c r="B886" s="51">
        <f>B885+1</f>
        <v/>
      </c>
      <c r="C886" s="39">
        <f>TEXT(B886,"aaa")</f>
        <v/>
      </c>
      <c r="D886" s="39" t="inlineStr">
        <is>
          <t>네이버 브랜드검색</t>
        </is>
      </c>
      <c r="K886" s="49">
        <f>5400000/90</f>
        <v/>
      </c>
    </row>
    <row r="887">
      <c r="B887" s="51">
        <f>B886+1</f>
        <v/>
      </c>
      <c r="C887" s="39">
        <f>TEXT(B887,"aaa")</f>
        <v/>
      </c>
      <c r="D887" s="39" t="inlineStr">
        <is>
          <t>네이버 브랜드검색</t>
        </is>
      </c>
      <c r="K887" s="49">
        <f>5400000/90</f>
        <v/>
      </c>
    </row>
    <row r="888">
      <c r="B888" s="51">
        <f>B887+1</f>
        <v/>
      </c>
      <c r="C888" s="39">
        <f>TEXT(B888,"aaa")</f>
        <v/>
      </c>
      <c r="D888" s="39" t="inlineStr">
        <is>
          <t>네이버 브랜드검색</t>
        </is>
      </c>
      <c r="K888" s="49">
        <f>5400000/90</f>
        <v/>
      </c>
    </row>
    <row r="889">
      <c r="B889" s="51">
        <f>B888+1</f>
        <v/>
      </c>
      <c r="C889" s="39">
        <f>TEXT(B889,"aaa")</f>
        <v/>
      </c>
      <c r="D889" s="39" t="inlineStr">
        <is>
          <t>네이버 브랜드검색</t>
        </is>
      </c>
      <c r="K889" s="49">
        <f>5400000/90</f>
        <v/>
      </c>
    </row>
    <row r="890">
      <c r="B890" s="51">
        <f>B889+1</f>
        <v/>
      </c>
      <c r="C890" s="39">
        <f>TEXT(B890,"aaa")</f>
        <v/>
      </c>
      <c r="D890" s="39" t="inlineStr">
        <is>
          <t>네이버 브랜드검색</t>
        </is>
      </c>
      <c r="K890" s="49">
        <f>5400000/90</f>
        <v/>
      </c>
    </row>
    <row r="891">
      <c r="B891" s="51">
        <f>B890+1</f>
        <v/>
      </c>
      <c r="C891" s="39">
        <f>TEXT(B891,"aaa")</f>
        <v/>
      </c>
      <c r="D891" s="39" t="inlineStr">
        <is>
          <t>네이버 브랜드검색</t>
        </is>
      </c>
      <c r="K891" s="49">
        <f>5400000/90</f>
        <v/>
      </c>
    </row>
    <row r="892">
      <c r="B892" s="51">
        <f>B891+1</f>
        <v/>
      </c>
      <c r="C892" s="39">
        <f>TEXT(B892,"aaa")</f>
        <v/>
      </c>
      <c r="D892" s="39" t="inlineStr">
        <is>
          <t>네이버 브랜드검색</t>
        </is>
      </c>
      <c r="K892" s="49">
        <f>5400000/90</f>
        <v/>
      </c>
    </row>
    <row r="893">
      <c r="B893" s="51">
        <f>B892+1</f>
        <v/>
      </c>
      <c r="C893" s="39">
        <f>TEXT(B893,"aaa")</f>
        <v/>
      </c>
      <c r="D893" s="39" t="inlineStr">
        <is>
          <t>네이버 브랜드검색</t>
        </is>
      </c>
      <c r="K893" s="49">
        <f>5400000/90</f>
        <v/>
      </c>
    </row>
    <row r="894">
      <c r="B894" s="51">
        <f>B893+1</f>
        <v/>
      </c>
      <c r="C894" s="39">
        <f>TEXT(B894,"aaa")</f>
        <v/>
      </c>
      <c r="D894" s="39" t="inlineStr">
        <is>
          <t>네이버 브랜드검색</t>
        </is>
      </c>
      <c r="K894" s="49">
        <f>5400000/90</f>
        <v/>
      </c>
    </row>
    <row r="895">
      <c r="B895" s="51">
        <f>B894+1</f>
        <v/>
      </c>
      <c r="C895" s="39">
        <f>TEXT(B895,"aaa")</f>
        <v/>
      </c>
      <c r="D895" s="39" t="inlineStr">
        <is>
          <t>네이버 브랜드검색</t>
        </is>
      </c>
      <c r="K895" s="49">
        <f>5400000/90</f>
        <v/>
      </c>
    </row>
    <row r="896">
      <c r="B896" s="51">
        <f>B895+1</f>
        <v/>
      </c>
      <c r="C896" s="39">
        <f>TEXT(B896,"aaa")</f>
        <v/>
      </c>
      <c r="D896" s="39" t="inlineStr">
        <is>
          <t>네이버 브랜드검색</t>
        </is>
      </c>
      <c r="K896" s="49">
        <f>5400000/90</f>
        <v/>
      </c>
    </row>
    <row r="897">
      <c r="B897" s="51">
        <f>B896+1</f>
        <v/>
      </c>
      <c r="C897" s="39">
        <f>TEXT(B897,"aaa")</f>
        <v/>
      </c>
      <c r="D897" s="39" t="inlineStr">
        <is>
          <t>네이버 브랜드검색</t>
        </is>
      </c>
      <c r="K897" s="49">
        <f>5400000/90</f>
        <v/>
      </c>
    </row>
    <row r="898">
      <c r="B898" s="51">
        <f>B897+1</f>
        <v/>
      </c>
      <c r="C898" s="39">
        <f>TEXT(B898,"aaa")</f>
        <v/>
      </c>
      <c r="D898" s="39" t="inlineStr">
        <is>
          <t>네이버 브랜드검색</t>
        </is>
      </c>
      <c r="K898" s="49">
        <f>5400000/90</f>
        <v/>
      </c>
    </row>
    <row r="899">
      <c r="B899" s="51">
        <f>B898+1</f>
        <v/>
      </c>
      <c r="C899" s="39">
        <f>TEXT(B899,"aaa")</f>
        <v/>
      </c>
      <c r="D899" s="39" t="inlineStr">
        <is>
          <t>네이버 브랜드검색</t>
        </is>
      </c>
      <c r="K899" s="49">
        <f>5400000/90</f>
        <v/>
      </c>
    </row>
    <row r="900">
      <c r="B900" s="51">
        <f>B899+1</f>
        <v/>
      </c>
      <c r="C900" s="39">
        <f>TEXT(B900,"aaa")</f>
        <v/>
      </c>
      <c r="D900" s="39" t="inlineStr">
        <is>
          <t>네이버 브랜드검색</t>
        </is>
      </c>
      <c r="K900" s="49">
        <f>5400000/90</f>
        <v/>
      </c>
    </row>
    <row r="901">
      <c r="B901" s="51">
        <f>B900+1</f>
        <v/>
      </c>
      <c r="C901" s="39">
        <f>TEXT(B901,"aaa")</f>
        <v/>
      </c>
      <c r="D901" s="39" t="inlineStr">
        <is>
          <t>네이버 브랜드검색</t>
        </is>
      </c>
      <c r="K901" s="49">
        <f>5400000/90</f>
        <v/>
      </c>
    </row>
    <row r="902">
      <c r="B902" s="51">
        <f>B901+1</f>
        <v/>
      </c>
      <c r="C902" s="39">
        <f>TEXT(B902,"aaa")</f>
        <v/>
      </c>
      <c r="D902" s="39" t="inlineStr">
        <is>
          <t>네이버 브랜드검색</t>
        </is>
      </c>
      <c r="K902" s="49">
        <f>5400000/90</f>
        <v/>
      </c>
    </row>
    <row r="903">
      <c r="B903" s="51">
        <f>B902+1</f>
        <v/>
      </c>
      <c r="C903" s="39">
        <f>TEXT(B903,"aaa")</f>
        <v/>
      </c>
      <c r="D903" s="39" t="inlineStr">
        <is>
          <t>네이버 브랜드검색</t>
        </is>
      </c>
      <c r="K903" s="49">
        <f>5400000/90</f>
        <v/>
      </c>
    </row>
    <row r="904">
      <c r="B904" s="51">
        <f>B903+1</f>
        <v/>
      </c>
      <c r="C904" s="39">
        <f>TEXT(B904,"aaa")</f>
        <v/>
      </c>
      <c r="D904" s="39" t="inlineStr">
        <is>
          <t>네이버 브랜드검색</t>
        </is>
      </c>
      <c r="K904" s="49">
        <f>5400000/90</f>
        <v/>
      </c>
    </row>
    <row r="905">
      <c r="B905" s="51">
        <f>B904+1</f>
        <v/>
      </c>
      <c r="C905" s="39">
        <f>TEXT(B905,"aaa")</f>
        <v/>
      </c>
      <c r="D905" s="39" t="inlineStr">
        <is>
          <t>네이버 브랜드검색</t>
        </is>
      </c>
      <c r="K905" s="49">
        <f>5400000/90</f>
        <v/>
      </c>
    </row>
    <row r="906">
      <c r="B906" s="51">
        <f>B905+1</f>
        <v/>
      </c>
      <c r="C906" s="39">
        <f>TEXT(B906,"aaa")</f>
        <v/>
      </c>
      <c r="D906" s="39" t="inlineStr">
        <is>
          <t>네이버 브랜드검색</t>
        </is>
      </c>
      <c r="K906" s="49">
        <f>5400000/90</f>
        <v/>
      </c>
    </row>
    <row r="907">
      <c r="B907" s="51">
        <f>B906+1</f>
        <v/>
      </c>
      <c r="C907" s="39">
        <f>TEXT(B907,"aaa")</f>
        <v/>
      </c>
      <c r="D907" s="39" t="inlineStr">
        <is>
          <t>네이버 브랜드검색</t>
        </is>
      </c>
      <c r="K907" s="49">
        <f>5400000/90</f>
        <v/>
      </c>
    </row>
    <row r="908">
      <c r="B908" s="51">
        <f>B907+1</f>
        <v/>
      </c>
      <c r="C908" s="39">
        <f>TEXT(B908,"aaa")</f>
        <v/>
      </c>
      <c r="D908" s="39" t="inlineStr">
        <is>
          <t>네이버 브랜드검색</t>
        </is>
      </c>
      <c r="K908" s="49">
        <f>5400000/90</f>
        <v/>
      </c>
    </row>
    <row r="909">
      <c r="B909" s="51">
        <f>B908+1</f>
        <v/>
      </c>
      <c r="C909" s="39">
        <f>TEXT(B909,"aaa")</f>
        <v/>
      </c>
      <c r="D909" s="39" t="inlineStr">
        <is>
          <t>네이버 브랜드검색</t>
        </is>
      </c>
      <c r="K909" s="49">
        <f>5400000/90</f>
        <v/>
      </c>
    </row>
    <row r="910">
      <c r="B910" s="51">
        <f>B909+1</f>
        <v/>
      </c>
      <c r="C910" s="39">
        <f>TEXT(B910,"aaa")</f>
        <v/>
      </c>
      <c r="D910" s="39" t="inlineStr">
        <is>
          <t>네이버 브랜드검색</t>
        </is>
      </c>
      <c r="K910" s="49">
        <f>5400000/90</f>
        <v/>
      </c>
    </row>
    <row r="911">
      <c r="B911" s="51">
        <f>B910+1</f>
        <v/>
      </c>
      <c r="C911" s="39">
        <f>TEXT(B911,"aaa")</f>
        <v/>
      </c>
      <c r="D911" s="39" t="inlineStr">
        <is>
          <t>네이버 브랜드검색</t>
        </is>
      </c>
      <c r="K911" s="49">
        <f>5400000/90</f>
        <v/>
      </c>
    </row>
    <row r="912">
      <c r="B912" s="51">
        <f>B911+1</f>
        <v/>
      </c>
      <c r="C912" s="39">
        <f>TEXT(B912,"aaa")</f>
        <v/>
      </c>
      <c r="D912" s="39" t="inlineStr">
        <is>
          <t>네이버 브랜드검색</t>
        </is>
      </c>
      <c r="K912" s="49">
        <f>5400000/90</f>
        <v/>
      </c>
    </row>
    <row r="913">
      <c r="B913" s="51">
        <f>B912+1</f>
        <v/>
      </c>
      <c r="C913" s="39">
        <f>TEXT(B913,"aaa")</f>
        <v/>
      </c>
      <c r="D913" s="39" t="inlineStr">
        <is>
          <t>네이버 브랜드검색</t>
        </is>
      </c>
      <c r="K913" s="49">
        <f>5400000/90</f>
        <v/>
      </c>
    </row>
    <row r="914">
      <c r="B914" s="51">
        <f>B913+1</f>
        <v/>
      </c>
      <c r="C914" s="39">
        <f>TEXT(B914,"aaa")</f>
        <v/>
      </c>
      <c r="D914" s="39" t="inlineStr">
        <is>
          <t>네이버 브랜드검색</t>
        </is>
      </c>
      <c r="K914" s="49">
        <f>5400000/90</f>
        <v/>
      </c>
    </row>
    <row r="915">
      <c r="B915" s="51">
        <f>B914+1</f>
        <v/>
      </c>
      <c r="C915" s="39">
        <f>TEXT(B915,"aaa")</f>
        <v/>
      </c>
      <c r="D915" s="39" t="inlineStr">
        <is>
          <t>네이버 브랜드검색</t>
        </is>
      </c>
      <c r="K915" s="49">
        <f>5400000/90</f>
        <v/>
      </c>
    </row>
    <row r="916">
      <c r="B916" s="51">
        <f>B915+1</f>
        <v/>
      </c>
      <c r="C916" s="39">
        <f>TEXT(B916,"aaa")</f>
        <v/>
      </c>
      <c r="D916" s="39" t="inlineStr">
        <is>
          <t>네이버 브랜드검색</t>
        </is>
      </c>
      <c r="K916" s="49">
        <f>5400000/90</f>
        <v/>
      </c>
    </row>
    <row r="917">
      <c r="B917" s="51">
        <f>B916+1</f>
        <v/>
      </c>
      <c r="C917" s="39">
        <f>TEXT(B917,"aaa")</f>
        <v/>
      </c>
      <c r="D917" s="39" t="inlineStr">
        <is>
          <t>네이버 브랜드검색</t>
        </is>
      </c>
      <c r="K917" s="49">
        <f>5400000/90</f>
        <v/>
      </c>
    </row>
    <row r="918">
      <c r="B918" s="51">
        <f>B917+1</f>
        <v/>
      </c>
      <c r="C918" s="39">
        <f>TEXT(B918,"aaa")</f>
        <v/>
      </c>
      <c r="D918" s="39" t="inlineStr">
        <is>
          <t>네이버 브랜드검색</t>
        </is>
      </c>
      <c r="K918" s="49">
        <f>5400000/90</f>
        <v/>
      </c>
    </row>
    <row r="919">
      <c r="B919" s="51">
        <f>B918+1</f>
        <v/>
      </c>
      <c r="C919" s="39">
        <f>TEXT(B919,"aaa")</f>
        <v/>
      </c>
      <c r="D919" s="39" t="inlineStr">
        <is>
          <t>네이버 브랜드검색</t>
        </is>
      </c>
      <c r="K919" s="49">
        <f>5400000/90</f>
        <v/>
      </c>
    </row>
    <row r="920">
      <c r="B920" s="51">
        <f>B919+1</f>
        <v/>
      </c>
      <c r="C920" s="39">
        <f>TEXT(B920,"aaa")</f>
        <v/>
      </c>
      <c r="D920" s="39" t="inlineStr">
        <is>
          <t>네이버 브랜드검색</t>
        </is>
      </c>
      <c r="K920" s="49">
        <f>5400000/90</f>
        <v/>
      </c>
    </row>
    <row r="921">
      <c r="B921" s="51">
        <f>B920+1</f>
        <v/>
      </c>
      <c r="C921" s="39">
        <f>TEXT(B921,"aaa")</f>
        <v/>
      </c>
      <c r="D921" s="39" t="inlineStr">
        <is>
          <t>네이버 브랜드검색</t>
        </is>
      </c>
      <c r="K921" s="49">
        <f>5400000/90</f>
        <v/>
      </c>
    </row>
    <row r="922">
      <c r="B922" s="51">
        <f>B921+1</f>
        <v/>
      </c>
      <c r="C922" s="39">
        <f>TEXT(B922,"aaa")</f>
        <v/>
      </c>
      <c r="D922" s="39" t="inlineStr">
        <is>
          <t>네이버 브랜드검색</t>
        </is>
      </c>
      <c r="K922" s="49">
        <f>5400000/90</f>
        <v/>
      </c>
    </row>
    <row r="923">
      <c r="B923" s="51">
        <f>B922+1</f>
        <v/>
      </c>
      <c r="C923" s="39">
        <f>TEXT(B923,"aaa")</f>
        <v/>
      </c>
      <c r="D923" s="39" t="inlineStr">
        <is>
          <t>네이버 브랜드검색</t>
        </is>
      </c>
      <c r="K923" s="49">
        <f>5400000/90</f>
        <v/>
      </c>
    </row>
    <row r="924">
      <c r="B924" s="51">
        <f>B923+1</f>
        <v/>
      </c>
      <c r="C924" s="39">
        <f>TEXT(B924,"aaa")</f>
        <v/>
      </c>
      <c r="D924" s="39" t="inlineStr">
        <is>
          <t>네이버 브랜드검색</t>
        </is>
      </c>
      <c r="K924" s="49">
        <f>5400000/90</f>
        <v/>
      </c>
    </row>
    <row r="925">
      <c r="B925" s="51">
        <f>B924+1</f>
        <v/>
      </c>
      <c r="C925" s="39">
        <f>TEXT(B925,"aaa")</f>
        <v/>
      </c>
      <c r="D925" s="39" t="inlineStr">
        <is>
          <t>네이버 브랜드검색</t>
        </is>
      </c>
      <c r="K925" s="49">
        <f>5400000/90</f>
        <v/>
      </c>
    </row>
    <row r="926">
      <c r="B926" s="51">
        <f>B925+1</f>
        <v/>
      </c>
      <c r="C926" s="39">
        <f>TEXT(B926,"aaa")</f>
        <v/>
      </c>
      <c r="D926" s="39" t="inlineStr">
        <is>
          <t>네이버 브랜드검색</t>
        </is>
      </c>
      <c r="K926" s="49">
        <f>5400000/90</f>
        <v/>
      </c>
    </row>
    <row r="927">
      <c r="B927" s="51">
        <f>B926+1</f>
        <v/>
      </c>
      <c r="C927" s="39">
        <f>TEXT(B927,"aaa")</f>
        <v/>
      </c>
      <c r="D927" s="39" t="inlineStr">
        <is>
          <t>네이버 브랜드검색</t>
        </is>
      </c>
      <c r="K927" s="49">
        <f>5400000/90</f>
        <v/>
      </c>
    </row>
    <row r="928">
      <c r="B928" s="51">
        <f>B927+1</f>
        <v/>
      </c>
      <c r="C928" s="39">
        <f>TEXT(B928,"aaa")</f>
        <v/>
      </c>
      <c r="D928" s="39" t="inlineStr">
        <is>
          <t>네이버 브랜드검색</t>
        </is>
      </c>
      <c r="K928" s="49">
        <f>5400000/90</f>
        <v/>
      </c>
    </row>
    <row r="929">
      <c r="B929" s="51">
        <f>B928+1</f>
        <v/>
      </c>
      <c r="C929" s="39">
        <f>TEXT(B929,"aaa")</f>
        <v/>
      </c>
      <c r="D929" s="39" t="inlineStr">
        <is>
          <t>네이버 브랜드검색</t>
        </is>
      </c>
      <c r="K929" s="49">
        <f>5400000/90</f>
        <v/>
      </c>
    </row>
    <row r="930">
      <c r="B930" s="51">
        <f>B929+1</f>
        <v/>
      </c>
      <c r="C930" s="39">
        <f>TEXT(B930,"aaa")</f>
        <v/>
      </c>
      <c r="D930" s="39" t="inlineStr">
        <is>
          <t>네이버 브랜드검색</t>
        </is>
      </c>
      <c r="K930" s="49">
        <f>5400000/90</f>
        <v/>
      </c>
    </row>
    <row r="931">
      <c r="B931" s="51">
        <f>B930+1</f>
        <v/>
      </c>
      <c r="C931" s="39">
        <f>TEXT(B931,"aaa")</f>
        <v/>
      </c>
      <c r="D931" s="39" t="inlineStr">
        <is>
          <t>네이버 브랜드검색</t>
        </is>
      </c>
      <c r="K931" s="49">
        <f>5400000/90</f>
        <v/>
      </c>
    </row>
    <row r="932">
      <c r="B932" s="51">
        <f>B931+1</f>
        <v/>
      </c>
      <c r="C932" s="39">
        <f>TEXT(B932,"aaa")</f>
        <v/>
      </c>
      <c r="D932" s="39" t="inlineStr">
        <is>
          <t>네이버 브랜드검색</t>
        </is>
      </c>
      <c r="K932" s="49">
        <f>5400000/90</f>
        <v/>
      </c>
    </row>
    <row r="933">
      <c r="B933" s="51">
        <f>B932+1</f>
        <v/>
      </c>
      <c r="C933" s="39">
        <f>TEXT(B933,"aaa")</f>
        <v/>
      </c>
      <c r="D933" s="39" t="inlineStr">
        <is>
          <t>네이버 브랜드검색</t>
        </is>
      </c>
      <c r="K933" s="49" t="n">
        <v>140000</v>
      </c>
    </row>
    <row r="934">
      <c r="B934" s="51">
        <f>B933+1</f>
        <v/>
      </c>
      <c r="C934" s="39">
        <f>TEXT(B934,"aaa")</f>
        <v/>
      </c>
      <c r="D934" s="39" t="inlineStr">
        <is>
          <t>네이버 브랜드검색</t>
        </is>
      </c>
      <c r="K934" s="49" t="n">
        <v>140000</v>
      </c>
    </row>
    <row r="935">
      <c r="B935" s="51">
        <f>B934+1</f>
        <v/>
      </c>
      <c r="C935" s="39">
        <f>TEXT(B935,"aaa")</f>
        <v/>
      </c>
      <c r="D935" s="39" t="inlineStr">
        <is>
          <t>네이버 브랜드검색</t>
        </is>
      </c>
      <c r="K935" s="49" t="n">
        <v>140000</v>
      </c>
    </row>
    <row r="936">
      <c r="B936" s="51">
        <f>B935+1</f>
        <v/>
      </c>
      <c r="C936" s="39">
        <f>TEXT(B936,"aaa")</f>
        <v/>
      </c>
      <c r="D936" s="39" t="inlineStr">
        <is>
          <t>네이버 브랜드검색</t>
        </is>
      </c>
      <c r="K936" s="49" t="n">
        <v>140000</v>
      </c>
    </row>
    <row r="937">
      <c r="B937" s="51">
        <f>B936+1</f>
        <v/>
      </c>
      <c r="C937" s="39">
        <f>TEXT(B937,"aaa")</f>
        <v/>
      </c>
      <c r="D937" s="39" t="inlineStr">
        <is>
          <t>네이버 브랜드검색</t>
        </is>
      </c>
      <c r="K937" s="49" t="n">
        <v>140000</v>
      </c>
    </row>
    <row r="938">
      <c r="B938" s="51">
        <f>B937+1</f>
        <v/>
      </c>
      <c r="C938" s="39">
        <f>TEXT(B938,"aaa")</f>
        <v/>
      </c>
      <c r="D938" s="39" t="inlineStr">
        <is>
          <t>네이버 브랜드검색</t>
        </is>
      </c>
      <c r="K938" s="49" t="n">
        <v>140000</v>
      </c>
    </row>
    <row r="939">
      <c r="B939" s="51">
        <f>B938+1</f>
        <v/>
      </c>
      <c r="C939" s="39">
        <f>TEXT(B939,"aaa")</f>
        <v/>
      </c>
      <c r="D939" s="39" t="inlineStr">
        <is>
          <t>네이버 브랜드검색</t>
        </is>
      </c>
      <c r="K939" s="49" t="n">
        <v>140000</v>
      </c>
    </row>
    <row r="940">
      <c r="B940" s="51">
        <f>B939+1</f>
        <v/>
      </c>
      <c r="C940" s="39">
        <f>TEXT(B940,"aaa")</f>
        <v/>
      </c>
      <c r="D940" s="39" t="inlineStr">
        <is>
          <t>네이버 브랜드검색</t>
        </is>
      </c>
      <c r="K940" s="49" t="n">
        <v>140000</v>
      </c>
    </row>
    <row r="941">
      <c r="B941" s="51">
        <f>B940+1</f>
        <v/>
      </c>
      <c r="C941" s="39">
        <f>TEXT(B941,"aaa")</f>
        <v/>
      </c>
      <c r="D941" s="39" t="inlineStr">
        <is>
          <t>네이버 브랜드검색</t>
        </is>
      </c>
      <c r="K941" s="49" t="n">
        <v>140000</v>
      </c>
    </row>
    <row r="942">
      <c r="B942" s="51">
        <f>B941+1</f>
        <v/>
      </c>
      <c r="C942" s="39">
        <f>TEXT(B942,"aaa")</f>
        <v/>
      </c>
      <c r="D942" s="39" t="inlineStr">
        <is>
          <t>네이버 브랜드검색</t>
        </is>
      </c>
      <c r="K942" s="49" t="n">
        <v>140000</v>
      </c>
    </row>
    <row r="943">
      <c r="B943" s="51">
        <f>B942+1</f>
        <v/>
      </c>
      <c r="C943" s="39">
        <f>TEXT(B943,"aaa")</f>
        <v/>
      </c>
      <c r="D943" s="39" t="inlineStr">
        <is>
          <t>네이버 브랜드검색</t>
        </is>
      </c>
      <c r="K943" s="49" t="n">
        <v>140000</v>
      </c>
    </row>
    <row r="944">
      <c r="B944" s="51">
        <f>B943+1</f>
        <v/>
      </c>
      <c r="C944" s="39">
        <f>TEXT(B944,"aaa")</f>
        <v/>
      </c>
      <c r="D944" s="39" t="inlineStr">
        <is>
          <t>네이버 브랜드검색</t>
        </is>
      </c>
      <c r="K944" s="49" t="n">
        <v>140000</v>
      </c>
    </row>
    <row r="945">
      <c r="B945" s="51">
        <f>B944+1</f>
        <v/>
      </c>
      <c r="C945" s="39">
        <f>TEXT(B945,"aaa")</f>
        <v/>
      </c>
      <c r="D945" s="39" t="inlineStr">
        <is>
          <t>네이버 브랜드검색</t>
        </is>
      </c>
      <c r="K945" s="49" t="n">
        <v>140000</v>
      </c>
    </row>
    <row r="946">
      <c r="B946" s="51">
        <f>B945+1</f>
        <v/>
      </c>
      <c r="C946" s="39">
        <f>TEXT(B946,"aaa")</f>
        <v/>
      </c>
      <c r="D946" s="39" t="inlineStr">
        <is>
          <t>네이버 브랜드검색</t>
        </is>
      </c>
      <c r="K946" s="49" t="n">
        <v>140000</v>
      </c>
    </row>
    <row r="947">
      <c r="B947" s="51">
        <f>B946+1</f>
        <v/>
      </c>
      <c r="C947" s="39">
        <f>TEXT(B947,"aaa")</f>
        <v/>
      </c>
      <c r="D947" s="39" t="inlineStr">
        <is>
          <t>네이버 브랜드검색</t>
        </is>
      </c>
      <c r="K947" s="49" t="n">
        <v>140000</v>
      </c>
    </row>
    <row r="948">
      <c r="B948" s="51">
        <f>B947+1</f>
        <v/>
      </c>
      <c r="C948" s="39">
        <f>TEXT(B948,"aaa")</f>
        <v/>
      </c>
      <c r="D948" s="39" t="inlineStr">
        <is>
          <t>네이버 브랜드검색</t>
        </is>
      </c>
      <c r="K948" s="49" t="n">
        <v>140000</v>
      </c>
    </row>
    <row r="949">
      <c r="B949" s="51">
        <f>B948+1</f>
        <v/>
      </c>
      <c r="C949" s="39">
        <f>TEXT(B949,"aaa")</f>
        <v/>
      </c>
      <c r="D949" s="39" t="inlineStr">
        <is>
          <t>네이버 브랜드검색</t>
        </is>
      </c>
      <c r="K949" s="49" t="n">
        <v>140000</v>
      </c>
    </row>
    <row r="950">
      <c r="B950" s="51">
        <f>B949+1</f>
        <v/>
      </c>
      <c r="C950" s="39">
        <f>TEXT(B950,"aaa")</f>
        <v/>
      </c>
      <c r="D950" s="39" t="inlineStr">
        <is>
          <t>네이버 브랜드검색</t>
        </is>
      </c>
      <c r="K950" s="49" t="n">
        <v>140000</v>
      </c>
    </row>
    <row r="951">
      <c r="B951" s="51">
        <f>B950+1</f>
        <v/>
      </c>
      <c r="C951" s="39">
        <f>TEXT(B951,"aaa")</f>
        <v/>
      </c>
      <c r="D951" s="39" t="inlineStr">
        <is>
          <t>네이버 브랜드검색</t>
        </is>
      </c>
      <c r="K951" s="49" t="n">
        <v>140000</v>
      </c>
    </row>
    <row r="952" ht="16.05" customFormat="1" customHeight="1" s="39">
      <c r="B952" s="51" t="n">
        <v>44126</v>
      </c>
      <c r="C952" s="39">
        <f>TEXT(B952,"aaa")</f>
        <v/>
      </c>
      <c r="D952" s="39" t="inlineStr">
        <is>
          <t>네이버 배너</t>
        </is>
      </c>
      <c r="K952" s="49">
        <f>50679/1.1</f>
        <v/>
      </c>
    </row>
    <row r="953">
      <c r="B953" s="51" t="n">
        <v>44127</v>
      </c>
      <c r="C953" s="39">
        <f>TEXT(B953,"aaa")</f>
        <v/>
      </c>
      <c r="D953" s="39" t="inlineStr">
        <is>
          <t>네이버 배너</t>
        </is>
      </c>
      <c r="K953" s="49">
        <f>136625/1.1</f>
        <v/>
      </c>
    </row>
    <row r="954">
      <c r="B954" s="51" t="n">
        <v>44128</v>
      </c>
      <c r="C954" s="39">
        <f>TEXT(B954,"aaa")</f>
        <v/>
      </c>
      <c r="D954" s="39" t="inlineStr">
        <is>
          <t>네이버 배너</t>
        </is>
      </c>
      <c r="K954" s="49">
        <f>148994/1.1</f>
        <v/>
      </c>
    </row>
    <row r="955">
      <c r="B955" s="51" t="n">
        <v>44129</v>
      </c>
      <c r="C955" s="39">
        <f>TEXT(B955,"aaa")</f>
        <v/>
      </c>
      <c r="D955" s="39" t="inlineStr">
        <is>
          <t>네이버 배너</t>
        </is>
      </c>
      <c r="K955" s="49">
        <f>148558/1.1</f>
        <v/>
      </c>
    </row>
    <row r="956">
      <c r="B956" s="51" t="n">
        <v>44130</v>
      </c>
      <c r="C956" s="39">
        <f>TEXT(B956,"aaa")</f>
        <v/>
      </c>
      <c r="D956" s="39" t="inlineStr">
        <is>
          <t>네이버 배너</t>
        </is>
      </c>
      <c r="K956" s="49">
        <f>514614/1.1</f>
        <v/>
      </c>
    </row>
    <row r="957">
      <c r="B957" s="51" t="n">
        <v>44131</v>
      </c>
      <c r="C957" s="39">
        <f>TEXT(B957,"aaa")</f>
        <v/>
      </c>
      <c r="D957" s="39" t="inlineStr">
        <is>
          <t>네이버 배너</t>
        </is>
      </c>
      <c r="K957" s="49">
        <f>371982/1.1</f>
        <v/>
      </c>
    </row>
    <row r="958">
      <c r="B958" s="51" t="n">
        <v>44132</v>
      </c>
      <c r="C958" s="39">
        <f>TEXT(B958,"aaa")</f>
        <v/>
      </c>
      <c r="D958" s="39" t="inlineStr">
        <is>
          <t>네이버 배너</t>
        </is>
      </c>
      <c r="K958" s="49">
        <f>1070074/1.1</f>
        <v/>
      </c>
    </row>
    <row r="959">
      <c r="B959" s="51" t="n">
        <v>44133</v>
      </c>
      <c r="C959" s="39">
        <f>TEXT(B959,"aaa")</f>
        <v/>
      </c>
      <c r="D959" s="39" t="inlineStr">
        <is>
          <t>네이버 배너</t>
        </is>
      </c>
      <c r="K959" s="49">
        <f>952015/1.1</f>
        <v/>
      </c>
    </row>
    <row r="960">
      <c r="B960" s="51" t="n">
        <v>44134</v>
      </c>
      <c r="C960" s="39">
        <f>TEXT(B960,"aaa")</f>
        <v/>
      </c>
      <c r="D960" s="39" t="inlineStr">
        <is>
          <t>네이버 배너</t>
        </is>
      </c>
      <c r="K960" s="49">
        <f>941500/1.1</f>
        <v/>
      </c>
    </row>
    <row r="961">
      <c r="B961" s="51" t="n">
        <v>44135</v>
      </c>
      <c r="C961" s="39">
        <f>TEXT(B961,"aaa")</f>
        <v/>
      </c>
      <c r="D961" s="39" t="inlineStr">
        <is>
          <t>네이버 배너</t>
        </is>
      </c>
      <c r="K961" s="49">
        <f>950576/1.1</f>
        <v/>
      </c>
    </row>
    <row r="962">
      <c r="B962" s="51" t="n">
        <v>44136</v>
      </c>
      <c r="C962" s="39">
        <f>TEXT(B962,"aaa")</f>
        <v/>
      </c>
      <c r="D962" s="39" t="inlineStr">
        <is>
          <t>네이버 배너</t>
        </is>
      </c>
      <c r="K962" s="49">
        <f>899756/1.1</f>
        <v/>
      </c>
    </row>
    <row r="963">
      <c r="B963" s="51" t="n">
        <v>44137</v>
      </c>
      <c r="C963" s="39">
        <f>TEXT(B963,"aaa")</f>
        <v/>
      </c>
      <c r="D963" s="39" t="inlineStr">
        <is>
          <t>네이버 배너</t>
        </is>
      </c>
      <c r="K963" s="49">
        <f>899831/1.1</f>
        <v/>
      </c>
    </row>
    <row r="964">
      <c r="B964" s="51" t="n">
        <v>44138</v>
      </c>
      <c r="C964" s="39">
        <f>TEXT(B964,"aaa")</f>
        <v/>
      </c>
      <c r="D964" s="39" t="inlineStr">
        <is>
          <t>네이버 배너</t>
        </is>
      </c>
      <c r="K964" s="49">
        <f>897846/1.1</f>
        <v/>
      </c>
    </row>
    <row r="965">
      <c r="B965" s="51" t="n">
        <v>44139</v>
      </c>
      <c r="C965" s="39">
        <f>TEXT(B965,"aaa")</f>
        <v/>
      </c>
      <c r="D965" s="39" t="inlineStr">
        <is>
          <t>네이버 배너</t>
        </is>
      </c>
      <c r="K965" s="49">
        <f>1492960/1.1</f>
        <v/>
      </c>
    </row>
    <row r="966">
      <c r="B966" s="51" t="n">
        <v>44140</v>
      </c>
      <c r="C966" s="39">
        <f>TEXT(B966,"aaa")</f>
        <v/>
      </c>
      <c r="D966" s="39" t="inlineStr">
        <is>
          <t>네이버 배너</t>
        </is>
      </c>
      <c r="K966" s="49">
        <f>1381885/1.1</f>
        <v/>
      </c>
    </row>
    <row r="967">
      <c r="B967" s="51" t="n">
        <v>44141</v>
      </c>
      <c r="C967" s="39">
        <f>TEXT(B967,"aaa")</f>
        <v/>
      </c>
      <c r="D967" s="39" t="inlineStr">
        <is>
          <t>네이버 배너</t>
        </is>
      </c>
      <c r="K967" s="49">
        <f>1378001/1.1</f>
        <v/>
      </c>
    </row>
    <row r="968">
      <c r="B968" s="51" t="n">
        <v>44142</v>
      </c>
      <c r="C968" s="39">
        <f>TEXT(B968,"aaa")</f>
        <v/>
      </c>
      <c r="D968" s="39" t="inlineStr">
        <is>
          <t>네이버 배너</t>
        </is>
      </c>
      <c r="K968" s="49">
        <f>1381843/1.1</f>
        <v/>
      </c>
    </row>
    <row r="969">
      <c r="B969" s="51" t="n">
        <v>44143</v>
      </c>
      <c r="C969" s="39">
        <f>TEXT(B969,"aaa")</f>
        <v/>
      </c>
      <c r="D969" s="39" t="inlineStr">
        <is>
          <t>네이버 배너</t>
        </is>
      </c>
      <c r="K969" s="49">
        <f>1382808/1.1</f>
        <v/>
      </c>
    </row>
    <row r="970">
      <c r="B970" s="51" t="n">
        <v>44144</v>
      </c>
      <c r="C970" s="39">
        <f>TEXT(B970,"aaa")</f>
        <v/>
      </c>
      <c r="D970" s="39" t="inlineStr">
        <is>
          <t>네이버 배너</t>
        </is>
      </c>
      <c r="K970" s="49">
        <f>1380236/1.1</f>
        <v/>
      </c>
    </row>
    <row r="971">
      <c r="B971" s="51" t="n">
        <v>44145</v>
      </c>
      <c r="C971" s="39">
        <f>TEXT(B971,"aaa")</f>
        <v/>
      </c>
      <c r="D971" s="39" t="inlineStr">
        <is>
          <t>네이버 배너</t>
        </is>
      </c>
      <c r="K971" s="49">
        <f>1383638/1.1</f>
        <v/>
      </c>
    </row>
    <row r="972">
      <c r="B972" s="51" t="n">
        <v>44146</v>
      </c>
      <c r="C972" s="39">
        <f>TEXT(B972,"aaa")</f>
        <v/>
      </c>
      <c r="D972" s="39" t="inlineStr">
        <is>
          <t>네이버 배너</t>
        </is>
      </c>
      <c r="K972" s="49">
        <f>1605584/1.1</f>
        <v/>
      </c>
    </row>
    <row r="973">
      <c r="B973" s="51" t="n">
        <v>44147</v>
      </c>
      <c r="C973" s="39">
        <f>TEXT(B973,"aaa")</f>
        <v/>
      </c>
      <c r="D973" s="39" t="inlineStr">
        <is>
          <t>네이버 배너</t>
        </is>
      </c>
      <c r="K973" s="49">
        <f>1339074/1.1</f>
        <v/>
      </c>
    </row>
    <row r="974">
      <c r="B974" s="51" t="n">
        <v>44148</v>
      </c>
      <c r="C974" s="39">
        <f>TEXT(B974,"aaa")</f>
        <v/>
      </c>
      <c r="D974" s="39" t="inlineStr">
        <is>
          <t>네이버 배너</t>
        </is>
      </c>
      <c r="K974" s="49">
        <f>1287855/1.1</f>
        <v/>
      </c>
    </row>
    <row r="975">
      <c r="B975" s="51" t="n">
        <v>44149</v>
      </c>
      <c r="C975" s="39">
        <f>TEXT(B975,"aaa")</f>
        <v/>
      </c>
      <c r="D975" s="39" t="inlineStr">
        <is>
          <t>네이버 배너</t>
        </is>
      </c>
      <c r="K975" s="49">
        <f>1326688/1.1</f>
        <v/>
      </c>
    </row>
    <row r="976">
      <c r="B976" s="51" t="n">
        <v>44150</v>
      </c>
      <c r="C976" s="39">
        <f>TEXT(B976,"aaa")</f>
        <v/>
      </c>
      <c r="D976" s="39" t="inlineStr">
        <is>
          <t>네이버 배너</t>
        </is>
      </c>
      <c r="K976" s="49">
        <f>1299162/1.1</f>
        <v/>
      </c>
    </row>
    <row r="977">
      <c r="B977" s="51" t="n">
        <v>44151</v>
      </c>
      <c r="C977" s="39">
        <f>TEXT(B977,"aaa")</f>
        <v/>
      </c>
      <c r="D977" s="39" t="inlineStr">
        <is>
          <t>네이버 배너</t>
        </is>
      </c>
      <c r="K977" s="49">
        <f>1430339/1.1</f>
        <v/>
      </c>
    </row>
    <row r="978">
      <c r="B978" s="51" t="n">
        <v>44152</v>
      </c>
      <c r="C978" s="39">
        <f>TEXT(B978,"aaa")</f>
        <v/>
      </c>
      <c r="D978" s="39" t="inlineStr">
        <is>
          <t>네이버 배너</t>
        </is>
      </c>
      <c r="K978" s="49">
        <f>1630227/1.1</f>
        <v/>
      </c>
    </row>
    <row r="979">
      <c r="B979" s="51" t="n">
        <v>44153</v>
      </c>
      <c r="C979" s="39">
        <f>TEXT(B979,"aaa")</f>
        <v/>
      </c>
      <c r="D979" s="39" t="inlineStr">
        <is>
          <t>네이버 배너</t>
        </is>
      </c>
      <c r="K979" s="49">
        <f>1648409/1.1</f>
        <v/>
      </c>
    </row>
    <row r="980">
      <c r="B980" s="51" t="n">
        <v>44154</v>
      </c>
      <c r="C980" s="39">
        <f>TEXT(B980,"aaa")</f>
        <v/>
      </c>
      <c r="D980" s="39" t="inlineStr">
        <is>
          <t>네이버 배너</t>
        </is>
      </c>
      <c r="K980" s="49">
        <f>1663535/1.1</f>
        <v/>
      </c>
    </row>
    <row r="981">
      <c r="B981" s="51" t="n">
        <v>44155</v>
      </c>
      <c r="C981" s="39">
        <f>TEXT(B981,"aaa")</f>
        <v/>
      </c>
      <c r="D981" s="39" t="inlineStr">
        <is>
          <t>네이버 배너</t>
        </is>
      </c>
      <c r="K981" s="49">
        <f>1656366/1.1</f>
        <v/>
      </c>
    </row>
    <row r="982">
      <c r="B982" s="51" t="n">
        <v>44156</v>
      </c>
      <c r="C982" s="39">
        <f>TEXT(B982,"aaa")</f>
        <v/>
      </c>
      <c r="D982" s="39" t="inlineStr">
        <is>
          <t>네이버 배너</t>
        </is>
      </c>
      <c r="K982" s="49">
        <f>1662082/1.1</f>
        <v/>
      </c>
    </row>
    <row r="983">
      <c r="B983" s="51" t="n">
        <v>44157</v>
      </c>
      <c r="C983" s="39">
        <f>TEXT(B983,"aaa")</f>
        <v/>
      </c>
      <c r="D983" s="39" t="inlineStr">
        <is>
          <t>네이버 배너</t>
        </is>
      </c>
      <c r="K983" s="49">
        <f>1650402/1.1</f>
        <v/>
      </c>
    </row>
    <row r="984">
      <c r="B984" s="51" t="n">
        <v>44158</v>
      </c>
      <c r="C984" s="39">
        <f>TEXT(B984,"aaa")</f>
        <v/>
      </c>
      <c r="D984" s="39" t="inlineStr">
        <is>
          <t>네이버 배너</t>
        </is>
      </c>
      <c r="K984" s="49">
        <f>1641046/1.1</f>
        <v/>
      </c>
    </row>
    <row r="985">
      <c r="B985" s="51" t="n">
        <v>44159</v>
      </c>
      <c r="C985" s="39">
        <f>TEXT(B985,"aaa")</f>
        <v/>
      </c>
      <c r="D985" s="39" t="inlineStr">
        <is>
          <t>네이버 배너</t>
        </is>
      </c>
      <c r="K985" s="49">
        <f>1610886/1.1</f>
        <v/>
      </c>
    </row>
    <row r="986">
      <c r="B986" s="51" t="n">
        <v>44160</v>
      </c>
      <c r="C986" s="39">
        <f>TEXT(B986,"aaa")</f>
        <v/>
      </c>
      <c r="D986" s="39" t="inlineStr">
        <is>
          <t>네이버 배너</t>
        </is>
      </c>
      <c r="K986" s="49">
        <f>1541666/1.1</f>
        <v/>
      </c>
    </row>
    <row r="987">
      <c r="B987" s="51" t="n">
        <v>44161</v>
      </c>
      <c r="C987" s="39">
        <f>TEXT(B987,"aaa")</f>
        <v/>
      </c>
      <c r="D987" s="39" t="inlineStr">
        <is>
          <t>네이버 배너</t>
        </is>
      </c>
      <c r="K987" s="49">
        <f>1514799/1.1</f>
        <v/>
      </c>
    </row>
    <row r="988">
      <c r="B988" s="51" t="n">
        <v>44162</v>
      </c>
      <c r="C988" s="39">
        <f>TEXT(B988,"aaa")</f>
        <v/>
      </c>
      <c r="D988" s="39" t="inlineStr">
        <is>
          <t>네이버 배너</t>
        </is>
      </c>
      <c r="K988" s="49">
        <f>1532458/1.1</f>
        <v/>
      </c>
    </row>
    <row r="989">
      <c r="B989" s="51" t="n">
        <v>44163</v>
      </c>
      <c r="C989" s="39">
        <f>TEXT(B989,"aaa")</f>
        <v/>
      </c>
      <c r="D989" s="39" t="inlineStr">
        <is>
          <t>네이버 배너</t>
        </is>
      </c>
      <c r="K989" s="49">
        <f>1519937/1.1</f>
        <v/>
      </c>
    </row>
    <row r="990">
      <c r="B990" s="51" t="n">
        <v>44164</v>
      </c>
      <c r="C990" s="39">
        <f>TEXT(B990,"aaa")</f>
        <v/>
      </c>
      <c r="D990" s="39" t="inlineStr">
        <is>
          <t>네이버 배너</t>
        </is>
      </c>
      <c r="K990" s="49">
        <f>1518461/1.1</f>
        <v/>
      </c>
    </row>
    <row r="991">
      <c r="B991" s="51" t="n">
        <v>44165</v>
      </c>
      <c r="C991" s="39">
        <f>TEXT(B991,"aaa")</f>
        <v/>
      </c>
      <c r="D991" s="39" t="inlineStr">
        <is>
          <t>네이버 배너</t>
        </is>
      </c>
      <c r="K991" s="49">
        <f>1556957/1.1</f>
        <v/>
      </c>
    </row>
    <row r="992">
      <c r="B992" s="51" t="n">
        <v>44166</v>
      </c>
      <c r="C992" s="39">
        <f>TEXT(B992,"aaa")</f>
        <v/>
      </c>
      <c r="D992" s="39" t="inlineStr">
        <is>
          <t>네이버 배너</t>
        </is>
      </c>
      <c r="K992" s="49">
        <f>1532006/1.1</f>
        <v/>
      </c>
    </row>
    <row r="993">
      <c r="B993" s="51" t="n">
        <v>44167</v>
      </c>
      <c r="C993" s="39">
        <f>TEXT(B993,"aaa")</f>
        <v/>
      </c>
      <c r="D993" s="39" t="inlineStr">
        <is>
          <t>네이버 배너</t>
        </is>
      </c>
      <c r="K993" s="49">
        <f>1504178/1.1</f>
        <v/>
      </c>
    </row>
    <row r="994">
      <c r="B994" s="51" t="n">
        <v>44168</v>
      </c>
      <c r="C994" s="39">
        <f>TEXT(B994,"aaa")</f>
        <v/>
      </c>
      <c r="D994" s="39" t="inlineStr">
        <is>
          <t>네이버 배너</t>
        </is>
      </c>
      <c r="K994" s="49">
        <f>1518460/1.1</f>
        <v/>
      </c>
    </row>
    <row r="995">
      <c r="B995" s="51" t="n">
        <v>44169</v>
      </c>
      <c r="C995" s="39">
        <f>TEXT(B995,"aaa")</f>
        <v/>
      </c>
      <c r="D995" s="39" t="inlineStr">
        <is>
          <t>네이버 배너</t>
        </is>
      </c>
      <c r="K995" s="49">
        <f>1520018/1.1</f>
        <v/>
      </c>
    </row>
    <row r="996">
      <c r="B996" s="51" t="n">
        <v>44170</v>
      </c>
      <c r="C996" s="39">
        <f>TEXT(B996,"aaa")</f>
        <v/>
      </c>
      <c r="D996" s="39" t="inlineStr">
        <is>
          <t>네이버 배너</t>
        </is>
      </c>
      <c r="K996" s="49">
        <f>1528516/1.1</f>
        <v/>
      </c>
    </row>
    <row r="997">
      <c r="B997" s="51" t="n">
        <v>44171</v>
      </c>
      <c r="C997" s="39">
        <f>TEXT(B997,"aaa")</f>
        <v/>
      </c>
      <c r="D997" s="39" t="inlineStr">
        <is>
          <t>네이버 배너</t>
        </is>
      </c>
      <c r="K997" s="49">
        <f>1516988/1.1</f>
        <v/>
      </c>
    </row>
    <row r="998">
      <c r="B998" s="51" t="n">
        <v>44172</v>
      </c>
      <c r="C998" s="39">
        <f>TEXT(B998,"aaa")</f>
        <v/>
      </c>
      <c r="D998" s="39" t="inlineStr">
        <is>
          <t>네이버 배너</t>
        </is>
      </c>
      <c r="K998" s="49">
        <f>1513266/1.1</f>
        <v/>
      </c>
    </row>
    <row r="999">
      <c r="B999" s="51" t="n">
        <v>44173</v>
      </c>
      <c r="C999" s="39">
        <f>TEXT(B999,"aaa")</f>
        <v/>
      </c>
      <c r="D999" s="39" t="inlineStr">
        <is>
          <t>네이버 배너</t>
        </is>
      </c>
      <c r="K999" s="49">
        <f>1529158/1.1</f>
        <v/>
      </c>
    </row>
    <row r="1000">
      <c r="B1000" s="51" t="n">
        <v>44174</v>
      </c>
      <c r="C1000" s="39">
        <f>TEXT(B1000,"aaa")</f>
        <v/>
      </c>
      <c r="D1000" s="39" t="inlineStr">
        <is>
          <t>네이버 배너</t>
        </is>
      </c>
      <c r="K1000" s="49">
        <f>1541253/1.1</f>
        <v/>
      </c>
    </row>
    <row r="1001">
      <c r="B1001" s="51" t="n">
        <v>44175</v>
      </c>
      <c r="C1001" s="39">
        <f>TEXT(B1001,"aaa")</f>
        <v/>
      </c>
      <c r="D1001" s="39" t="inlineStr">
        <is>
          <t>네이버 배너</t>
        </is>
      </c>
      <c r="K1001" s="49">
        <f>1494419/1.1</f>
        <v/>
      </c>
    </row>
    <row r="1002">
      <c r="B1002" s="51" t="n">
        <v>44176</v>
      </c>
      <c r="C1002" s="39">
        <f>TEXT(B1002,"aaa")</f>
        <v/>
      </c>
      <c r="D1002" s="39" t="inlineStr">
        <is>
          <t>네이버 배너</t>
        </is>
      </c>
      <c r="K1002" s="49">
        <f>1496385/1.1</f>
        <v/>
      </c>
    </row>
    <row r="1003">
      <c r="B1003" s="51" t="n">
        <v>44177</v>
      </c>
      <c r="C1003" s="39">
        <f>TEXT(B1003,"aaa")</f>
        <v/>
      </c>
      <c r="D1003" s="39" t="inlineStr">
        <is>
          <t>네이버 배너</t>
        </is>
      </c>
      <c r="K1003" s="49">
        <f>1500995/1.1</f>
        <v/>
      </c>
    </row>
    <row r="1004">
      <c r="B1004" s="51" t="n">
        <v>44178</v>
      </c>
      <c r="C1004" s="39">
        <f>TEXT(B1004,"aaa")</f>
        <v/>
      </c>
      <c r="D1004" s="39" t="inlineStr">
        <is>
          <t>네이버 배너</t>
        </is>
      </c>
      <c r="K1004" s="49">
        <f>1500618/1.1</f>
        <v/>
      </c>
    </row>
    <row r="1005">
      <c r="B1005" s="51" t="n">
        <v>44179</v>
      </c>
      <c r="C1005" s="39">
        <f>TEXT(B1005,"aaa")</f>
        <v/>
      </c>
      <c r="D1005" s="39" t="inlineStr">
        <is>
          <t>네이버 배너</t>
        </is>
      </c>
      <c r="K1005" s="49">
        <f>1503710/1.1</f>
        <v/>
      </c>
    </row>
    <row r="1006">
      <c r="B1006" s="51" t="n">
        <v>44180</v>
      </c>
      <c r="C1006" s="39">
        <f>TEXT(B1006,"aaa")</f>
        <v/>
      </c>
      <c r="D1006" s="39" t="inlineStr">
        <is>
          <t>네이버 배너</t>
        </is>
      </c>
      <c r="K1006" s="49">
        <f>1461776/1.1</f>
        <v/>
      </c>
    </row>
    <row r="1007">
      <c r="B1007" s="51" t="n">
        <v>44181</v>
      </c>
      <c r="C1007" s="39">
        <f>TEXT(B1007,"aaa")</f>
        <v/>
      </c>
      <c r="D1007" s="39" t="inlineStr">
        <is>
          <t>네이버 배너</t>
        </is>
      </c>
      <c r="K1007" s="49">
        <f>1333614/1.1</f>
        <v/>
      </c>
    </row>
    <row r="1008">
      <c r="B1008" s="51" t="n">
        <v>44182</v>
      </c>
      <c r="C1008" s="39">
        <f>TEXT(B1008,"aaa")</f>
        <v/>
      </c>
      <c r="D1008" s="39" t="inlineStr">
        <is>
          <t>네이버 배너</t>
        </is>
      </c>
      <c r="K1008" s="49">
        <f>1256119/1.1</f>
        <v/>
      </c>
    </row>
    <row r="1009">
      <c r="B1009" s="51" t="n">
        <v>44183</v>
      </c>
      <c r="C1009" s="39">
        <f>TEXT(B1009,"aaa")</f>
        <v/>
      </c>
      <c r="D1009" s="39" t="inlineStr">
        <is>
          <t>네이버 배너</t>
        </is>
      </c>
      <c r="K1009" s="49">
        <f>1252650/1.1</f>
        <v/>
      </c>
    </row>
    <row r="1010">
      <c r="B1010" s="51" t="n">
        <v>44184</v>
      </c>
      <c r="C1010" s="39">
        <f>TEXT(B1010,"aaa")</f>
        <v/>
      </c>
      <c r="D1010" s="39" t="inlineStr">
        <is>
          <t>네이버 배너</t>
        </is>
      </c>
      <c r="K1010" s="49">
        <f>1250021/1.1</f>
        <v/>
      </c>
    </row>
    <row r="1011">
      <c r="B1011" s="51" t="n">
        <v>44185</v>
      </c>
      <c r="C1011" s="39">
        <f>TEXT(B1011,"aaa")</f>
        <v/>
      </c>
      <c r="D1011" s="39" t="inlineStr">
        <is>
          <t>네이버 배너</t>
        </is>
      </c>
      <c r="K1011" s="49">
        <f>1254591/1.1</f>
        <v/>
      </c>
    </row>
    <row r="1012">
      <c r="B1012" s="51" t="n">
        <v>44186</v>
      </c>
      <c r="C1012" s="39">
        <f>TEXT(B1012,"aaa")</f>
        <v/>
      </c>
      <c r="D1012" s="39" t="inlineStr">
        <is>
          <t>네이버 배너</t>
        </is>
      </c>
      <c r="K1012" s="49">
        <f>1199685/1.1</f>
        <v/>
      </c>
    </row>
    <row r="1013">
      <c r="B1013" s="51" t="n">
        <v>44187</v>
      </c>
      <c r="C1013" s="39">
        <f>TEXT(B1013,"aaa")</f>
        <v/>
      </c>
      <c r="D1013" s="39" t="inlineStr">
        <is>
          <t>네이버 배너</t>
        </is>
      </c>
      <c r="K1013" s="49">
        <f>1248838/1.1</f>
        <v/>
      </c>
    </row>
    <row r="1014">
      <c r="B1014" s="51" t="n">
        <v>44188</v>
      </c>
      <c r="C1014" s="39">
        <f>TEXT(B1014,"aaa")</f>
        <v/>
      </c>
      <c r="D1014" s="39" t="inlineStr">
        <is>
          <t>네이버 배너</t>
        </is>
      </c>
      <c r="K1014" s="49">
        <f>4557511/1.1</f>
        <v/>
      </c>
    </row>
    <row r="1015">
      <c r="B1015" s="51" t="n">
        <v>44189</v>
      </c>
      <c r="C1015" s="39">
        <f>TEXT(B1015,"aaa")</f>
        <v/>
      </c>
      <c r="D1015" s="39" t="inlineStr">
        <is>
          <t>네이버 배너</t>
        </is>
      </c>
      <c r="K1015" s="49">
        <f>5142631/1.1</f>
        <v/>
      </c>
    </row>
    <row r="1016">
      <c r="B1016" s="51" t="n">
        <v>44190</v>
      </c>
      <c r="C1016" s="39">
        <f>TEXT(B1016,"aaa")</f>
        <v/>
      </c>
      <c r="D1016" s="39" t="inlineStr">
        <is>
          <t>네이버 배너</t>
        </is>
      </c>
      <c r="K1016" s="49">
        <f>7145657/1.1</f>
        <v/>
      </c>
    </row>
    <row r="1017">
      <c r="B1017" s="51" t="n">
        <v>44191</v>
      </c>
      <c r="C1017" s="39">
        <f>TEXT(B1017,"aaa")</f>
        <v/>
      </c>
      <c r="D1017" s="39" t="inlineStr">
        <is>
          <t>네이버 배너</t>
        </is>
      </c>
      <c r="K1017" s="49">
        <f>8883601/1.1</f>
        <v/>
      </c>
    </row>
    <row r="1018">
      <c r="B1018" s="51" t="n">
        <v>44192</v>
      </c>
      <c r="C1018" s="39">
        <f>TEXT(B1018,"aaa")</f>
        <v/>
      </c>
      <c r="D1018" s="39" t="inlineStr">
        <is>
          <t>네이버 배너</t>
        </is>
      </c>
      <c r="K1018" s="49">
        <f>6108033/1.1</f>
        <v/>
      </c>
    </row>
    <row r="1019">
      <c r="B1019" s="51" t="n">
        <v>44193</v>
      </c>
      <c r="C1019" s="39">
        <f>TEXT(B1019,"aaa")</f>
        <v/>
      </c>
      <c r="D1019" s="39" t="inlineStr">
        <is>
          <t>네이버 배너</t>
        </is>
      </c>
      <c r="K1019" s="49">
        <f>5001363/1.1</f>
        <v/>
      </c>
    </row>
    <row r="1020">
      <c r="B1020" s="51" t="n">
        <v>44194</v>
      </c>
      <c r="C1020" s="39">
        <f>TEXT(B1020,"aaa")</f>
        <v/>
      </c>
      <c r="D1020" s="39" t="inlineStr">
        <is>
          <t>네이버 배너</t>
        </is>
      </c>
      <c r="K1020" s="49">
        <f>4795575/1.1</f>
        <v/>
      </c>
    </row>
    <row r="1021">
      <c r="B1021" s="51" t="n">
        <v>44195</v>
      </c>
      <c r="C1021" s="39">
        <f>TEXT(B1021,"aaa")</f>
        <v/>
      </c>
      <c r="D1021" s="39" t="inlineStr">
        <is>
          <t>네이버 배너</t>
        </is>
      </c>
      <c r="K1021" s="49">
        <f>4226336/1.1</f>
        <v/>
      </c>
    </row>
    <row r="1022">
      <c r="B1022" s="51" t="n">
        <v>44196</v>
      </c>
      <c r="C1022" s="39">
        <f>TEXT(B1022,"aaa")</f>
        <v/>
      </c>
      <c r="D1022" s="39" t="inlineStr">
        <is>
          <t>네이버 배너</t>
        </is>
      </c>
      <c r="K1022" s="49">
        <f>3783143/1.1</f>
        <v/>
      </c>
    </row>
    <row r="1023">
      <c r="B1023" s="51" t="n">
        <v>44197</v>
      </c>
      <c r="C1023" s="39">
        <f>TEXT(B1023,"aaa")</f>
        <v/>
      </c>
      <c r="D1023" s="39" t="inlineStr">
        <is>
          <t>네이버 배너</t>
        </is>
      </c>
      <c r="K1023" s="49">
        <f>8172421/1.1</f>
        <v/>
      </c>
    </row>
    <row r="1024">
      <c r="B1024" s="51" t="n">
        <v>44198</v>
      </c>
      <c r="C1024" s="39">
        <f>TEXT(B1024,"aaa")</f>
        <v/>
      </c>
      <c r="D1024" s="39" t="inlineStr">
        <is>
          <t>네이버 배너</t>
        </is>
      </c>
      <c r="K1024" s="49">
        <f>9021504/1.1</f>
        <v/>
      </c>
    </row>
    <row r="1025">
      <c r="B1025" s="51" t="n">
        <v>44199</v>
      </c>
      <c r="C1025" s="39">
        <f>TEXT(B1025,"aaa")</f>
        <v/>
      </c>
      <c r="D1025" s="39" t="inlineStr">
        <is>
          <t>네이버 배너</t>
        </is>
      </c>
      <c r="K1025" s="49">
        <f>9026476/1.1</f>
        <v/>
      </c>
    </row>
    <row r="1026">
      <c r="B1026" s="51" t="n">
        <v>44200</v>
      </c>
      <c r="C1026" s="39">
        <f>TEXT(B1026,"aaa")</f>
        <v/>
      </c>
      <c r="D1026" s="39" t="inlineStr">
        <is>
          <t>네이버 배너</t>
        </is>
      </c>
      <c r="K1026" s="49">
        <f>6627986/1.1</f>
        <v/>
      </c>
    </row>
    <row r="1027">
      <c r="B1027" s="51" t="n">
        <v>44201</v>
      </c>
      <c r="C1027" s="39">
        <f>TEXT(B1027,"aaa")</f>
        <v/>
      </c>
      <c r="D1027" s="39" t="inlineStr">
        <is>
          <t>네이버 배너</t>
        </is>
      </c>
      <c r="K1027" s="49">
        <f>6744086/1.1</f>
        <v/>
      </c>
    </row>
    <row r="1028">
      <c r="B1028" s="51" t="n">
        <v>44202</v>
      </c>
      <c r="C1028" s="39">
        <f>TEXT(B1028,"aaa")</f>
        <v/>
      </c>
      <c r="D1028" s="39" t="inlineStr">
        <is>
          <t>네이버 배너</t>
        </is>
      </c>
      <c r="K1028" s="49">
        <f>5838849/1.1</f>
        <v/>
      </c>
    </row>
    <row r="1029">
      <c r="B1029" s="51" t="n">
        <v>44203</v>
      </c>
      <c r="C1029" s="39">
        <f>TEXT(B1029,"aaa")</f>
        <v/>
      </c>
      <c r="D1029" s="39" t="inlineStr">
        <is>
          <t>네이버 배너</t>
        </is>
      </c>
      <c r="K1029" s="49">
        <f>6495565/1.1</f>
        <v/>
      </c>
    </row>
    <row r="1030">
      <c r="B1030" s="51" t="n">
        <v>44204</v>
      </c>
      <c r="C1030" s="39">
        <f>TEXT(B1030,"aaa")</f>
        <v/>
      </c>
      <c r="D1030" s="39" t="inlineStr">
        <is>
          <t>네이버 배너</t>
        </is>
      </c>
      <c r="K1030" s="49">
        <f>5387530/1.1</f>
        <v/>
      </c>
    </row>
    <row r="1031">
      <c r="B1031" s="51" t="n">
        <v>44205</v>
      </c>
      <c r="C1031" s="39">
        <f>TEXT(B1031,"aaa")</f>
        <v/>
      </c>
      <c r="D1031" s="39" t="inlineStr">
        <is>
          <t>네이버 배너</t>
        </is>
      </c>
      <c r="K1031" s="49">
        <f>5933341/1.1</f>
        <v/>
      </c>
    </row>
    <row r="1032">
      <c r="B1032" s="51" t="n">
        <v>44206</v>
      </c>
      <c r="C1032" s="39">
        <f>TEXT(B1032,"aaa")</f>
        <v/>
      </c>
      <c r="D1032" s="39" t="inlineStr">
        <is>
          <t>네이버 배너</t>
        </is>
      </c>
      <c r="K1032" s="49">
        <f>6650468/1.1</f>
        <v/>
      </c>
    </row>
    <row r="1033">
      <c r="B1033" s="51" t="n">
        <v>44207</v>
      </c>
      <c r="C1033" s="39">
        <f>TEXT(B1033,"aaa")</f>
        <v/>
      </c>
      <c r="D1033" s="39" t="inlineStr">
        <is>
          <t>네이버 배너</t>
        </is>
      </c>
      <c r="K1033" s="49">
        <f>5529487/1.1</f>
        <v/>
      </c>
    </row>
    <row r="1034">
      <c r="B1034" s="51" t="n">
        <v>44208</v>
      </c>
      <c r="C1034" s="39">
        <f>TEXT(B1034,"aaa")</f>
        <v/>
      </c>
      <c r="D1034" s="39" t="inlineStr">
        <is>
          <t>네이버 배너</t>
        </is>
      </c>
      <c r="K1034" s="49">
        <f>4702773/1.1</f>
        <v/>
      </c>
    </row>
    <row r="1035">
      <c r="B1035" s="51" t="n">
        <v>44209</v>
      </c>
      <c r="C1035" s="39">
        <f>TEXT(B1035,"aaa")</f>
        <v/>
      </c>
      <c r="D1035" s="39" t="inlineStr">
        <is>
          <t>네이버 배너</t>
        </is>
      </c>
      <c r="K1035" s="49">
        <f>4989785/1.1</f>
        <v/>
      </c>
    </row>
    <row r="1036">
      <c r="B1036" s="51" t="n">
        <v>44210</v>
      </c>
      <c r="C1036" s="39">
        <f>TEXT(B1036,"aaa")</f>
        <v/>
      </c>
      <c r="D1036" s="39" t="inlineStr">
        <is>
          <t>네이버 배너</t>
        </is>
      </c>
      <c r="K1036" s="49">
        <f>4355308/1.1</f>
        <v/>
      </c>
    </row>
    <row r="1037">
      <c r="B1037" s="51" t="n">
        <v>44211</v>
      </c>
      <c r="C1037" s="39">
        <f>TEXT(B1037,"aaa")</f>
        <v/>
      </c>
      <c r="D1037" s="39" t="inlineStr">
        <is>
          <t>네이버 배너</t>
        </is>
      </c>
      <c r="K1037" s="49">
        <f>4222902/1.1</f>
        <v/>
      </c>
    </row>
    <row r="1038">
      <c r="B1038" s="51" t="n">
        <v>44212</v>
      </c>
      <c r="C1038" s="39">
        <f>TEXT(B1038,"aaa")</f>
        <v/>
      </c>
      <c r="D1038" s="39" t="inlineStr">
        <is>
          <t>네이버 배너</t>
        </is>
      </c>
      <c r="K1038" s="49">
        <f>4796313/1.1</f>
        <v/>
      </c>
    </row>
    <row r="1039">
      <c r="B1039" s="51" t="n">
        <v>44213</v>
      </c>
      <c r="C1039" s="39">
        <f>TEXT(B1039,"aaa")</f>
        <v/>
      </c>
      <c r="D1039" s="39" t="inlineStr">
        <is>
          <t>네이버 배너</t>
        </is>
      </c>
      <c r="K1039" s="49">
        <f>5630843/1.1</f>
        <v/>
      </c>
    </row>
    <row r="1040">
      <c r="B1040" s="51" t="n">
        <v>44214</v>
      </c>
      <c r="C1040" s="39">
        <f>TEXT(B1040,"aaa")</f>
        <v/>
      </c>
      <c r="D1040" s="39" t="inlineStr">
        <is>
          <t>네이버 배너</t>
        </is>
      </c>
      <c r="K1040" s="49">
        <f>4245458/1.1</f>
        <v/>
      </c>
    </row>
    <row r="1041">
      <c r="B1041" s="51" t="n">
        <v>44215</v>
      </c>
      <c r="C1041" s="39">
        <f>TEXT(B1041,"aaa")</f>
        <v/>
      </c>
      <c r="D1041" s="39" t="inlineStr">
        <is>
          <t>네이버 배너</t>
        </is>
      </c>
      <c r="K1041" s="49">
        <f>3381126/1.1</f>
        <v/>
      </c>
    </row>
    <row r="1042">
      <c r="B1042" s="51" t="n">
        <v>44216</v>
      </c>
      <c r="C1042" s="39">
        <f>TEXT(B1042,"aaa")</f>
        <v/>
      </c>
      <c r="D1042" s="39" t="inlineStr">
        <is>
          <t>네이버 배너</t>
        </is>
      </c>
      <c r="K1042" s="49" t="n">
        <v>3501659</v>
      </c>
    </row>
    <row r="1043">
      <c r="B1043" s="51" t="n">
        <v>44217</v>
      </c>
      <c r="C1043" s="39">
        <f>TEXT(B1043,"aaa")</f>
        <v/>
      </c>
      <c r="D1043" s="39" t="inlineStr">
        <is>
          <t>네이버 배너</t>
        </is>
      </c>
      <c r="K1043" s="49">
        <f>3372287/1.1</f>
        <v/>
      </c>
    </row>
    <row r="1044">
      <c r="B1044" s="51" t="n">
        <v>44218</v>
      </c>
      <c r="C1044" s="39">
        <f>TEXT(B1044,"aaa")</f>
        <v/>
      </c>
      <c r="D1044" s="39" t="inlineStr">
        <is>
          <t>네이버 배너</t>
        </is>
      </c>
      <c r="K1044" s="49">
        <f>3699340/1.1</f>
        <v/>
      </c>
    </row>
    <row r="1045">
      <c r="B1045" s="51" t="n">
        <v>44219</v>
      </c>
      <c r="C1045" s="39">
        <f>TEXT(B1045,"aaa")</f>
        <v/>
      </c>
      <c r="D1045" s="39" t="inlineStr">
        <is>
          <t>네이버 배너</t>
        </is>
      </c>
      <c r="K1045" s="49">
        <f>3676195/1.1</f>
        <v/>
      </c>
    </row>
    <row r="1046">
      <c r="B1046" s="51" t="n">
        <v>44220</v>
      </c>
      <c r="C1046" s="39">
        <f>TEXT(B1046,"aaa")</f>
        <v/>
      </c>
      <c r="D1046" s="39" t="inlineStr">
        <is>
          <t>네이버 배너</t>
        </is>
      </c>
      <c r="K1046" s="49">
        <f>4081644/1.1</f>
        <v/>
      </c>
    </row>
    <row r="1047">
      <c r="B1047" s="51" t="n">
        <v>44221</v>
      </c>
      <c r="C1047" s="39">
        <f>TEXT(B1047,"aaa")</f>
        <v/>
      </c>
      <c r="D1047" s="39" t="inlineStr">
        <is>
          <t>네이버 배너</t>
        </is>
      </c>
      <c r="K1047" s="49">
        <f>3570439/1.1</f>
        <v/>
      </c>
    </row>
    <row r="1048">
      <c r="B1048" s="51" t="n">
        <v>44222</v>
      </c>
      <c r="C1048" s="39">
        <f>TEXT(B1048,"aaa")</f>
        <v/>
      </c>
      <c r="D1048" s="39" t="inlineStr">
        <is>
          <t>네이버 배너</t>
        </is>
      </c>
      <c r="K1048" s="49">
        <f>2964118/1.1</f>
        <v/>
      </c>
    </row>
    <row r="1049">
      <c r="B1049" s="51" t="n">
        <v>44223</v>
      </c>
      <c r="C1049" s="39">
        <f>TEXT(B1049,"aaa")</f>
        <v/>
      </c>
      <c r="D1049" s="39" t="inlineStr">
        <is>
          <t>네이버 배너</t>
        </is>
      </c>
      <c r="K1049" s="49">
        <f>2596047/1.1</f>
        <v/>
      </c>
    </row>
    <row r="1050">
      <c r="B1050" s="51" t="n">
        <v>44224</v>
      </c>
      <c r="C1050" s="39">
        <f>TEXT(B1050,"aaa")</f>
        <v/>
      </c>
      <c r="D1050" s="39" t="inlineStr">
        <is>
          <t>네이버 배너</t>
        </is>
      </c>
      <c r="K1050" s="49">
        <f>2425219/1.1</f>
        <v/>
      </c>
    </row>
    <row r="1051">
      <c r="B1051" s="51" t="n">
        <v>44225</v>
      </c>
      <c r="C1051" s="39">
        <f>TEXT(B1051,"aaa")</f>
        <v/>
      </c>
      <c r="D1051" s="39" t="inlineStr">
        <is>
          <t>네이버 배너</t>
        </is>
      </c>
      <c r="K1051" s="49">
        <f>2407144/1.1</f>
        <v/>
      </c>
    </row>
    <row r="1052">
      <c r="B1052" s="51" t="n">
        <v>44226</v>
      </c>
      <c r="C1052" s="39">
        <f>TEXT(B1052,"aaa")</f>
        <v/>
      </c>
      <c r="D1052" s="39" t="inlineStr">
        <is>
          <t>네이버 배너</t>
        </is>
      </c>
      <c r="K1052" s="49">
        <f>2405925/1.1</f>
        <v/>
      </c>
    </row>
    <row r="1053">
      <c r="B1053" s="51" t="n">
        <v>44227</v>
      </c>
      <c r="C1053" s="39">
        <f>TEXT(B1053,"aaa")</f>
        <v/>
      </c>
      <c r="D1053" s="39" t="inlineStr">
        <is>
          <t>네이버 배너</t>
        </is>
      </c>
      <c r="K1053" s="49">
        <f>2433522/1.1</f>
        <v/>
      </c>
    </row>
    <row r="1054">
      <c r="B1054" s="51" t="n">
        <v>44228</v>
      </c>
      <c r="C1054" s="39">
        <f>TEXT(B1054,"aaa")</f>
        <v/>
      </c>
      <c r="D1054" s="39" t="inlineStr">
        <is>
          <t>네이버 배너</t>
        </is>
      </c>
      <c r="K1054" s="49">
        <f>2418036/1.1</f>
        <v/>
      </c>
    </row>
    <row r="1055">
      <c r="B1055" s="51" t="n">
        <v>44229</v>
      </c>
      <c r="C1055" s="39">
        <f>TEXT(B1055,"aaa")</f>
        <v/>
      </c>
      <c r="D1055" s="39" t="inlineStr">
        <is>
          <t>네이버 배너</t>
        </is>
      </c>
      <c r="K1055" s="49">
        <f>2365341/1.1</f>
        <v/>
      </c>
    </row>
    <row r="1056">
      <c r="B1056" s="51" t="n">
        <v>44230</v>
      </c>
      <c r="C1056" s="39">
        <f>TEXT(B1056,"aaa")</f>
        <v/>
      </c>
      <c r="D1056" s="39" t="inlineStr">
        <is>
          <t>네이버 배너</t>
        </is>
      </c>
      <c r="K1056" s="49">
        <f>2287550/1.1</f>
        <v/>
      </c>
    </row>
    <row r="1057">
      <c r="B1057" s="51" t="n">
        <v>44231</v>
      </c>
      <c r="C1057" s="39">
        <f>TEXT(B1057,"aaa")</f>
        <v/>
      </c>
      <c r="D1057" s="39" t="inlineStr">
        <is>
          <t>네이버 배너</t>
        </is>
      </c>
      <c r="K1057" s="49">
        <f>1240363/1.1</f>
        <v/>
      </c>
    </row>
    <row r="1058">
      <c r="B1058" s="51" t="n">
        <v>44232</v>
      </c>
      <c r="C1058" s="39">
        <f>TEXT(B1058,"aaa")</f>
        <v/>
      </c>
      <c r="D1058" s="39" t="inlineStr">
        <is>
          <t>네이버 배너</t>
        </is>
      </c>
      <c r="K1058" s="49">
        <f>1192875/1.1</f>
        <v/>
      </c>
    </row>
    <row r="1059">
      <c r="B1059" s="51" t="n">
        <v>44233</v>
      </c>
      <c r="C1059" s="39">
        <f>TEXT(B1059,"aaa")</f>
        <v/>
      </c>
      <c r="D1059" s="39" t="inlineStr">
        <is>
          <t>네이버 배너</t>
        </is>
      </c>
      <c r="K1059" s="49">
        <f>1240262/1.1</f>
        <v/>
      </c>
    </row>
    <row r="1060">
      <c r="B1060" s="51" t="n">
        <v>44234</v>
      </c>
      <c r="C1060" s="39">
        <f>TEXT(B1060,"aaa")</f>
        <v/>
      </c>
      <c r="D1060" s="39" t="inlineStr">
        <is>
          <t>네이버 배너</t>
        </is>
      </c>
      <c r="K1060" s="49">
        <f>1232569/1.1</f>
        <v/>
      </c>
    </row>
    <row r="1061">
      <c r="B1061" s="51" t="n">
        <v>44235</v>
      </c>
      <c r="C1061" s="39">
        <f>TEXT(B1061,"aaa")</f>
        <v/>
      </c>
      <c r="D1061" s="39" t="inlineStr">
        <is>
          <t>네이버 배너</t>
        </is>
      </c>
      <c r="K1061" s="49">
        <f>1185807/1.1</f>
        <v/>
      </c>
    </row>
    <row r="1062">
      <c r="B1062" s="51" t="n">
        <v>44236</v>
      </c>
      <c r="C1062" s="39">
        <f>TEXT(B1062,"aaa")</f>
        <v/>
      </c>
      <c r="D1062" s="39" t="inlineStr">
        <is>
          <t>네이버 배너</t>
        </is>
      </c>
      <c r="K1062" s="49">
        <f>1200605/1.1</f>
        <v/>
      </c>
    </row>
    <row r="1063">
      <c r="B1063" s="51" t="n">
        <v>44140</v>
      </c>
      <c r="C1063" s="39">
        <f>TEXT(B1063,"aaa")</f>
        <v/>
      </c>
      <c r="D1063" s="39" t="inlineStr">
        <is>
          <t>카카오 배너</t>
        </is>
      </c>
      <c r="K1063" s="49">
        <f>251273/1.1</f>
        <v/>
      </c>
    </row>
    <row r="1064">
      <c r="B1064" s="51" t="n">
        <v>44141</v>
      </c>
      <c r="C1064" s="39">
        <f>TEXT(B1064,"aaa")</f>
        <v/>
      </c>
      <c r="D1064" s="39" t="inlineStr">
        <is>
          <t>카카오 배너</t>
        </is>
      </c>
      <c r="K1064" s="49">
        <f>431915/1.1</f>
        <v/>
      </c>
    </row>
    <row r="1065">
      <c r="B1065" s="51" t="n">
        <v>44142</v>
      </c>
      <c r="C1065" s="39">
        <f>TEXT(B1065,"aaa")</f>
        <v/>
      </c>
      <c r="D1065" s="39" t="inlineStr">
        <is>
          <t>카카오 배너</t>
        </is>
      </c>
      <c r="K1065" s="49">
        <f>47498/1.1</f>
        <v/>
      </c>
    </row>
    <row r="1066">
      <c r="B1066" s="51" t="n">
        <v>44143</v>
      </c>
      <c r="C1066" s="39">
        <f>TEXT(B1066,"aaa")</f>
        <v/>
      </c>
      <c r="D1066" s="39" t="inlineStr">
        <is>
          <t>카카오 배너</t>
        </is>
      </c>
      <c r="K1066" s="49" t="n">
        <v>0</v>
      </c>
    </row>
    <row r="1067">
      <c r="B1067" s="51" t="n">
        <v>44144</v>
      </c>
      <c r="C1067" s="39">
        <f>TEXT(B1067,"aaa")</f>
        <v/>
      </c>
      <c r="D1067" s="39" t="inlineStr">
        <is>
          <t>카카오 배너</t>
        </is>
      </c>
      <c r="K1067" s="49">
        <f>431420/1.1</f>
        <v/>
      </c>
    </row>
    <row r="1068">
      <c r="B1068" s="51" t="n">
        <v>44145</v>
      </c>
      <c r="C1068" s="39">
        <f>TEXT(B1068,"aaa")</f>
        <v/>
      </c>
      <c r="D1068" s="39" t="inlineStr">
        <is>
          <t>카카오 배너</t>
        </is>
      </c>
      <c r="K1068" s="49">
        <f>430441/1.1</f>
        <v/>
      </c>
    </row>
    <row r="1069">
      <c r="B1069" s="51" t="n">
        <v>44146</v>
      </c>
      <c r="C1069" s="39">
        <f>TEXT(B1069,"aaa")</f>
        <v/>
      </c>
      <c r="D1069" s="39" t="inlineStr">
        <is>
          <t>카카오 배너</t>
        </is>
      </c>
      <c r="K1069" s="49">
        <f>634524/1.1</f>
        <v/>
      </c>
    </row>
    <row r="1070">
      <c r="B1070" s="51" t="n">
        <v>44147</v>
      </c>
      <c r="C1070" s="39">
        <f>TEXT(B1070,"aaa")</f>
        <v/>
      </c>
      <c r="D1070" s="39" t="inlineStr">
        <is>
          <t>카카오 배너</t>
        </is>
      </c>
      <c r="K1070" s="49">
        <f>1011582/1.1</f>
        <v/>
      </c>
    </row>
    <row r="1071">
      <c r="B1071" s="51" t="n">
        <v>44148</v>
      </c>
      <c r="C1071" s="39">
        <f>TEXT(B1071,"aaa")</f>
        <v/>
      </c>
      <c r="D1071" s="39" t="inlineStr">
        <is>
          <t>카카오 배너</t>
        </is>
      </c>
      <c r="K1071" s="49">
        <f>1001968/1.1</f>
        <v/>
      </c>
    </row>
    <row r="1072">
      <c r="B1072" s="51" t="n">
        <v>44149</v>
      </c>
      <c r="C1072" s="39">
        <f>TEXT(B1072,"aaa")</f>
        <v/>
      </c>
      <c r="D1072" s="39" t="inlineStr">
        <is>
          <t>카카오 배너</t>
        </is>
      </c>
      <c r="K1072" s="49">
        <f>1002232/1.1</f>
        <v/>
      </c>
    </row>
    <row r="1073">
      <c r="B1073" s="51" t="n">
        <v>44150</v>
      </c>
      <c r="C1073" s="39">
        <f>TEXT(B1073,"aaa")</f>
        <v/>
      </c>
      <c r="D1073" s="39" t="inlineStr">
        <is>
          <t>카카오 배너</t>
        </is>
      </c>
      <c r="K1073" s="49">
        <f>1001957/1.1</f>
        <v/>
      </c>
    </row>
    <row r="1074">
      <c r="B1074" s="51" t="n">
        <v>44151</v>
      </c>
      <c r="C1074" s="39">
        <f>TEXT(B1074,"aaa")</f>
        <v/>
      </c>
      <c r="D1074" s="39" t="inlineStr">
        <is>
          <t>카카오 배너</t>
        </is>
      </c>
      <c r="K1074" s="49">
        <f>2325521/1.1</f>
        <v/>
      </c>
    </row>
    <row r="1075">
      <c r="B1075" s="51" t="n">
        <v>44152</v>
      </c>
      <c r="C1075" s="39">
        <f>TEXT(B1075,"aaa")</f>
        <v/>
      </c>
      <c r="D1075" s="39" t="inlineStr">
        <is>
          <t>카카오 배너</t>
        </is>
      </c>
      <c r="K1075" s="49">
        <f>2451999/1.1</f>
        <v/>
      </c>
    </row>
    <row r="1076">
      <c r="B1076" s="51" t="n">
        <v>44153</v>
      </c>
      <c r="C1076" s="39">
        <f>TEXT(B1076,"aaa")</f>
        <v/>
      </c>
      <c r="D1076" s="39" t="inlineStr">
        <is>
          <t>카카오 배너</t>
        </is>
      </c>
      <c r="K1076" s="49">
        <f>2151754/1.1</f>
        <v/>
      </c>
    </row>
    <row r="1077">
      <c r="B1077" s="51" t="n">
        <v>44154</v>
      </c>
      <c r="C1077" s="39">
        <f>TEXT(B1077,"aaa")</f>
        <v/>
      </c>
      <c r="D1077" s="39" t="inlineStr">
        <is>
          <t>카카오 배너</t>
        </is>
      </c>
      <c r="K1077" s="49">
        <f>2257563/1.1</f>
        <v/>
      </c>
    </row>
    <row r="1078">
      <c r="B1078" s="51" t="n">
        <v>44155</v>
      </c>
      <c r="C1078" s="39">
        <f>TEXT(B1078,"aaa")</f>
        <v/>
      </c>
      <c r="D1078" s="39" t="inlineStr">
        <is>
          <t>카카오 배너</t>
        </is>
      </c>
      <c r="K1078" s="49">
        <f>2454309/1.1</f>
        <v/>
      </c>
    </row>
    <row r="1079">
      <c r="B1079" s="51" t="n">
        <v>44156</v>
      </c>
      <c r="C1079" s="39">
        <f>TEXT(B1079,"aaa")</f>
        <v/>
      </c>
      <c r="D1079" s="39" t="inlineStr">
        <is>
          <t>카카오 배너</t>
        </is>
      </c>
      <c r="K1079" s="49">
        <f>2466915/1.1</f>
        <v/>
      </c>
    </row>
    <row r="1080">
      <c r="B1080" s="51" t="n">
        <v>44157</v>
      </c>
      <c r="C1080" s="39">
        <f>TEXT(B1080,"aaa")</f>
        <v/>
      </c>
      <c r="D1080" s="39" t="inlineStr">
        <is>
          <t>카카오 배너</t>
        </is>
      </c>
      <c r="K1080" s="49">
        <f>2462350/1.1</f>
        <v/>
      </c>
    </row>
    <row r="1081">
      <c r="B1081" s="51" t="n">
        <v>44158</v>
      </c>
      <c r="C1081" s="39">
        <f>TEXT(B1081,"aaa")</f>
        <v/>
      </c>
      <c r="D1081" s="39" t="inlineStr">
        <is>
          <t>카카오 배너</t>
        </is>
      </c>
      <c r="K1081" s="49">
        <f>2268761/1.1</f>
        <v/>
      </c>
    </row>
    <row r="1082">
      <c r="B1082" s="51" t="n">
        <v>44159</v>
      </c>
      <c r="C1082" s="39">
        <f>TEXT(B1082,"aaa")</f>
        <v/>
      </c>
      <c r="D1082" s="39" t="inlineStr">
        <is>
          <t>카카오 배너</t>
        </is>
      </c>
      <c r="K1082" s="49">
        <f>2119359/1.1</f>
        <v/>
      </c>
    </row>
    <row r="1083">
      <c r="B1083" s="51" t="n">
        <v>44160</v>
      </c>
      <c r="C1083" s="39">
        <f>TEXT(B1083,"aaa")</f>
        <v/>
      </c>
      <c r="D1083" s="39" t="inlineStr">
        <is>
          <t>카카오 배너</t>
        </is>
      </c>
      <c r="K1083" s="49">
        <f>1616769/1.1</f>
        <v/>
      </c>
    </row>
    <row r="1084">
      <c r="B1084" s="51" t="n">
        <v>44161</v>
      </c>
      <c r="C1084" s="39">
        <f>TEXT(B1084,"aaa")</f>
        <v/>
      </c>
      <c r="D1084" s="39" t="inlineStr">
        <is>
          <t>카카오 배너</t>
        </is>
      </c>
      <c r="K1084" s="49">
        <f>2155109/1.1</f>
        <v/>
      </c>
    </row>
    <row r="1085">
      <c r="B1085" s="51" t="n">
        <v>44162</v>
      </c>
      <c r="C1085" s="39">
        <f>TEXT(B1085,"aaa")</f>
        <v/>
      </c>
      <c r="D1085" s="39" t="inlineStr">
        <is>
          <t>카카오 배너</t>
        </is>
      </c>
      <c r="K1085" s="49">
        <f>2144494/1.1</f>
        <v/>
      </c>
    </row>
    <row r="1086">
      <c r="B1086" s="51" t="n">
        <v>44163</v>
      </c>
      <c r="C1086" s="39">
        <f>TEXT(B1086,"aaa")</f>
        <v/>
      </c>
      <c r="D1086" s="39" t="inlineStr">
        <is>
          <t>카카오 배너</t>
        </is>
      </c>
      <c r="K1086" s="49">
        <f>2245485/1.1</f>
        <v/>
      </c>
    </row>
    <row r="1087">
      <c r="B1087" s="51" t="n">
        <v>44164</v>
      </c>
      <c r="C1087" s="39">
        <f>TEXT(B1087,"aaa")</f>
        <v/>
      </c>
      <c r="D1087" s="39" t="inlineStr">
        <is>
          <t>카카오 배너</t>
        </is>
      </c>
      <c r="K1087" s="49">
        <f>2243604/1.1</f>
        <v/>
      </c>
    </row>
    <row r="1088">
      <c r="B1088" s="51" t="n">
        <v>44165</v>
      </c>
      <c r="C1088" s="39">
        <f>TEXT(B1088,"aaa")</f>
        <v/>
      </c>
      <c r="D1088" s="39" t="inlineStr">
        <is>
          <t>카카오 배너</t>
        </is>
      </c>
      <c r="K1088" s="49">
        <f>1738396/1.1</f>
        <v/>
      </c>
    </row>
    <row r="1089">
      <c r="B1089" s="51" t="n">
        <v>44166</v>
      </c>
      <c r="C1089" s="39">
        <f>TEXT(B1089,"aaa")</f>
        <v/>
      </c>
      <c r="D1089" s="39" t="inlineStr">
        <is>
          <t>카카오 배너</t>
        </is>
      </c>
      <c r="K1089" s="49">
        <f>1757558/1.1</f>
        <v/>
      </c>
    </row>
    <row r="1090">
      <c r="B1090" s="51" t="n">
        <v>44167</v>
      </c>
      <c r="C1090" s="39">
        <f>TEXT(B1090,"aaa")</f>
        <v/>
      </c>
      <c r="D1090" s="39" t="inlineStr">
        <is>
          <t>카카오 배너</t>
        </is>
      </c>
      <c r="K1090" s="49">
        <f>2244671/1.1</f>
        <v/>
      </c>
    </row>
    <row r="1091">
      <c r="B1091" s="51" t="n">
        <v>44168</v>
      </c>
      <c r="C1091" s="39">
        <f>TEXT(B1091,"aaa")</f>
        <v/>
      </c>
      <c r="D1091" s="39" t="inlineStr">
        <is>
          <t>카카오 배너</t>
        </is>
      </c>
      <c r="K1091" s="49">
        <f>2241448/1.1</f>
        <v/>
      </c>
    </row>
    <row r="1092">
      <c r="B1092" s="51" t="n">
        <v>44169</v>
      </c>
      <c r="C1092" s="39">
        <f>TEXT(B1092,"aaa")</f>
        <v/>
      </c>
      <c r="D1092" s="39" t="inlineStr">
        <is>
          <t>카카오 배너</t>
        </is>
      </c>
      <c r="K1092" s="49">
        <f>2243912/1.1</f>
        <v/>
      </c>
    </row>
    <row r="1093">
      <c r="B1093" s="51" t="n">
        <v>44170</v>
      </c>
      <c r="C1093" s="39">
        <f>TEXT(B1093,"aaa")</f>
        <v/>
      </c>
      <c r="D1093" s="39" t="inlineStr">
        <is>
          <t>카카오 배너</t>
        </is>
      </c>
      <c r="K1093" s="49">
        <f>2245606/1.1</f>
        <v/>
      </c>
    </row>
    <row r="1094">
      <c r="B1094" s="51" t="n">
        <v>44171</v>
      </c>
      <c r="C1094" s="39">
        <f>TEXT(B1094,"aaa")</f>
        <v/>
      </c>
      <c r="D1094" s="39" t="inlineStr">
        <is>
          <t>카카오 배너</t>
        </is>
      </c>
      <c r="K1094" s="49">
        <f>2244528/1.1</f>
        <v/>
      </c>
    </row>
    <row r="1095">
      <c r="B1095" s="51" t="n">
        <v>44172</v>
      </c>
      <c r="C1095" s="39">
        <f>TEXT(B1095,"aaa")</f>
        <v/>
      </c>
      <c r="D1095" s="39" t="inlineStr">
        <is>
          <t>카카오 배너</t>
        </is>
      </c>
      <c r="K1095" s="49">
        <f>2244352/1.1</f>
        <v/>
      </c>
    </row>
    <row r="1096">
      <c r="B1096" s="51" t="n">
        <v>44173</v>
      </c>
      <c r="C1096" s="39">
        <f>TEXT(B1096,"aaa")</f>
        <v/>
      </c>
      <c r="D1096" s="39" t="inlineStr">
        <is>
          <t>카카오 배너</t>
        </is>
      </c>
      <c r="K1096" s="49">
        <f>2252448/1.1</f>
        <v/>
      </c>
    </row>
    <row r="1097">
      <c r="B1097" s="51" t="n">
        <v>44174</v>
      </c>
      <c r="C1097" s="39">
        <f>TEXT(B1097,"aaa")</f>
        <v/>
      </c>
      <c r="D1097" s="39" t="inlineStr">
        <is>
          <t>카카오 배너</t>
        </is>
      </c>
      <c r="K1097" s="49">
        <f>2246431/1.1</f>
        <v/>
      </c>
    </row>
    <row r="1098">
      <c r="B1098" s="51" t="n">
        <v>44175</v>
      </c>
      <c r="C1098" s="39">
        <f>TEXT(B1098,"aaa")</f>
        <v/>
      </c>
      <c r="D1098" s="39" t="inlineStr">
        <is>
          <t>카카오 배너</t>
        </is>
      </c>
      <c r="K1098" s="49">
        <f>2205687/1.1</f>
        <v/>
      </c>
    </row>
    <row r="1099">
      <c r="B1099" s="51" t="n">
        <v>44176</v>
      </c>
      <c r="C1099" s="39">
        <f>TEXT(B1099,"aaa")</f>
        <v/>
      </c>
      <c r="D1099" s="39" t="inlineStr">
        <is>
          <t>카카오 배너</t>
        </is>
      </c>
      <c r="K1099" s="49">
        <f>2295018/1.1</f>
        <v/>
      </c>
    </row>
    <row r="1100">
      <c r="B1100" s="51" t="n">
        <v>44177</v>
      </c>
      <c r="C1100" s="39">
        <f>TEXT(B1100,"aaa")</f>
        <v/>
      </c>
      <c r="D1100" s="39" t="inlineStr">
        <is>
          <t>카카오 배너</t>
        </is>
      </c>
      <c r="K1100" s="49">
        <f>2291729/1.1</f>
        <v/>
      </c>
    </row>
    <row r="1101">
      <c r="B1101" s="51" t="n">
        <v>44178</v>
      </c>
      <c r="C1101" s="39">
        <f>TEXT(B1101,"aaa")</f>
        <v/>
      </c>
      <c r="D1101" s="39" t="inlineStr">
        <is>
          <t>카카오 배너</t>
        </is>
      </c>
      <c r="K1101" s="49">
        <f>2295458/1.1</f>
        <v/>
      </c>
    </row>
    <row r="1102">
      <c r="B1102" s="51" t="n">
        <v>44179</v>
      </c>
      <c r="C1102" s="39">
        <f>TEXT(B1102,"aaa")</f>
        <v/>
      </c>
      <c r="D1102" s="39" t="inlineStr">
        <is>
          <t>카카오 배너</t>
        </is>
      </c>
      <c r="K1102" s="49">
        <f>2392632/1.1</f>
        <v/>
      </c>
    </row>
    <row r="1103">
      <c r="B1103" s="51" t="n">
        <v>44180</v>
      </c>
      <c r="C1103" s="39">
        <f>TEXT(B1103,"aaa")</f>
        <v/>
      </c>
      <c r="D1103" s="39" t="inlineStr">
        <is>
          <t>카카오 배너</t>
        </is>
      </c>
      <c r="K1103" s="49">
        <f>2393545/1.1</f>
        <v/>
      </c>
    </row>
    <row r="1104" ht="16.5" customHeight="1" s="47">
      <c r="B1104" s="51" t="n">
        <v>44181</v>
      </c>
      <c r="C1104" s="39">
        <f>TEXT(B1104,"aaa")</f>
        <v/>
      </c>
      <c r="D1104" s="39" t="inlineStr">
        <is>
          <t>카카오 배너</t>
        </is>
      </c>
      <c r="K1104" s="49">
        <f>2291806/1.1</f>
        <v/>
      </c>
    </row>
    <row r="1105" ht="16.5" customHeight="1" s="47">
      <c r="B1105" s="51" t="n">
        <v>44182</v>
      </c>
      <c r="C1105" s="39">
        <f>TEXT(B1105,"aaa")</f>
        <v/>
      </c>
      <c r="D1105" s="39" t="inlineStr">
        <is>
          <t>카카오 배너</t>
        </is>
      </c>
      <c r="K1105" s="49">
        <f>4529866/1.1</f>
        <v/>
      </c>
    </row>
    <row r="1106" ht="16.5" customHeight="1" s="47">
      <c r="B1106" s="51" t="n">
        <v>44183</v>
      </c>
      <c r="C1106" s="39">
        <f>TEXT(B1106,"aaa")</f>
        <v/>
      </c>
      <c r="D1106" s="39" t="inlineStr">
        <is>
          <t>카카오 배너</t>
        </is>
      </c>
      <c r="K1106" s="49">
        <f>4580169/1.1</f>
        <v/>
      </c>
    </row>
    <row r="1107" ht="16.5" customHeight="1" s="47">
      <c r="B1107" s="51" t="n">
        <v>44184</v>
      </c>
      <c r="C1107" s="39">
        <f>TEXT(B1107,"aaa")</f>
        <v/>
      </c>
      <c r="D1107" s="39" t="inlineStr">
        <is>
          <t>카카오 배너</t>
        </is>
      </c>
      <c r="K1107" s="49">
        <f>4609108/1.1</f>
        <v/>
      </c>
    </row>
    <row r="1108" ht="16.5" customHeight="1" s="47">
      <c r="B1108" s="51" t="n">
        <v>44185</v>
      </c>
      <c r="C1108" s="39">
        <f>TEXT(B1108,"aaa")</f>
        <v/>
      </c>
      <c r="D1108" s="39" t="inlineStr">
        <is>
          <t>카카오 배너</t>
        </is>
      </c>
      <c r="K1108" s="49">
        <f>4515621/1.1</f>
        <v/>
      </c>
    </row>
    <row r="1109" ht="16.5" customHeight="1" s="47">
      <c r="B1109" s="51" t="n">
        <v>44186</v>
      </c>
      <c r="C1109" s="39">
        <f>TEXT(B1109,"aaa")</f>
        <v/>
      </c>
      <c r="D1109" s="39" t="inlineStr">
        <is>
          <t>카카오 배너</t>
        </is>
      </c>
      <c r="K1109" s="49">
        <f>3822181/1.1</f>
        <v/>
      </c>
    </row>
    <row r="1110" ht="16.5" customHeight="1" s="47">
      <c r="B1110" s="51" t="n">
        <v>44187</v>
      </c>
      <c r="C1110" s="39">
        <f>TEXT(B1110,"aaa")</f>
        <v/>
      </c>
      <c r="D1110" s="39" t="inlineStr">
        <is>
          <t>카카오 배너</t>
        </is>
      </c>
      <c r="K1110" s="49">
        <f>3074159/1.1</f>
        <v/>
      </c>
    </row>
    <row r="1111" ht="16.5" customHeight="1" s="47">
      <c r="B1111" s="51" t="n">
        <v>44188</v>
      </c>
      <c r="C1111" s="39">
        <f>TEXT(B1111,"aaa")</f>
        <v/>
      </c>
      <c r="D1111" s="39" t="inlineStr">
        <is>
          <t>카카오 배너</t>
        </is>
      </c>
      <c r="K1111" s="49">
        <f>1780020/1.1</f>
        <v/>
      </c>
    </row>
    <row r="1112" ht="16.5" customHeight="1" s="47">
      <c r="B1112" s="51" t="n">
        <v>44189</v>
      </c>
      <c r="C1112" s="39">
        <f>TEXT(B1112,"aaa")</f>
        <v/>
      </c>
      <c r="D1112" s="39" t="inlineStr">
        <is>
          <t>카카오 배너</t>
        </is>
      </c>
      <c r="K1112" s="49">
        <f>2994585/1.1</f>
        <v/>
      </c>
    </row>
    <row r="1113" ht="16.5" customHeight="1" s="47">
      <c r="B1113" s="51" t="n">
        <v>44190</v>
      </c>
      <c r="C1113" s="39">
        <f>TEXT(B1113,"aaa")</f>
        <v/>
      </c>
      <c r="D1113" s="39" t="inlineStr">
        <is>
          <t>카카오 배너</t>
        </is>
      </c>
      <c r="K1113" s="49">
        <f>4236210/1.1</f>
        <v/>
      </c>
    </row>
    <row r="1114" ht="16.5" customHeight="1" s="47">
      <c r="B1114" s="51" t="n">
        <v>44191</v>
      </c>
      <c r="C1114" s="39">
        <f>TEXT(B1114,"aaa")</f>
        <v/>
      </c>
      <c r="D1114" s="39" t="inlineStr">
        <is>
          <t>카카오 배너</t>
        </is>
      </c>
      <c r="K1114" s="49">
        <f>4422649/1.1</f>
        <v/>
      </c>
    </row>
    <row r="1115" ht="16.5" customHeight="1" s="47">
      <c r="B1115" s="51" t="n">
        <v>44192</v>
      </c>
      <c r="C1115" s="39">
        <f>TEXT(B1115,"aaa")</f>
        <v/>
      </c>
      <c r="D1115" s="39" t="inlineStr">
        <is>
          <t>카카오 배너</t>
        </is>
      </c>
      <c r="K1115" s="49">
        <f>4219413/1.1</f>
        <v/>
      </c>
    </row>
    <row r="1116" ht="16.5" customHeight="1" s="47">
      <c r="B1116" s="51" t="n">
        <v>44193</v>
      </c>
      <c r="C1116" s="39">
        <f>TEXT(B1116,"aaa")</f>
        <v/>
      </c>
      <c r="D1116" s="39" t="inlineStr">
        <is>
          <t>카카오 배너</t>
        </is>
      </c>
      <c r="K1116" s="49">
        <f>2163458/1.1</f>
        <v/>
      </c>
    </row>
    <row r="1117" ht="16.5" customHeight="1" s="47">
      <c r="B1117" s="51" t="n">
        <v>44194</v>
      </c>
      <c r="C1117" s="39">
        <f>TEXT(B1117,"aaa")</f>
        <v/>
      </c>
      <c r="D1117" s="39" t="inlineStr">
        <is>
          <t>카카오 배너</t>
        </is>
      </c>
      <c r="K1117" s="49">
        <f>2086502/1.1</f>
        <v/>
      </c>
    </row>
    <row r="1118" ht="16.5" customHeight="1" s="47">
      <c r="B1118" s="51" t="n">
        <v>44195</v>
      </c>
      <c r="C1118" s="39">
        <f>TEXT(B1118,"aaa")</f>
        <v/>
      </c>
      <c r="D1118" s="39" t="inlineStr">
        <is>
          <t>카카오 배너</t>
        </is>
      </c>
      <c r="K1118" s="49">
        <f>1985610/1.1</f>
        <v/>
      </c>
    </row>
    <row r="1119" ht="16.5" customHeight="1" s="47">
      <c r="B1119" s="51" t="n">
        <v>44196</v>
      </c>
      <c r="C1119" s="39">
        <f>TEXT(B1119,"aaa")</f>
        <v/>
      </c>
      <c r="D1119" s="39" t="inlineStr">
        <is>
          <t>카카오 배너</t>
        </is>
      </c>
      <c r="K1119" s="49">
        <f>2238357/1.1</f>
        <v/>
      </c>
    </row>
    <row r="1120" ht="16.5" customHeight="1" s="47">
      <c r="B1120" s="51" t="n">
        <v>44197</v>
      </c>
      <c r="C1120" s="39">
        <f>TEXT(B1120,"aaa")</f>
        <v/>
      </c>
      <c r="D1120" s="39" t="inlineStr">
        <is>
          <t>카카오 배너</t>
        </is>
      </c>
      <c r="K1120" s="49">
        <f>5338465/1.1</f>
        <v/>
      </c>
    </row>
    <row r="1121" ht="16.5" customHeight="1" s="47">
      <c r="B1121" s="51" t="n">
        <v>44198</v>
      </c>
      <c r="C1121" s="39">
        <f>TEXT(B1121,"aaa")</f>
        <v/>
      </c>
      <c r="D1121" s="39" t="inlineStr">
        <is>
          <t>카카오 배너</t>
        </is>
      </c>
      <c r="K1121" s="49">
        <f>4880821/1.1</f>
        <v/>
      </c>
    </row>
    <row r="1122" ht="16.5" customHeight="1" s="47">
      <c r="B1122" s="51" t="n">
        <v>44199</v>
      </c>
      <c r="C1122" s="39">
        <f>TEXT(B1122,"aaa")</f>
        <v/>
      </c>
      <c r="D1122" s="39" t="inlineStr">
        <is>
          <t>카카오 배너</t>
        </is>
      </c>
      <c r="K1122" s="49">
        <f>4507107/1.1</f>
        <v/>
      </c>
    </row>
    <row r="1123" ht="16.5" customHeight="1" s="47">
      <c r="B1123" s="51" t="n">
        <v>44200</v>
      </c>
      <c r="C1123" s="39">
        <f>TEXT(B1123,"aaa")</f>
        <v/>
      </c>
      <c r="D1123" s="39" t="inlineStr">
        <is>
          <t>카카오 배너</t>
        </is>
      </c>
      <c r="K1123" s="49">
        <f>2617032/1.1</f>
        <v/>
      </c>
    </row>
    <row r="1124" ht="16.5" customHeight="1" s="47">
      <c r="B1124" s="51" t="n">
        <v>44201</v>
      </c>
      <c r="C1124" s="39">
        <f>TEXT(B1124,"aaa")</f>
        <v/>
      </c>
      <c r="D1124" s="39" t="inlineStr">
        <is>
          <t>카카오 배너</t>
        </is>
      </c>
      <c r="K1124" s="49">
        <f>2349226/1.1</f>
        <v/>
      </c>
    </row>
    <row r="1125" ht="16.5" customHeight="1" s="47">
      <c r="B1125" s="51" t="n">
        <v>44202</v>
      </c>
      <c r="C1125" s="39">
        <f>TEXT(B1125,"aaa")</f>
        <v/>
      </c>
      <c r="D1125" s="39" t="inlineStr">
        <is>
          <t>카카오 배너</t>
        </is>
      </c>
      <c r="K1125" s="49">
        <f>1960024/1.1</f>
        <v/>
      </c>
    </row>
    <row r="1126" ht="16.5" customHeight="1" s="47">
      <c r="B1126" s="51" t="n">
        <v>44203</v>
      </c>
      <c r="C1126" s="39">
        <f>TEXT(B1126,"aaa")</f>
        <v/>
      </c>
      <c r="D1126" s="39" t="inlineStr">
        <is>
          <t>카카오 배너</t>
        </is>
      </c>
      <c r="K1126" s="49">
        <f>1665785/1.1</f>
        <v/>
      </c>
    </row>
    <row r="1127" ht="16.5" customHeight="1" s="47">
      <c r="B1127" s="51" t="n">
        <v>44204</v>
      </c>
      <c r="C1127" s="39">
        <f>TEXT(B1127,"aaa")</f>
        <v/>
      </c>
      <c r="D1127" s="39" t="inlineStr">
        <is>
          <t>카카오 배너</t>
        </is>
      </c>
      <c r="K1127" s="49">
        <f>1684265/1.1</f>
        <v/>
      </c>
    </row>
    <row r="1128" ht="16.5" customHeight="1" s="47">
      <c r="B1128" s="51" t="n">
        <v>44205</v>
      </c>
      <c r="C1128" s="39">
        <f>TEXT(B1128,"aaa")</f>
        <v/>
      </c>
      <c r="D1128" s="39" t="inlineStr">
        <is>
          <t>카카오 배너</t>
        </is>
      </c>
      <c r="K1128" s="49">
        <f>2153426/1.1</f>
        <v/>
      </c>
    </row>
    <row r="1129" ht="16.5" customHeight="1" s="47">
      <c r="B1129" s="51" t="n">
        <v>44206</v>
      </c>
      <c r="C1129" s="39">
        <f>TEXT(B1129,"aaa")</f>
        <v/>
      </c>
      <c r="D1129" s="39" t="inlineStr">
        <is>
          <t>카카오 배너</t>
        </is>
      </c>
      <c r="K1129" s="49">
        <f>2163645/1.1</f>
        <v/>
      </c>
    </row>
    <row r="1130" ht="16.5" customHeight="1" s="47">
      <c r="B1130" s="51" t="n">
        <v>44207</v>
      </c>
      <c r="C1130" s="39">
        <f>TEXT(B1130,"aaa")</f>
        <v/>
      </c>
      <c r="D1130" s="39" t="inlineStr">
        <is>
          <t>카카오 배너</t>
        </is>
      </c>
      <c r="K1130" s="49">
        <f>1737219/1.1</f>
        <v/>
      </c>
    </row>
    <row r="1131" ht="16.5" customHeight="1" s="47">
      <c r="B1131" s="51" t="n">
        <v>44208</v>
      </c>
      <c r="C1131" s="39">
        <f>TEXT(B1131,"aaa")</f>
        <v/>
      </c>
      <c r="D1131" s="39" t="inlineStr">
        <is>
          <t>카카오 배너</t>
        </is>
      </c>
      <c r="K1131" s="49">
        <f>1303467/1.1</f>
        <v/>
      </c>
    </row>
    <row r="1132" ht="16.5" customHeight="1" s="47">
      <c r="B1132" s="51" t="n">
        <v>44209</v>
      </c>
      <c r="C1132" s="39">
        <f>TEXT(B1132,"aaa")</f>
        <v/>
      </c>
      <c r="D1132" s="39" t="inlineStr">
        <is>
          <t>카카오 배너</t>
        </is>
      </c>
      <c r="K1132" s="49">
        <f>2734809/1.1</f>
        <v/>
      </c>
    </row>
    <row r="1133" ht="16.5" customHeight="1" s="47">
      <c r="B1133" s="51" t="n">
        <v>44210</v>
      </c>
      <c r="C1133" s="39">
        <f>TEXT(B1133,"aaa")</f>
        <v/>
      </c>
      <c r="D1133" s="39" t="inlineStr">
        <is>
          <t>카카오 배너</t>
        </is>
      </c>
      <c r="K1133" s="49">
        <f>1971475/1.1</f>
        <v/>
      </c>
    </row>
    <row r="1134" ht="16.5" customHeight="1" s="47">
      <c r="B1134" s="51" t="n">
        <v>44211</v>
      </c>
      <c r="C1134" s="39">
        <f>TEXT(B1134,"aaa")</f>
        <v/>
      </c>
      <c r="D1134" s="39" t="inlineStr">
        <is>
          <t>카카오 배너</t>
        </is>
      </c>
      <c r="K1134" s="49">
        <f>1954865/1.1</f>
        <v/>
      </c>
    </row>
    <row r="1135" ht="16.5" customHeight="1" s="47">
      <c r="B1135" s="51" t="n">
        <v>44212</v>
      </c>
      <c r="C1135" s="39">
        <f>TEXT(B1135,"aaa")</f>
        <v/>
      </c>
      <c r="D1135" s="39" t="inlineStr">
        <is>
          <t>카카오 배너</t>
        </is>
      </c>
      <c r="K1135" s="49">
        <f>1834261/1.1</f>
        <v/>
      </c>
    </row>
    <row r="1136" ht="16.5" customHeight="1" s="47">
      <c r="B1136" s="51" t="n">
        <v>44213</v>
      </c>
      <c r="C1136" s="39">
        <f>TEXT(B1136,"aaa")</f>
        <v/>
      </c>
      <c r="D1136" s="39" t="inlineStr">
        <is>
          <t>카카오 배너</t>
        </is>
      </c>
      <c r="K1136" s="49">
        <f>2528977/1.1</f>
        <v/>
      </c>
    </row>
    <row r="1137" ht="16.5" customHeight="1" s="47">
      <c r="B1137" s="51" t="n">
        <v>44214</v>
      </c>
      <c r="C1137" s="39">
        <f>TEXT(B1137,"aaa")</f>
        <v/>
      </c>
      <c r="D1137" s="39" t="inlineStr">
        <is>
          <t>카카오 배너</t>
        </is>
      </c>
      <c r="K1137" s="49">
        <f>1627186/1.1</f>
        <v/>
      </c>
    </row>
    <row r="1138" ht="16.5" customHeight="1" s="47">
      <c r="B1138" s="51" t="n">
        <v>44215</v>
      </c>
      <c r="C1138" s="39">
        <f>TEXT(B1138,"aaa")</f>
        <v/>
      </c>
      <c r="D1138" s="39" t="inlineStr">
        <is>
          <t>카카오 배너</t>
        </is>
      </c>
      <c r="K1138" s="49">
        <f>1384944/1.1</f>
        <v/>
      </c>
    </row>
    <row r="1139" ht="16.5" customHeight="1" s="47">
      <c r="B1139" s="51" t="n">
        <v>44216</v>
      </c>
      <c r="C1139" s="39">
        <f>TEXT(B1139,"aaa")</f>
        <v/>
      </c>
      <c r="D1139" s="39" t="inlineStr">
        <is>
          <t>카카오 배너</t>
        </is>
      </c>
      <c r="K1139" s="49" t="n">
        <v>1384460</v>
      </c>
    </row>
    <row r="1140" ht="16.5" customHeight="1" s="47">
      <c r="B1140" s="51" t="n">
        <v>44217</v>
      </c>
      <c r="C1140" s="39">
        <f>TEXT(B1140,"aaa")</f>
        <v/>
      </c>
      <c r="D1140" s="39" t="inlineStr">
        <is>
          <t>카카오 배너</t>
        </is>
      </c>
      <c r="K1140" s="49">
        <f>1756843/1.1</f>
        <v/>
      </c>
    </row>
    <row r="1141" ht="16.5" customHeight="1" s="47">
      <c r="B1141" s="51" t="n">
        <v>44218</v>
      </c>
      <c r="C1141" s="39">
        <f>TEXT(B1141,"aaa")</f>
        <v/>
      </c>
      <c r="D1141" s="39" t="inlineStr">
        <is>
          <t>카카오 배너</t>
        </is>
      </c>
      <c r="K1141" s="49">
        <f>1361822/1.1</f>
        <v/>
      </c>
    </row>
    <row r="1142" ht="16.5" customHeight="1" s="47">
      <c r="B1142" s="51" t="n">
        <v>44219</v>
      </c>
      <c r="C1142" s="39">
        <f>TEXT(B1142,"aaa")</f>
        <v/>
      </c>
      <c r="D1142" s="39" t="inlineStr">
        <is>
          <t>카카오 배너</t>
        </is>
      </c>
      <c r="K1142" s="49">
        <f>1752300/1.1</f>
        <v/>
      </c>
    </row>
    <row r="1143" ht="16.5" customHeight="1" s="47">
      <c r="B1143" s="51" t="n">
        <v>44220</v>
      </c>
      <c r="C1143" s="39">
        <f>TEXT(B1143,"aaa")</f>
        <v/>
      </c>
      <c r="D1143" s="39" t="inlineStr">
        <is>
          <t>카카오 배너</t>
        </is>
      </c>
      <c r="K1143" s="49">
        <f>1800612/1.1</f>
        <v/>
      </c>
    </row>
    <row r="1144" ht="16.5" customHeight="1" s="47">
      <c r="B1144" s="51" t="n">
        <v>44221</v>
      </c>
      <c r="C1144" s="39">
        <f>TEXT(B1144,"aaa")</f>
        <v/>
      </c>
      <c r="D1144" s="39" t="inlineStr">
        <is>
          <t>카카오 배너</t>
        </is>
      </c>
      <c r="K1144" s="49">
        <f>970849/1.1</f>
        <v/>
      </c>
    </row>
    <row r="1145" ht="16.5" customHeight="1" s="47">
      <c r="B1145" s="51" t="n">
        <v>44222</v>
      </c>
      <c r="C1145" s="39">
        <f>TEXT(B1145,"aaa")</f>
        <v/>
      </c>
      <c r="D1145" s="39" t="inlineStr">
        <is>
          <t>카카오 배너</t>
        </is>
      </c>
      <c r="K1145" s="49">
        <f>968187/1.1</f>
        <v/>
      </c>
    </row>
    <row r="1146" ht="16.5" customHeight="1" s="47">
      <c r="B1146" s="51" t="n">
        <v>44223</v>
      </c>
      <c r="C1146" s="39">
        <f>TEXT(B1146,"aaa")</f>
        <v/>
      </c>
      <c r="D1146" s="39" t="inlineStr">
        <is>
          <t>카카오 배너</t>
        </is>
      </c>
      <c r="K1146" s="49">
        <f>1073930/1.1</f>
        <v/>
      </c>
    </row>
    <row r="1147" ht="16.5" customHeight="1" s="47">
      <c r="B1147" s="51" t="n">
        <v>44224</v>
      </c>
      <c r="C1147" s="39">
        <f>TEXT(B1147,"aaa")</f>
        <v/>
      </c>
      <c r="D1147" s="39" t="inlineStr">
        <is>
          <t>카카오 배너</t>
        </is>
      </c>
      <c r="K1147" s="49">
        <f>1130646/1.1</f>
        <v/>
      </c>
    </row>
    <row r="1148" ht="16.5" customHeight="1" s="47">
      <c r="B1148" s="51" t="n">
        <v>44225</v>
      </c>
      <c r="C1148" s="39">
        <f>TEXT(B1148,"aaa")</f>
        <v/>
      </c>
      <c r="D1148" s="39" t="inlineStr">
        <is>
          <t>카카오 배너</t>
        </is>
      </c>
      <c r="K1148" s="49">
        <f>855602/1.1</f>
        <v/>
      </c>
    </row>
    <row r="1149" ht="16.5" customHeight="1" s="47">
      <c r="B1149" s="51" t="n">
        <v>44226</v>
      </c>
      <c r="C1149" s="39">
        <f>TEXT(B1149,"aaa")</f>
        <v/>
      </c>
      <c r="D1149" s="39" t="inlineStr">
        <is>
          <t>카카오 배너</t>
        </is>
      </c>
      <c r="K1149" s="49">
        <f>913308/1.1</f>
        <v/>
      </c>
    </row>
    <row r="1150" ht="16.5" customHeight="1" s="47">
      <c r="B1150" s="51" t="n">
        <v>44227</v>
      </c>
      <c r="C1150" s="39">
        <f>TEXT(B1150,"aaa")</f>
        <v/>
      </c>
      <c r="D1150" s="39" t="inlineStr">
        <is>
          <t>카카오 배너</t>
        </is>
      </c>
      <c r="K1150" s="49">
        <f>1193852/1.1</f>
        <v/>
      </c>
    </row>
    <row r="1151" ht="16.5" customHeight="1" s="47">
      <c r="B1151" s="51" t="n">
        <v>44228</v>
      </c>
      <c r="C1151" s="39">
        <f>TEXT(B1151,"aaa")</f>
        <v/>
      </c>
      <c r="D1151" s="39" t="inlineStr">
        <is>
          <t>카카오 배너</t>
        </is>
      </c>
      <c r="K1151" s="49">
        <f>971014/1.1</f>
        <v/>
      </c>
    </row>
    <row r="1152" ht="16.5" customHeight="1" s="47">
      <c r="B1152" s="51" t="n">
        <v>44229</v>
      </c>
      <c r="C1152" s="39">
        <f>TEXT(B1152,"aaa")</f>
        <v/>
      </c>
      <c r="D1152" s="39" t="inlineStr">
        <is>
          <t>카카오 배너</t>
        </is>
      </c>
      <c r="K1152" s="49">
        <f>1028896/1.1</f>
        <v/>
      </c>
    </row>
    <row r="1153" ht="16.5" customHeight="1" s="47">
      <c r="B1153" s="51" t="n">
        <v>44230</v>
      </c>
      <c r="C1153" s="39">
        <f>TEXT(B1153,"aaa")</f>
        <v/>
      </c>
      <c r="D1153" s="39" t="inlineStr">
        <is>
          <t>카카오 배너</t>
        </is>
      </c>
      <c r="K1153" s="49">
        <f>717618/1.1</f>
        <v/>
      </c>
    </row>
    <row r="1154" ht="16.5" customHeight="1" s="47">
      <c r="B1154" s="51" t="n">
        <v>44231</v>
      </c>
      <c r="C1154" s="39">
        <f>TEXT(B1154,"aaa")</f>
        <v/>
      </c>
      <c r="D1154" s="39" t="inlineStr">
        <is>
          <t>카카오 배너</t>
        </is>
      </c>
      <c r="K1154" s="49">
        <f>867867/1.1</f>
        <v/>
      </c>
    </row>
    <row r="1155" ht="16.5" customHeight="1" s="47">
      <c r="B1155" s="51" t="n">
        <v>44232</v>
      </c>
      <c r="C1155" s="39">
        <f>TEXT(B1155,"aaa")</f>
        <v/>
      </c>
      <c r="D1155" s="39" t="inlineStr">
        <is>
          <t>카카오 배너</t>
        </is>
      </c>
      <c r="K1155" s="49">
        <f>726154/1.1</f>
        <v/>
      </c>
    </row>
    <row r="1156" ht="16.5" customHeight="1" s="47">
      <c r="B1156" s="51" t="n">
        <v>44233</v>
      </c>
      <c r="C1156" s="39">
        <f>TEXT(B1156,"aaa")</f>
        <v/>
      </c>
      <c r="D1156" s="39" t="inlineStr">
        <is>
          <t>카카오 배너</t>
        </is>
      </c>
      <c r="K1156" s="49">
        <f>1100341/1.1</f>
        <v/>
      </c>
    </row>
    <row r="1157" ht="16.5" customHeight="1" s="47">
      <c r="B1157" s="51" t="n">
        <v>44234</v>
      </c>
      <c r="C1157" s="39">
        <f>TEXT(B1157,"aaa")</f>
        <v/>
      </c>
      <c r="D1157" s="39" t="inlineStr">
        <is>
          <t>카카오 배너</t>
        </is>
      </c>
      <c r="K1157" s="49">
        <f>1220120/1.1</f>
        <v/>
      </c>
    </row>
    <row r="1158" ht="16.5" customHeight="1" s="47">
      <c r="B1158" s="51" t="n">
        <v>44235</v>
      </c>
      <c r="C1158" s="39">
        <f>TEXT(B1158,"aaa")</f>
        <v/>
      </c>
      <c r="D1158" s="39" t="inlineStr">
        <is>
          <t>카카오 배너</t>
        </is>
      </c>
      <c r="K1158" s="49">
        <f>672749/1.1</f>
        <v/>
      </c>
    </row>
    <row r="1159" ht="16.5" customHeight="1" s="47">
      <c r="B1159" s="51" t="n">
        <v>44236</v>
      </c>
      <c r="C1159" s="39">
        <f>TEXT(B1159,"aaa")</f>
        <v/>
      </c>
      <c r="D1159" s="39" t="inlineStr">
        <is>
          <t>카카오 배너</t>
        </is>
      </c>
      <c r="K1159" s="49">
        <f>791560/1.1</f>
        <v/>
      </c>
    </row>
    <row r="1160" ht="17.55" customHeight="1" s="47">
      <c r="B1160" s="51" t="n">
        <v>44180</v>
      </c>
      <c r="C1160" s="39">
        <f>TEXT(B1160,"aaa")</f>
        <v/>
      </c>
      <c r="D1160" s="39" t="inlineStr">
        <is>
          <t>카카오 메시지</t>
        </is>
      </c>
      <c r="K1160" s="49">
        <f>408507/1.1</f>
        <v/>
      </c>
    </row>
    <row r="1161">
      <c r="B1161" s="51" t="n">
        <v>44181</v>
      </c>
      <c r="C1161" s="39">
        <f>TEXT(B1161,"aaa")</f>
        <v/>
      </c>
      <c r="D1161" s="39" t="inlineStr">
        <is>
          <t>카카오 메시지</t>
        </is>
      </c>
      <c r="K1161" s="49">
        <f>612348/1.1</f>
        <v/>
      </c>
    </row>
    <row r="1162">
      <c r="B1162" s="51" t="n">
        <v>44230</v>
      </c>
      <c r="C1162" s="39">
        <f>TEXT(B1162,"aaa")</f>
        <v/>
      </c>
      <c r="D1162" s="39" t="inlineStr">
        <is>
          <t>카카오 메시지</t>
        </is>
      </c>
      <c r="K1162" s="49">
        <f>724746/1.1</f>
        <v/>
      </c>
    </row>
    <row r="1163">
      <c r="B1163" s="51" t="n">
        <v>44202</v>
      </c>
      <c r="C1163" s="39">
        <f>TEXT(B1163,"aaa")</f>
        <v/>
      </c>
      <c r="D1163" s="39" t="inlineStr">
        <is>
          <t>유튜브 광고</t>
        </is>
      </c>
      <c r="K1163" s="49" t="n">
        <v>103000</v>
      </c>
    </row>
    <row r="1164">
      <c r="B1164" s="51" t="n">
        <v>44203</v>
      </c>
      <c r="C1164" s="39">
        <f>TEXT(B1164,"aaa")</f>
        <v/>
      </c>
      <c r="D1164" s="39" t="inlineStr">
        <is>
          <t>유튜브 광고</t>
        </is>
      </c>
      <c r="K1164" s="49" t="n">
        <v>153214</v>
      </c>
    </row>
    <row r="1165">
      <c r="B1165" s="51" t="n">
        <v>44204</v>
      </c>
      <c r="C1165" s="39">
        <f>TEXT(B1165,"aaa")</f>
        <v/>
      </c>
      <c r="D1165" s="39" t="inlineStr">
        <is>
          <t>유튜브 광고</t>
        </is>
      </c>
      <c r="K1165" s="49" t="n">
        <v>176357</v>
      </c>
    </row>
    <row r="1166">
      <c r="B1166" s="51" t="n">
        <v>44205</v>
      </c>
      <c r="C1166" s="39">
        <f>TEXT(B1166,"aaa")</f>
        <v/>
      </c>
      <c r="D1166" s="39" t="inlineStr">
        <is>
          <t>유튜브 광고</t>
        </is>
      </c>
      <c r="K1166" s="49" t="n">
        <v>391660</v>
      </c>
    </row>
    <row r="1167">
      <c r="B1167" s="51" t="n">
        <v>44206</v>
      </c>
      <c r="C1167" s="39">
        <f>TEXT(B1167,"aaa")</f>
        <v/>
      </c>
      <c r="D1167" s="39" t="inlineStr">
        <is>
          <t>유튜브 광고</t>
        </is>
      </c>
      <c r="K1167" s="49" t="n">
        <v>254181</v>
      </c>
    </row>
    <row r="1168">
      <c r="B1168" s="51" t="n">
        <v>44207</v>
      </c>
      <c r="C1168" s="39">
        <f>TEXT(B1168,"aaa")</f>
        <v/>
      </c>
      <c r="D1168" s="39" t="inlineStr">
        <is>
          <t>유튜브 광고</t>
        </is>
      </c>
      <c r="K1168" s="49" t="n">
        <v>425895</v>
      </c>
    </row>
    <row r="1169">
      <c r="B1169" s="51" t="n">
        <v>44208</v>
      </c>
      <c r="C1169" s="39">
        <f>TEXT(B1169,"aaa")</f>
        <v/>
      </c>
      <c r="D1169" s="39" t="inlineStr">
        <is>
          <t>유튜브 광고</t>
        </is>
      </c>
      <c r="K1169" s="49" t="n">
        <v>241159</v>
      </c>
    </row>
    <row r="1170">
      <c r="B1170" s="51" t="n">
        <v>44209</v>
      </c>
      <c r="C1170" s="39">
        <f>TEXT(B1170,"aaa")</f>
        <v/>
      </c>
      <c r="D1170" s="39" t="inlineStr">
        <is>
          <t>유튜브 광고</t>
        </is>
      </c>
      <c r="K1170" s="49" t="n">
        <v>2250454</v>
      </c>
    </row>
    <row r="1171">
      <c r="B1171" s="51" t="n">
        <v>44210</v>
      </c>
      <c r="C1171" s="39">
        <f>TEXT(B1171,"aaa")</f>
        <v/>
      </c>
      <c r="D1171" s="39" t="inlineStr">
        <is>
          <t>유튜브 광고</t>
        </is>
      </c>
      <c r="K1171" s="49" t="n">
        <v>634289</v>
      </c>
    </row>
    <row r="1172">
      <c r="B1172" s="51" t="n">
        <v>44211</v>
      </c>
      <c r="C1172" s="39">
        <f>TEXT(B1172,"aaa")</f>
        <v/>
      </c>
      <c r="D1172" s="39" t="inlineStr">
        <is>
          <t>유튜브 광고</t>
        </is>
      </c>
      <c r="K1172" s="49" t="n">
        <v>711620</v>
      </c>
    </row>
    <row r="1173">
      <c r="B1173" s="51" t="n">
        <v>44212</v>
      </c>
      <c r="C1173" s="39">
        <f>TEXT(B1173,"aaa")</f>
        <v/>
      </c>
      <c r="D1173" s="39" t="inlineStr">
        <is>
          <t>유튜브 광고</t>
        </is>
      </c>
      <c r="K1173" s="49" t="n">
        <v>1040116</v>
      </c>
    </row>
    <row r="1174">
      <c r="B1174" s="51" t="n">
        <v>44213</v>
      </c>
      <c r="C1174" s="39">
        <f>TEXT(B1174,"aaa")</f>
        <v/>
      </c>
      <c r="D1174" s="39" t="inlineStr">
        <is>
          <t>유튜브 광고</t>
        </is>
      </c>
      <c r="K1174" s="54" t="n">
        <v>1039757</v>
      </c>
    </row>
    <row r="1175">
      <c r="B1175" s="51" t="n">
        <v>44214</v>
      </c>
      <c r="C1175" s="39">
        <f>TEXT(B1175,"aaa")</f>
        <v/>
      </c>
      <c r="D1175" s="39" t="inlineStr">
        <is>
          <t>유튜브 광고</t>
        </is>
      </c>
      <c r="K1175" s="49" t="n">
        <v>995070</v>
      </c>
    </row>
    <row r="1176">
      <c r="B1176" s="51" t="n">
        <v>44215</v>
      </c>
      <c r="C1176" s="39">
        <f>TEXT(B1176,"aaa")</f>
        <v/>
      </c>
      <c r="D1176" s="39" t="inlineStr">
        <is>
          <t>유튜브 광고</t>
        </is>
      </c>
      <c r="K1176" s="49" t="n">
        <v>1184823</v>
      </c>
    </row>
    <row r="1177">
      <c r="B1177" s="51" t="n">
        <v>44216</v>
      </c>
      <c r="C1177" s="39">
        <f>TEXT(B1177,"aaa")</f>
        <v/>
      </c>
      <c r="D1177" s="39" t="inlineStr">
        <is>
          <t>유튜브 광고</t>
        </is>
      </c>
      <c r="K1177" s="49" t="n">
        <v>1124987</v>
      </c>
    </row>
    <row r="1178">
      <c r="B1178" s="51" t="n">
        <v>44217</v>
      </c>
      <c r="C1178" s="39">
        <f>TEXT(B1178,"aaa")</f>
        <v/>
      </c>
      <c r="D1178" s="39" t="inlineStr">
        <is>
          <t>유튜브 광고</t>
        </is>
      </c>
      <c r="K1178" s="49" t="n">
        <v>998487</v>
      </c>
    </row>
    <row r="1179">
      <c r="B1179" s="51" t="n">
        <v>44218</v>
      </c>
      <c r="C1179" s="39">
        <f>TEXT(B1179,"aaa")</f>
        <v/>
      </c>
      <c r="D1179" s="39" t="inlineStr">
        <is>
          <t>유튜브 광고</t>
        </is>
      </c>
      <c r="K1179" s="49" t="n">
        <v>1090925</v>
      </c>
    </row>
    <row r="1180">
      <c r="B1180" s="51" t="n">
        <v>44219</v>
      </c>
      <c r="C1180" s="39">
        <f>TEXT(B1180,"aaa")</f>
        <v/>
      </c>
      <c r="D1180" s="39" t="inlineStr">
        <is>
          <t>유튜브 광고</t>
        </is>
      </c>
      <c r="K1180" s="49" t="n">
        <v>2721234</v>
      </c>
    </row>
    <row r="1181">
      <c r="B1181" s="51" t="n">
        <v>44220</v>
      </c>
      <c r="C1181" s="39">
        <f>TEXT(B1181,"aaa")</f>
        <v/>
      </c>
      <c r="D1181" s="39" t="inlineStr">
        <is>
          <t>유튜브 광고</t>
        </is>
      </c>
      <c r="K1181" s="49" t="n">
        <v>2278917</v>
      </c>
    </row>
    <row r="1182">
      <c r="B1182" s="51" t="n">
        <v>44221</v>
      </c>
      <c r="C1182" s="39">
        <f>TEXT(B1182,"aaa")</f>
        <v/>
      </c>
      <c r="D1182" s="39" t="inlineStr">
        <is>
          <t>유튜브 광고</t>
        </is>
      </c>
      <c r="K1182" s="49" t="n">
        <v>1545447</v>
      </c>
    </row>
    <row r="1183">
      <c r="B1183" s="51" t="n">
        <v>44222</v>
      </c>
      <c r="C1183" s="39">
        <f>TEXT(B1183,"aaa")</f>
        <v/>
      </c>
      <c r="D1183" s="39" t="inlineStr">
        <is>
          <t>유튜브 광고</t>
        </is>
      </c>
      <c r="K1183" s="49" t="n">
        <v>1490986</v>
      </c>
    </row>
    <row r="1184">
      <c r="B1184" s="51" t="n">
        <v>44223</v>
      </c>
      <c r="C1184" s="39">
        <f>TEXT(B1184,"aaa")</f>
        <v/>
      </c>
      <c r="D1184" s="39" t="inlineStr">
        <is>
          <t>유튜브 광고</t>
        </is>
      </c>
      <c r="K1184" s="49" t="n">
        <v>1554382</v>
      </c>
    </row>
    <row r="1185">
      <c r="B1185" s="51" t="n">
        <v>44224</v>
      </c>
      <c r="C1185" s="39">
        <f>TEXT(B1185,"aaa")</f>
        <v/>
      </c>
      <c r="D1185" s="39" t="inlineStr">
        <is>
          <t>유튜브 광고</t>
        </is>
      </c>
      <c r="K1185" s="49" t="n">
        <v>1611620</v>
      </c>
    </row>
    <row r="1186">
      <c r="B1186" s="51" t="n">
        <v>44225</v>
      </c>
      <c r="C1186" s="39">
        <f>TEXT(B1186,"aaa")</f>
        <v/>
      </c>
      <c r="D1186" s="39" t="inlineStr">
        <is>
          <t>유튜브 광고</t>
        </is>
      </c>
      <c r="K1186" s="49" t="n">
        <v>1517415</v>
      </c>
    </row>
    <row r="1187">
      <c r="B1187" s="51" t="n">
        <v>44226</v>
      </c>
      <c r="C1187" s="39">
        <f>TEXT(B1187,"aaa")</f>
        <v/>
      </c>
      <c r="D1187" s="39" t="inlineStr">
        <is>
          <t>유튜브 광고</t>
        </is>
      </c>
      <c r="K1187" s="49" t="n">
        <v>2105413</v>
      </c>
    </row>
    <row r="1188">
      <c r="B1188" s="51" t="n">
        <v>44227</v>
      </c>
      <c r="C1188" s="39">
        <f>TEXT(B1188,"aaa")</f>
        <v/>
      </c>
      <c r="D1188" s="39" t="inlineStr">
        <is>
          <t>유튜브 광고</t>
        </is>
      </c>
      <c r="K1188" s="49" t="n">
        <v>2267119</v>
      </c>
    </row>
    <row r="1189">
      <c r="B1189" s="51" t="n">
        <v>44228</v>
      </c>
      <c r="C1189" s="39">
        <f>TEXT(B1189,"aaa")</f>
        <v/>
      </c>
      <c r="D1189" s="39" t="inlineStr">
        <is>
          <t>유튜브 광고</t>
        </is>
      </c>
      <c r="K1189" s="49" t="n">
        <v>1839049</v>
      </c>
    </row>
    <row r="1190">
      <c r="B1190" s="51" t="n">
        <v>44229</v>
      </c>
      <c r="C1190" s="39">
        <f>TEXT(B1190,"aaa")</f>
        <v/>
      </c>
      <c r="D1190" s="39" t="inlineStr">
        <is>
          <t>유튜브 광고</t>
        </is>
      </c>
      <c r="K1190" s="49" t="n">
        <v>2112342</v>
      </c>
    </row>
    <row r="1191">
      <c r="B1191" s="51" t="n">
        <v>44230</v>
      </c>
      <c r="C1191" s="39">
        <f>TEXT(B1191,"aaa")</f>
        <v/>
      </c>
      <c r="D1191" s="39" t="inlineStr">
        <is>
          <t>유튜브 광고</t>
        </is>
      </c>
      <c r="K1191" s="49" t="n">
        <v>2251847</v>
      </c>
    </row>
    <row r="1192">
      <c r="B1192" s="51" t="n">
        <v>44231</v>
      </c>
      <c r="C1192" s="39">
        <f>TEXT(B1192,"aaa")</f>
        <v/>
      </c>
      <c r="D1192" s="39" t="inlineStr">
        <is>
          <t>유튜브 광고</t>
        </is>
      </c>
      <c r="K1192" s="49" t="n">
        <v>2137117</v>
      </c>
    </row>
    <row r="1193">
      <c r="B1193" s="51" t="n">
        <v>44232</v>
      </c>
      <c r="C1193" s="39">
        <f>TEXT(B1193,"aaa")</f>
        <v/>
      </c>
      <c r="D1193" s="39" t="inlineStr">
        <is>
          <t>유튜브 광고</t>
        </is>
      </c>
      <c r="K1193" s="49" t="n">
        <v>1917100</v>
      </c>
    </row>
    <row r="1194">
      <c r="B1194" s="51" t="n">
        <v>44233</v>
      </c>
      <c r="C1194" s="39">
        <f>TEXT(B1194,"aaa")</f>
        <v/>
      </c>
      <c r="D1194" s="39" t="inlineStr">
        <is>
          <t>유튜브 광고</t>
        </is>
      </c>
      <c r="K1194" s="49" t="n">
        <v>1957793</v>
      </c>
    </row>
    <row r="1195">
      <c r="B1195" s="51" t="n">
        <v>44234</v>
      </c>
      <c r="C1195" s="39">
        <f>TEXT(B1195,"aaa")</f>
        <v/>
      </c>
      <c r="D1195" s="39" t="inlineStr">
        <is>
          <t>유튜브 광고</t>
        </is>
      </c>
      <c r="K1195" s="49" t="n">
        <v>2237102</v>
      </c>
    </row>
    <row r="1196">
      <c r="B1196" s="51" t="n">
        <v>44235</v>
      </c>
      <c r="C1196" s="39">
        <f>TEXT(B1196,"aaa")</f>
        <v/>
      </c>
      <c r="D1196" s="39" t="inlineStr">
        <is>
          <t>유튜브 광고</t>
        </is>
      </c>
      <c r="K1196" s="49" t="n">
        <v>2052221</v>
      </c>
    </row>
    <row r="1197">
      <c r="B1197" s="51" t="n">
        <v>44236</v>
      </c>
      <c r="C1197" s="39">
        <f>TEXT(B1197,"aaa")</f>
        <v/>
      </c>
      <c r="D1197" s="39" t="inlineStr">
        <is>
          <t>유튜브 광고</t>
        </is>
      </c>
      <c r="K1197" s="49" t="n">
        <v>2208020</v>
      </c>
    </row>
    <row r="1198">
      <c r="B1198" s="51" t="n"/>
      <c r="K1198" s="49" t="n"/>
    </row>
    <row r="1199">
      <c r="B1199" s="51" t="n"/>
      <c r="K1199" s="49" t="n"/>
    </row>
    <row r="1200">
      <c r="B1200" s="51" t="n"/>
      <c r="K1200" s="49" t="n"/>
    </row>
    <row r="1201">
      <c r="B1201" s="51" t="n"/>
      <c r="K1201" s="49" t="n"/>
    </row>
    <row r="1202">
      <c r="B1202" s="51" t="n"/>
      <c r="K1202" s="49" t="n"/>
    </row>
    <row r="1203">
      <c r="B1203" s="51" t="n"/>
      <c r="K1203" s="49" t="n"/>
    </row>
    <row r="1204">
      <c r="B1204" s="51" t="n"/>
      <c r="K1204" s="49" t="n"/>
    </row>
    <row r="1205">
      <c r="B1205" s="51" t="n"/>
      <c r="K1205" s="49" t="n"/>
    </row>
    <row r="1206">
      <c r="B1206" s="51" t="n"/>
      <c r="K1206" s="49" t="n"/>
    </row>
    <row r="1207">
      <c r="B1207" s="51" t="n"/>
      <c r="K1207" s="49" t="n"/>
    </row>
    <row r="1208">
      <c r="B1208" s="51" t="n"/>
      <c r="K1208" s="49" t="n"/>
    </row>
    <row r="1209">
      <c r="B1209" s="51" t="n"/>
      <c r="K1209" s="49" t="n"/>
    </row>
    <row r="1210">
      <c r="B1210" s="51" t="n"/>
      <c r="K1210" s="49" t="n"/>
    </row>
    <row r="1211">
      <c r="B1211" s="51" t="n"/>
      <c r="K1211" s="49" t="n"/>
    </row>
    <row r="1212">
      <c r="B1212" s="51" t="n"/>
      <c r="K1212" s="49" t="n"/>
    </row>
    <row r="1213" ht="15.6" customHeight="1" s="47">
      <c r="B1213" s="51" t="n">
        <v>43973</v>
      </c>
      <c r="C1213" s="39" t="inlineStr">
        <is>
          <t>금</t>
        </is>
      </c>
      <c r="E1213" s="39" t="inlineStr">
        <is>
          <t>고체향수</t>
        </is>
      </c>
      <c r="F1213" s="39" t="inlineStr">
        <is>
          <t>카페24</t>
        </is>
      </c>
      <c r="H1213" s="39" t="n">
        <v>2</v>
      </c>
      <c r="I1213" s="39" t="inlineStr">
        <is>
          <t>이그나이트</t>
        </is>
      </c>
      <c r="J1213" s="39" t="n">
        <v>200520</v>
      </c>
      <c r="L1213" s="39">
        <f>VLOOKUP($P1213,매칭테이블!$G:$J,2,0)*H1213</f>
        <v/>
      </c>
      <c r="M1213" s="39">
        <f>L1213-L1213*VLOOKUP($P1213,매칭테이블!$G:$J,3,0)</f>
        <v/>
      </c>
      <c r="N1213" s="39">
        <f>VLOOKUP($P1213,매칭테이블!$G:$J,4,0)*H1213</f>
        <v/>
      </c>
      <c r="O1213" s="55">
        <f>L1213/1.1</f>
        <v/>
      </c>
      <c r="P1213" s="39">
        <f>F1213&amp;E1213&amp;I1213&amp;J1213</f>
        <v/>
      </c>
    </row>
    <row r="1214">
      <c r="B1214" s="51" t="n">
        <v>43974</v>
      </c>
      <c r="C1214" s="39" t="inlineStr">
        <is>
          <t>토</t>
        </is>
      </c>
      <c r="E1214" s="39" t="inlineStr">
        <is>
          <t>고체향수</t>
        </is>
      </c>
      <c r="F1214" s="39" t="inlineStr">
        <is>
          <t>카페24</t>
        </is>
      </c>
      <c r="H1214" s="39" t="n">
        <v>1</v>
      </c>
      <c r="I1214" s="39" t="inlineStr">
        <is>
          <t>스테이포에버</t>
        </is>
      </c>
      <c r="J1214" s="39" t="n">
        <v>200520</v>
      </c>
      <c r="L1214" s="39">
        <f>VLOOKUP($P1214,매칭테이블!$G:$J,2,0)*H1214</f>
        <v/>
      </c>
      <c r="M1214" s="39">
        <f>L1214-L1214*VLOOKUP($P1214,매칭테이블!$G:$J,3,0)</f>
        <v/>
      </c>
      <c r="N1214" s="39">
        <f>VLOOKUP($P1214,매칭테이블!$G:$J,4,0)*H1214</f>
        <v/>
      </c>
      <c r="O1214" s="55">
        <f>L1214/1.1</f>
        <v/>
      </c>
      <c r="P1214" s="39">
        <f>F1214&amp;E1214&amp;I1214&amp;J1214</f>
        <v/>
      </c>
    </row>
    <row r="1215">
      <c r="B1215" s="51" t="n">
        <v>43977</v>
      </c>
      <c r="C1215" s="39" t="inlineStr">
        <is>
          <t>화</t>
        </is>
      </c>
      <c r="E1215" s="39" t="inlineStr">
        <is>
          <t>고체향수</t>
        </is>
      </c>
      <c r="F1215" s="39" t="inlineStr">
        <is>
          <t>카페24</t>
        </is>
      </c>
      <c r="H1215" s="39" t="n">
        <v>1</v>
      </c>
      <c r="I1215" s="39" t="inlineStr">
        <is>
          <t>이그나이트</t>
        </is>
      </c>
      <c r="J1215" s="39" t="n">
        <v>200520</v>
      </c>
      <c r="L1215" s="39">
        <f>VLOOKUP($P1215,매칭테이블!$G:$J,2,0)*H1215</f>
        <v/>
      </c>
      <c r="M1215" s="39">
        <f>L1215-L1215*VLOOKUP($P1215,매칭테이블!$G:$J,3,0)</f>
        <v/>
      </c>
      <c r="N1215" s="39">
        <f>VLOOKUP($P1215,매칭테이블!$G:$J,4,0)*H1215</f>
        <v/>
      </c>
      <c r="O1215" s="55">
        <f>L1215/1.1</f>
        <v/>
      </c>
      <c r="P1215" s="39">
        <f>F1215&amp;E1215&amp;I1215&amp;J1215</f>
        <v/>
      </c>
    </row>
    <row r="1216">
      <c r="B1216" s="51" t="n">
        <v>43977</v>
      </c>
      <c r="C1216" s="39" t="inlineStr">
        <is>
          <t>화</t>
        </is>
      </c>
      <c r="E1216" s="39" t="inlineStr">
        <is>
          <t>고체향수</t>
        </is>
      </c>
      <c r="F1216" s="39" t="inlineStr">
        <is>
          <t>카페24</t>
        </is>
      </c>
      <c r="H1216" s="39" t="n">
        <v>4</v>
      </c>
      <c r="I1216" s="39" t="inlineStr">
        <is>
          <t>스테이포에버</t>
        </is>
      </c>
      <c r="J1216" s="39" t="n">
        <v>200520</v>
      </c>
      <c r="L1216" s="39">
        <f>VLOOKUP($P1216,매칭테이블!$G:$J,2,0)*H1216</f>
        <v/>
      </c>
      <c r="M1216" s="39">
        <f>L1216-L1216*VLOOKUP($P1216,매칭테이블!$G:$J,3,0)</f>
        <v/>
      </c>
      <c r="N1216" s="39">
        <f>VLOOKUP($P1216,매칭테이블!$G:$J,4,0)*H1216</f>
        <v/>
      </c>
      <c r="O1216" s="55">
        <f>L1216/1.1</f>
        <v/>
      </c>
      <c r="P1216" s="39">
        <f>F1216&amp;E1216&amp;I1216&amp;J1216</f>
        <v/>
      </c>
    </row>
    <row r="1217">
      <c r="B1217" s="51" t="n">
        <v>43977</v>
      </c>
      <c r="C1217" s="39" t="inlineStr">
        <is>
          <t>화</t>
        </is>
      </c>
      <c r="E1217" s="39" t="inlineStr">
        <is>
          <t>고체향수</t>
        </is>
      </c>
      <c r="F1217" s="39" t="inlineStr">
        <is>
          <t>카페24</t>
        </is>
      </c>
      <c r="H1217" s="39" t="n">
        <v>1</v>
      </c>
      <c r="I1217" s="39" t="inlineStr">
        <is>
          <t>이그나이트 + 스테이포에버</t>
        </is>
      </c>
      <c r="J1217" s="39" t="n">
        <v>200520</v>
      </c>
      <c r="L1217" s="39">
        <f>VLOOKUP($P1217,매칭테이블!$G:$J,2,0)*H1217</f>
        <v/>
      </c>
      <c r="M1217" s="39">
        <f>L1217-L1217*VLOOKUP($P1217,매칭테이블!$G:$J,3,0)</f>
        <v/>
      </c>
      <c r="N1217" s="39">
        <f>VLOOKUP($P1217,매칭테이블!$G:$J,4,0)*H1217</f>
        <v/>
      </c>
      <c r="O1217" s="55">
        <f>L1217/1.1</f>
        <v/>
      </c>
      <c r="P1217" s="39">
        <f>F1217&amp;E1217&amp;I1217&amp;J1217</f>
        <v/>
      </c>
    </row>
    <row r="1218">
      <c r="B1218" s="51" t="n">
        <v>43978</v>
      </c>
      <c r="C1218" s="39" t="inlineStr">
        <is>
          <t>수</t>
        </is>
      </c>
      <c r="E1218" s="39" t="inlineStr">
        <is>
          <t>고체향수</t>
        </is>
      </c>
      <c r="F1218" s="39" t="inlineStr">
        <is>
          <t>카페24</t>
        </is>
      </c>
      <c r="H1218" s="39" t="n">
        <v>2</v>
      </c>
      <c r="I1218" s="39" t="inlineStr">
        <is>
          <t>이그나이트 + 스테이포에버</t>
        </is>
      </c>
      <c r="J1218" s="39" t="n">
        <v>200520</v>
      </c>
      <c r="L1218" s="39">
        <f>VLOOKUP($P1218,매칭테이블!$G:$J,2,0)*H1218</f>
        <v/>
      </c>
      <c r="M1218" s="39">
        <f>L1218-L1218*VLOOKUP($P1218,매칭테이블!$G:$J,3,0)</f>
        <v/>
      </c>
      <c r="N1218" s="39">
        <f>VLOOKUP($P1218,매칭테이블!$G:$J,4,0)*H1218</f>
        <v/>
      </c>
      <c r="O1218" s="55">
        <f>L1218/1.1</f>
        <v/>
      </c>
      <c r="P1218" s="39">
        <f>F1218&amp;E1218&amp;I1218&amp;J1218</f>
        <v/>
      </c>
    </row>
    <row r="1219">
      <c r="B1219" s="51" t="n">
        <v>43978</v>
      </c>
      <c r="C1219" s="39" t="inlineStr">
        <is>
          <t>수</t>
        </is>
      </c>
      <c r="E1219" s="39" t="inlineStr">
        <is>
          <t>고체향수</t>
        </is>
      </c>
      <c r="F1219" s="39" t="inlineStr">
        <is>
          <t>카페24</t>
        </is>
      </c>
      <c r="H1219" s="39" t="n">
        <v>2</v>
      </c>
      <c r="I1219" s="39" t="inlineStr">
        <is>
          <t>이그나이트</t>
        </is>
      </c>
      <c r="J1219" s="39" t="n">
        <v>200520</v>
      </c>
      <c r="L1219" s="39">
        <f>VLOOKUP($P1219,매칭테이블!$G:$J,2,0)*H1219</f>
        <v/>
      </c>
      <c r="M1219" s="39">
        <f>L1219-L1219*VLOOKUP($P1219,매칭테이블!$G:$J,3,0)</f>
        <v/>
      </c>
      <c r="N1219" s="39">
        <f>VLOOKUP($P1219,매칭테이블!$G:$J,4,0)*H1219</f>
        <v/>
      </c>
      <c r="O1219" s="55">
        <f>L1219/1.1</f>
        <v/>
      </c>
      <c r="P1219" s="39">
        <f>F1219&amp;E1219&amp;I1219&amp;J1219</f>
        <v/>
      </c>
    </row>
    <row r="1220">
      <c r="B1220" s="51" t="n">
        <v>43978</v>
      </c>
      <c r="C1220" s="39" t="inlineStr">
        <is>
          <t>수</t>
        </is>
      </c>
      <c r="E1220" s="39" t="inlineStr">
        <is>
          <t>고체향수</t>
        </is>
      </c>
      <c r="F1220" s="39" t="inlineStr">
        <is>
          <t>카페24</t>
        </is>
      </c>
      <c r="H1220" s="39" t="n">
        <v>7</v>
      </c>
      <c r="I1220" s="39" t="inlineStr">
        <is>
          <t>스테이포에버</t>
        </is>
      </c>
      <c r="J1220" s="39" t="n">
        <v>200520</v>
      </c>
      <c r="L1220" s="39">
        <f>VLOOKUP($P1220,매칭테이블!$G:$J,2,0)*H1220</f>
        <v/>
      </c>
      <c r="M1220" s="39">
        <f>L1220-L1220*VLOOKUP($P1220,매칭테이블!$G:$J,3,0)</f>
        <v/>
      </c>
      <c r="N1220" s="39">
        <f>VLOOKUP($P1220,매칭테이블!$G:$J,4,0)*H1220</f>
        <v/>
      </c>
      <c r="O1220" s="55">
        <f>L1220/1.1</f>
        <v/>
      </c>
      <c r="P1220" s="39">
        <f>F1220&amp;E1220&amp;I1220&amp;J1220</f>
        <v/>
      </c>
    </row>
    <row r="1221">
      <c r="B1221" s="51" t="n">
        <v>43979</v>
      </c>
      <c r="C1221" s="39" t="inlineStr">
        <is>
          <t>목</t>
        </is>
      </c>
      <c r="E1221" s="39" t="inlineStr">
        <is>
          <t>고체향수</t>
        </is>
      </c>
      <c r="F1221" s="39" t="inlineStr">
        <is>
          <t>카페24</t>
        </is>
      </c>
      <c r="H1221" s="39" t="n">
        <v>1</v>
      </c>
      <c r="I1221" s="39" t="inlineStr">
        <is>
          <t>이그나이트</t>
        </is>
      </c>
      <c r="J1221" s="39" t="n">
        <v>200520</v>
      </c>
      <c r="L1221" s="39">
        <f>VLOOKUP($P1221,매칭테이블!$G:$J,2,0)*H1221</f>
        <v/>
      </c>
      <c r="M1221" s="39">
        <f>L1221-L1221*VLOOKUP($P1221,매칭테이블!$G:$J,3,0)</f>
        <v/>
      </c>
      <c r="N1221" s="39">
        <f>VLOOKUP($P1221,매칭테이블!$G:$J,4,0)*H1221</f>
        <v/>
      </c>
      <c r="O1221" s="55">
        <f>L1221/1.1</f>
        <v/>
      </c>
      <c r="P1221" s="39">
        <f>F1221&amp;E1221&amp;I1221&amp;J1221</f>
        <v/>
      </c>
    </row>
    <row r="1222">
      <c r="B1222" s="51" t="n">
        <v>43979</v>
      </c>
      <c r="C1222" s="39" t="inlineStr">
        <is>
          <t>목</t>
        </is>
      </c>
      <c r="E1222" s="39" t="inlineStr">
        <is>
          <t>고체향수</t>
        </is>
      </c>
      <c r="F1222" s="39" t="inlineStr">
        <is>
          <t>카페24</t>
        </is>
      </c>
      <c r="H1222" s="39" t="n">
        <v>5</v>
      </c>
      <c r="I1222" s="39" t="inlineStr">
        <is>
          <t>스테이포에버</t>
        </is>
      </c>
      <c r="J1222" s="39" t="n">
        <v>200520</v>
      </c>
      <c r="L1222" s="39">
        <f>VLOOKUP($P1222,매칭테이블!$G:$J,2,0)*H1222</f>
        <v/>
      </c>
      <c r="M1222" s="39">
        <f>L1222-L1222*VLOOKUP($P1222,매칭테이블!$G:$J,3,0)</f>
        <v/>
      </c>
      <c r="N1222" s="39">
        <f>VLOOKUP($P1222,매칭테이블!$G:$J,4,0)*H1222</f>
        <v/>
      </c>
      <c r="O1222" s="55">
        <f>L1222/1.1</f>
        <v/>
      </c>
      <c r="P1222" s="39">
        <f>F1222&amp;E1222&amp;I1222&amp;J1222</f>
        <v/>
      </c>
    </row>
    <row r="1223">
      <c r="B1223" s="51" t="n">
        <v>43980</v>
      </c>
      <c r="C1223" s="39" t="inlineStr">
        <is>
          <t>금</t>
        </is>
      </c>
      <c r="E1223" s="39" t="inlineStr">
        <is>
          <t>고체향수</t>
        </is>
      </c>
      <c r="F1223" s="39" t="inlineStr">
        <is>
          <t>카페24</t>
        </is>
      </c>
      <c r="H1223" s="39" t="n">
        <v>1</v>
      </c>
      <c r="I1223" s="39" t="inlineStr">
        <is>
          <t>이그나이트 + 스테이포에버</t>
        </is>
      </c>
      <c r="J1223" s="39" t="n">
        <v>200520</v>
      </c>
      <c r="L1223" s="39">
        <f>VLOOKUP($P1223,매칭테이블!$G:$J,2,0)*H1223</f>
        <v/>
      </c>
      <c r="M1223" s="39">
        <f>L1223-L1223*VLOOKUP($P1223,매칭테이블!$G:$J,3,0)</f>
        <v/>
      </c>
      <c r="N1223" s="39">
        <f>VLOOKUP($P1223,매칭테이블!$G:$J,4,0)*H1223</f>
        <v/>
      </c>
      <c r="O1223" s="55">
        <f>L1223/1.1</f>
        <v/>
      </c>
      <c r="P1223" s="39">
        <f>F1223&amp;E1223&amp;I1223&amp;J1223</f>
        <v/>
      </c>
    </row>
    <row r="1224">
      <c r="B1224" s="51" t="n">
        <v>43980</v>
      </c>
      <c r="C1224" s="39" t="inlineStr">
        <is>
          <t>금</t>
        </is>
      </c>
      <c r="E1224" s="39" t="inlineStr">
        <is>
          <t>고체향수</t>
        </is>
      </c>
      <c r="F1224" s="39" t="inlineStr">
        <is>
          <t>카페24</t>
        </is>
      </c>
      <c r="H1224" s="39" t="n">
        <v>1</v>
      </c>
      <c r="I1224" s="39" t="inlineStr">
        <is>
          <t>스테이포에버</t>
        </is>
      </c>
      <c r="J1224" s="39" t="n">
        <v>200520</v>
      </c>
      <c r="L1224" s="39">
        <f>VLOOKUP($P1224,매칭테이블!$G:$J,2,0)*H1224</f>
        <v/>
      </c>
      <c r="M1224" s="39">
        <f>L1224-L1224*VLOOKUP($P1224,매칭테이블!$G:$J,3,0)</f>
        <v/>
      </c>
      <c r="N1224" s="39">
        <f>VLOOKUP($P1224,매칭테이블!$G:$J,4,0)*H1224</f>
        <v/>
      </c>
      <c r="O1224" s="55">
        <f>L1224/1.1</f>
        <v/>
      </c>
      <c r="P1224" s="39">
        <f>F1224&amp;E1224&amp;I1224&amp;J1224</f>
        <v/>
      </c>
    </row>
    <row r="1225">
      <c r="B1225" s="51" t="n">
        <v>43981</v>
      </c>
      <c r="C1225" s="39" t="inlineStr">
        <is>
          <t>토</t>
        </is>
      </c>
      <c r="E1225" s="39" t="inlineStr">
        <is>
          <t>고체향수</t>
        </is>
      </c>
      <c r="F1225" s="39" t="inlineStr">
        <is>
          <t>카페24</t>
        </is>
      </c>
      <c r="H1225" s="39" t="n">
        <v>1</v>
      </c>
      <c r="I1225" s="39" t="inlineStr">
        <is>
          <t>이그나이트</t>
        </is>
      </c>
      <c r="J1225" s="39" t="n">
        <v>200520</v>
      </c>
      <c r="L1225" s="39">
        <f>VLOOKUP($P1225,매칭테이블!$G:$J,2,0)*H1225</f>
        <v/>
      </c>
      <c r="M1225" s="39">
        <f>L1225-L1225*VLOOKUP($P1225,매칭테이블!$G:$J,3,0)</f>
        <v/>
      </c>
      <c r="N1225" s="39">
        <f>VLOOKUP($P1225,매칭테이블!$G:$J,4,0)*H1225</f>
        <v/>
      </c>
      <c r="O1225" s="55">
        <f>L1225/1.1</f>
        <v/>
      </c>
      <c r="P1225" s="39">
        <f>F1225&amp;E1225&amp;I1225&amp;J1225</f>
        <v/>
      </c>
    </row>
    <row r="1226">
      <c r="B1226" s="51" t="n">
        <v>43981</v>
      </c>
      <c r="C1226" s="39" t="inlineStr">
        <is>
          <t>토</t>
        </is>
      </c>
      <c r="E1226" s="39" t="inlineStr">
        <is>
          <t>고체향수</t>
        </is>
      </c>
      <c r="F1226" s="39" t="inlineStr">
        <is>
          <t>카페24</t>
        </is>
      </c>
      <c r="H1226" s="39" t="n">
        <v>4</v>
      </c>
      <c r="I1226" s="39" t="inlineStr">
        <is>
          <t>스테이포에버</t>
        </is>
      </c>
      <c r="J1226" s="39" t="n">
        <v>200520</v>
      </c>
      <c r="L1226" s="39">
        <f>VLOOKUP($P1226,매칭테이블!$G:$J,2,0)*H1226</f>
        <v/>
      </c>
      <c r="M1226" s="39">
        <f>L1226-L1226*VLOOKUP($P1226,매칭테이블!$G:$J,3,0)</f>
        <v/>
      </c>
      <c r="N1226" s="39">
        <f>VLOOKUP($P1226,매칭테이블!$G:$J,4,0)*H1226</f>
        <v/>
      </c>
      <c r="O1226" s="55">
        <f>L1226/1.1</f>
        <v/>
      </c>
      <c r="P1226" s="39">
        <f>F1226&amp;E1226&amp;I1226&amp;J1226</f>
        <v/>
      </c>
    </row>
    <row r="1227">
      <c r="B1227" s="51" t="n">
        <v>43982</v>
      </c>
      <c r="C1227" s="39" t="inlineStr">
        <is>
          <t>일</t>
        </is>
      </c>
      <c r="E1227" s="39" t="inlineStr">
        <is>
          <t>고체향수</t>
        </is>
      </c>
      <c r="F1227" s="39" t="inlineStr">
        <is>
          <t>카페24</t>
        </is>
      </c>
      <c r="H1227" s="39" t="n">
        <v>1</v>
      </c>
      <c r="I1227" s="39" t="inlineStr">
        <is>
          <t>이그나이트 + 스테이포에버</t>
        </is>
      </c>
      <c r="J1227" s="39" t="n">
        <v>200520</v>
      </c>
      <c r="L1227" s="39">
        <f>VLOOKUP($P1227,매칭테이블!$G:$J,2,0)*H1227</f>
        <v/>
      </c>
      <c r="M1227" s="39">
        <f>L1227-L1227*VLOOKUP($P1227,매칭테이블!$G:$J,3,0)</f>
        <v/>
      </c>
      <c r="N1227" s="39">
        <f>VLOOKUP($P1227,매칭테이블!$G:$J,4,0)*H1227</f>
        <v/>
      </c>
      <c r="O1227" s="55">
        <f>L1227/1.1</f>
        <v/>
      </c>
      <c r="P1227" s="39">
        <f>F1227&amp;E1227&amp;I1227&amp;J1227</f>
        <v/>
      </c>
    </row>
    <row r="1228">
      <c r="B1228" s="51" t="n">
        <v>43982</v>
      </c>
      <c r="C1228" s="39" t="inlineStr">
        <is>
          <t>일</t>
        </is>
      </c>
      <c r="E1228" s="39" t="inlineStr">
        <is>
          <t>고체향수</t>
        </is>
      </c>
      <c r="F1228" s="39" t="inlineStr">
        <is>
          <t>카페24</t>
        </is>
      </c>
      <c r="H1228" s="39" t="n">
        <v>2</v>
      </c>
      <c r="I1228" s="39" t="inlineStr">
        <is>
          <t>이그나이트</t>
        </is>
      </c>
      <c r="J1228" s="39" t="n">
        <v>200520</v>
      </c>
      <c r="L1228" s="39">
        <f>VLOOKUP($P1228,매칭테이블!$G:$J,2,0)*H1228</f>
        <v/>
      </c>
      <c r="M1228" s="39">
        <f>L1228-L1228*VLOOKUP($P1228,매칭테이블!$G:$J,3,0)</f>
        <v/>
      </c>
      <c r="N1228" s="39">
        <f>VLOOKUP($P1228,매칭테이블!$G:$J,4,0)*H1228</f>
        <v/>
      </c>
      <c r="O1228" s="55">
        <f>L1228/1.1</f>
        <v/>
      </c>
      <c r="P1228" s="39">
        <f>F1228&amp;E1228&amp;I1228&amp;J1228</f>
        <v/>
      </c>
    </row>
    <row r="1229">
      <c r="B1229" s="51" t="n">
        <v>43982</v>
      </c>
      <c r="C1229" s="39" t="inlineStr">
        <is>
          <t>일</t>
        </is>
      </c>
      <c r="E1229" s="39" t="inlineStr">
        <is>
          <t>고체향수</t>
        </is>
      </c>
      <c r="F1229" s="39" t="inlineStr">
        <is>
          <t>카페24</t>
        </is>
      </c>
      <c r="H1229" s="39" t="n">
        <v>1</v>
      </c>
      <c r="I1229" s="39" t="inlineStr">
        <is>
          <t>스테이포에버</t>
        </is>
      </c>
      <c r="J1229" s="39" t="n">
        <v>200520</v>
      </c>
      <c r="L1229" s="39">
        <f>VLOOKUP($P1229,매칭테이블!$G:$J,2,0)*H1229</f>
        <v/>
      </c>
      <c r="M1229" s="39">
        <f>L1229-L1229*VLOOKUP($P1229,매칭테이블!$G:$J,3,0)</f>
        <v/>
      </c>
      <c r="N1229" s="39">
        <f>VLOOKUP($P1229,매칭테이블!$G:$J,4,0)*H1229</f>
        <v/>
      </c>
      <c r="O1229" s="55">
        <f>L1229/1.1</f>
        <v/>
      </c>
      <c r="P1229" s="39">
        <f>F1229&amp;E1229&amp;I1229&amp;J1229</f>
        <v/>
      </c>
    </row>
    <row r="1230">
      <c r="B1230" s="51" t="n">
        <v>43983</v>
      </c>
      <c r="C1230" s="39" t="inlineStr">
        <is>
          <t>월</t>
        </is>
      </c>
      <c r="E1230" s="39" t="inlineStr">
        <is>
          <t>고체향수</t>
        </is>
      </c>
      <c r="F1230" s="39" t="inlineStr">
        <is>
          <t>카페24</t>
        </is>
      </c>
      <c r="H1230" s="39" t="n">
        <v>2</v>
      </c>
      <c r="I1230" s="39" t="inlineStr">
        <is>
          <t>스테이포에버</t>
        </is>
      </c>
      <c r="J1230" s="39" t="n">
        <v>200520</v>
      </c>
      <c r="L1230" s="39">
        <f>VLOOKUP($P1230,매칭테이블!$G:$J,2,0)*H1230</f>
        <v/>
      </c>
      <c r="M1230" s="39">
        <f>L1230-L1230*VLOOKUP($P1230,매칭테이블!$G:$J,3,0)</f>
        <v/>
      </c>
      <c r="N1230" s="39">
        <f>VLOOKUP($P1230,매칭테이블!$G:$J,4,0)*H1230</f>
        <v/>
      </c>
      <c r="O1230" s="55">
        <f>L1230/1.1</f>
        <v/>
      </c>
      <c r="P1230" s="39">
        <f>F1230&amp;E1230&amp;I1230&amp;J1230</f>
        <v/>
      </c>
    </row>
    <row r="1231">
      <c r="B1231" s="51" t="n">
        <v>43984</v>
      </c>
      <c r="C1231" s="39" t="inlineStr">
        <is>
          <t>화</t>
        </is>
      </c>
      <c r="E1231" s="39" t="inlineStr">
        <is>
          <t>고체향수</t>
        </is>
      </c>
      <c r="F1231" s="39" t="inlineStr">
        <is>
          <t>카페24</t>
        </is>
      </c>
      <c r="H1231" s="39" t="n">
        <v>1</v>
      </c>
      <c r="I1231" s="39" t="inlineStr">
        <is>
          <t>이그나이트 + 스테이포에버</t>
        </is>
      </c>
      <c r="J1231" s="39" t="n">
        <v>200520</v>
      </c>
      <c r="L1231" s="39">
        <f>VLOOKUP($P1231,매칭테이블!$G:$J,2,0)*H1231</f>
        <v/>
      </c>
      <c r="M1231" s="39">
        <f>L1231-L1231*VLOOKUP($P1231,매칭테이블!$G:$J,3,0)</f>
        <v/>
      </c>
      <c r="N1231" s="39">
        <f>VLOOKUP($P1231,매칭테이블!$G:$J,4,0)*H1231</f>
        <v/>
      </c>
      <c r="O1231" s="55">
        <f>L1231/1.1</f>
        <v/>
      </c>
      <c r="P1231" s="39">
        <f>F1231&amp;E1231&amp;I1231&amp;J1231</f>
        <v/>
      </c>
    </row>
    <row r="1232">
      <c r="B1232" s="51" t="n">
        <v>43984</v>
      </c>
      <c r="C1232" s="39" t="inlineStr">
        <is>
          <t>화</t>
        </is>
      </c>
      <c r="E1232" s="39" t="inlineStr">
        <is>
          <t>고체향수</t>
        </is>
      </c>
      <c r="F1232" s="39" t="inlineStr">
        <is>
          <t>카페24</t>
        </is>
      </c>
      <c r="H1232" s="39" t="n">
        <v>2</v>
      </c>
      <c r="I1232" s="39" t="inlineStr">
        <is>
          <t>스테이포에버</t>
        </is>
      </c>
      <c r="J1232" s="39" t="n">
        <v>200520</v>
      </c>
      <c r="L1232" s="39">
        <f>VLOOKUP($P1232,매칭테이블!$G:$J,2,0)*H1232</f>
        <v/>
      </c>
      <c r="M1232" s="39">
        <f>L1232-L1232*VLOOKUP($P1232,매칭테이블!$G:$J,3,0)</f>
        <v/>
      </c>
      <c r="N1232" s="39">
        <f>VLOOKUP($P1232,매칭테이블!$G:$J,4,0)*H1232</f>
        <v/>
      </c>
      <c r="O1232" s="55">
        <f>L1232/1.1</f>
        <v/>
      </c>
      <c r="P1232" s="39">
        <f>F1232&amp;E1232&amp;I1232&amp;J1232</f>
        <v/>
      </c>
    </row>
    <row r="1233">
      <c r="B1233" s="51" t="n">
        <v>43984</v>
      </c>
      <c r="C1233" s="39" t="inlineStr">
        <is>
          <t>화</t>
        </is>
      </c>
      <c r="E1233" s="39" t="inlineStr">
        <is>
          <t>쇼핑백</t>
        </is>
      </c>
      <c r="F1233" s="39" t="inlineStr">
        <is>
          <t>카페24</t>
        </is>
      </c>
      <c r="H1233" s="39" t="n">
        <v>1</v>
      </c>
      <c r="I1233" s="39" t="inlineStr">
        <is>
          <t>유즈쇼핑백</t>
        </is>
      </c>
      <c r="J1233" s="39" t="n">
        <v>200520</v>
      </c>
      <c r="L1233" s="39">
        <f>VLOOKUP($P1233,매칭테이블!$G:$J,2,0)*H1233</f>
        <v/>
      </c>
      <c r="M1233" s="39">
        <f>L1233-L1233*VLOOKUP($P1233,매칭테이블!$G:$J,3,0)</f>
        <v/>
      </c>
      <c r="N1233" s="39">
        <f>VLOOKUP($P1233,매칭테이블!$G:$J,4,0)*H1233</f>
        <v/>
      </c>
      <c r="O1233" s="55">
        <f>L1233/1.1</f>
        <v/>
      </c>
      <c r="P1233" s="39">
        <f>F1233&amp;E1233&amp;I1233&amp;J1233</f>
        <v/>
      </c>
    </row>
    <row r="1234">
      <c r="B1234" s="51" t="n">
        <v>43985</v>
      </c>
      <c r="C1234" s="39" t="inlineStr">
        <is>
          <t>수</t>
        </is>
      </c>
      <c r="E1234" s="39" t="inlineStr">
        <is>
          <t>고체향수</t>
        </is>
      </c>
      <c r="F1234" s="39" t="inlineStr">
        <is>
          <t>유즈 CS</t>
        </is>
      </c>
      <c r="H1234" s="39" t="n">
        <v>1</v>
      </c>
      <c r="I1234" s="39" t="inlineStr">
        <is>
          <t>이그나이트 + 스테이포에버</t>
        </is>
      </c>
      <c r="J1234" s="39" t="n">
        <v>200520</v>
      </c>
      <c r="L1234" s="39">
        <f>VLOOKUP($P1234,매칭테이블!$G:$J,2,0)*H1234</f>
        <v/>
      </c>
      <c r="M1234" s="39">
        <f>L1234-L1234*VLOOKUP($P1234,매칭테이블!$G:$J,3,0)</f>
        <v/>
      </c>
      <c r="N1234" s="39">
        <f>VLOOKUP($P1234,매칭테이블!$G:$J,4,0)*H1234</f>
        <v/>
      </c>
      <c r="O1234" s="55">
        <f>L1234/1.1</f>
        <v/>
      </c>
      <c r="P1234" s="39">
        <f>F1234&amp;E1234&amp;I1234&amp;J1234</f>
        <v/>
      </c>
    </row>
    <row r="1235">
      <c r="B1235" s="51" t="n">
        <v>43985</v>
      </c>
      <c r="C1235" s="39" t="inlineStr">
        <is>
          <t>수</t>
        </is>
      </c>
      <c r="E1235" s="39" t="inlineStr">
        <is>
          <t>고체향수</t>
        </is>
      </c>
      <c r="F1235" s="39" t="inlineStr">
        <is>
          <t>카페24</t>
        </is>
      </c>
      <c r="H1235" s="39" t="n">
        <v>2</v>
      </c>
      <c r="I1235" s="39" t="inlineStr">
        <is>
          <t>스테이포에버</t>
        </is>
      </c>
      <c r="J1235" s="39" t="n">
        <v>200520</v>
      </c>
      <c r="L1235" s="39">
        <f>VLOOKUP($P1235,매칭테이블!$G:$J,2,0)*H1235</f>
        <v/>
      </c>
      <c r="M1235" s="39">
        <f>L1235-L1235*VLOOKUP($P1235,매칭테이블!$G:$J,3,0)</f>
        <v/>
      </c>
      <c r="N1235" s="39">
        <f>VLOOKUP($P1235,매칭테이블!$G:$J,4,0)*H1235</f>
        <v/>
      </c>
      <c r="O1235" s="55">
        <f>L1235/1.1</f>
        <v/>
      </c>
      <c r="P1235" s="39">
        <f>F1235&amp;E1235&amp;I1235&amp;J1235</f>
        <v/>
      </c>
    </row>
    <row r="1236">
      <c r="B1236" s="51" t="n">
        <v>43985</v>
      </c>
      <c r="C1236" s="39" t="inlineStr">
        <is>
          <t>수</t>
        </is>
      </c>
      <c r="E1236" s="39" t="inlineStr">
        <is>
          <t>고체향수</t>
        </is>
      </c>
      <c r="F1236" s="39" t="inlineStr">
        <is>
          <t>카페24</t>
        </is>
      </c>
      <c r="H1236" s="39" t="n">
        <v>1</v>
      </c>
      <c r="I1236" s="39" t="inlineStr">
        <is>
          <t>이그나이트</t>
        </is>
      </c>
      <c r="J1236" s="39" t="n">
        <v>200520</v>
      </c>
      <c r="L1236" s="39">
        <f>VLOOKUP($P1236,매칭테이블!$G:$J,2,0)*H1236</f>
        <v/>
      </c>
      <c r="M1236" s="39">
        <f>L1236-L1236*VLOOKUP($P1236,매칭테이블!$G:$J,3,0)</f>
        <v/>
      </c>
      <c r="N1236" s="39">
        <f>VLOOKUP($P1236,매칭테이블!$G:$J,4,0)*H1236</f>
        <v/>
      </c>
      <c r="O1236" s="55">
        <f>L1236/1.1</f>
        <v/>
      </c>
      <c r="P1236" s="39">
        <f>F1236&amp;E1236&amp;I1236&amp;J1236</f>
        <v/>
      </c>
    </row>
    <row r="1237">
      <c r="B1237" s="51" t="n">
        <v>43986</v>
      </c>
      <c r="C1237" s="39" t="inlineStr">
        <is>
          <t>목</t>
        </is>
      </c>
      <c r="E1237" s="39" t="inlineStr">
        <is>
          <t>고체향수</t>
        </is>
      </c>
      <c r="F1237" s="39" t="inlineStr">
        <is>
          <t>카페24</t>
        </is>
      </c>
      <c r="H1237" s="39" t="n">
        <v>1</v>
      </c>
      <c r="I1237" s="39" t="inlineStr">
        <is>
          <t>이그나이트 + 스테이포에버</t>
        </is>
      </c>
      <c r="J1237" s="39" t="n">
        <v>200520</v>
      </c>
      <c r="L1237" s="39">
        <f>VLOOKUP($P1237,매칭테이블!$G:$J,2,0)*H1237</f>
        <v/>
      </c>
      <c r="M1237" s="39">
        <f>L1237-L1237*VLOOKUP($P1237,매칭테이블!$G:$J,3,0)</f>
        <v/>
      </c>
      <c r="N1237" s="39">
        <f>VLOOKUP($P1237,매칭테이블!$G:$J,4,0)*H1237</f>
        <v/>
      </c>
      <c r="O1237" s="55">
        <f>L1237/1.1</f>
        <v/>
      </c>
      <c r="P1237" s="39">
        <f>F1237&amp;E1237&amp;I1237&amp;J1237</f>
        <v/>
      </c>
    </row>
    <row r="1238">
      <c r="B1238" s="51" t="n">
        <v>43986</v>
      </c>
      <c r="C1238" s="39" t="inlineStr">
        <is>
          <t>목</t>
        </is>
      </c>
      <c r="E1238" s="39" t="inlineStr">
        <is>
          <t>고체향수</t>
        </is>
      </c>
      <c r="F1238" s="39" t="inlineStr">
        <is>
          <t>카페24</t>
        </is>
      </c>
      <c r="H1238" s="39" t="n">
        <v>25</v>
      </c>
      <c r="I1238" s="39" t="inlineStr">
        <is>
          <t>스테이포에버</t>
        </is>
      </c>
      <c r="J1238" s="39" t="n">
        <v>200520</v>
      </c>
      <c r="L1238" s="39">
        <f>VLOOKUP($P1238,매칭테이블!$G:$J,2,0)*H1238</f>
        <v/>
      </c>
      <c r="M1238" s="39">
        <f>L1238-L1238*VLOOKUP($P1238,매칭테이블!$G:$J,3,0)</f>
        <v/>
      </c>
      <c r="N1238" s="39">
        <f>VLOOKUP($P1238,매칭테이블!$G:$J,4,0)*H1238</f>
        <v/>
      </c>
      <c r="O1238" s="55">
        <f>L1238/1.1</f>
        <v/>
      </c>
      <c r="P1238" s="39">
        <f>F1238&amp;E1238&amp;I1238&amp;J1238</f>
        <v/>
      </c>
    </row>
    <row r="1239" customFormat="1" s="39">
      <c r="B1239" s="51" t="n">
        <v>43987</v>
      </c>
      <c r="C1239" s="39" t="inlineStr">
        <is>
          <t>금</t>
        </is>
      </c>
      <c r="E1239" s="39" t="inlineStr">
        <is>
          <t>고체향수</t>
        </is>
      </c>
      <c r="F1239" s="39" t="inlineStr">
        <is>
          <t>카페24</t>
        </is>
      </c>
      <c r="H1239" s="39" t="n">
        <v>12</v>
      </c>
      <c r="I1239" s="39" t="inlineStr">
        <is>
          <t>스테이포에버</t>
        </is>
      </c>
      <c r="J1239" s="39" t="n">
        <v>200520</v>
      </c>
      <c r="L1239" s="39">
        <f>VLOOKUP($P1239,매칭테이블!$G:$J,2,0)*H1239</f>
        <v/>
      </c>
      <c r="M1239" s="39">
        <f>L1239-L1239*VLOOKUP($P1239,매칭테이블!$G:$J,3,0)</f>
        <v/>
      </c>
      <c r="N1239" s="39">
        <f>VLOOKUP($P1239,매칭테이블!$G:$J,4,0)*H1239</f>
        <v/>
      </c>
      <c r="O1239" s="55">
        <f>L1239/1.1</f>
        <v/>
      </c>
      <c r="P1239" s="39">
        <f>F1239&amp;E1239&amp;I1239&amp;J1239</f>
        <v/>
      </c>
    </row>
    <row r="1240" customFormat="1" s="39">
      <c r="B1240" s="51" t="n">
        <v>43987</v>
      </c>
      <c r="C1240" s="39" t="inlineStr">
        <is>
          <t>금</t>
        </is>
      </c>
      <c r="E1240" s="39" t="inlineStr">
        <is>
          <t>고체향수</t>
        </is>
      </c>
      <c r="F1240" s="39" t="inlineStr">
        <is>
          <t>유즈 CS</t>
        </is>
      </c>
      <c r="H1240" s="39" t="n">
        <v>12</v>
      </c>
      <c r="I1240" s="39" t="inlineStr">
        <is>
          <t>스테이포에버</t>
        </is>
      </c>
      <c r="J1240" s="39" t="n">
        <v>200520</v>
      </c>
      <c r="L1240" s="39">
        <f>VLOOKUP($P1240,매칭테이블!$G:$J,2,0)*H1240</f>
        <v/>
      </c>
      <c r="M1240" s="39">
        <f>L1240-L1240*VLOOKUP($P1240,매칭테이블!$G:$J,3,0)</f>
        <v/>
      </c>
      <c r="N1240" s="39">
        <f>VLOOKUP($P1240,매칭테이블!$G:$J,4,0)*H1240</f>
        <v/>
      </c>
      <c r="O1240" s="55">
        <f>L1240/1.1</f>
        <v/>
      </c>
      <c r="P1240" s="39">
        <f>F1240&amp;E1240&amp;I1240&amp;J1240</f>
        <v/>
      </c>
    </row>
    <row r="1241" customFormat="1" s="39">
      <c r="B1241" s="51" t="n">
        <v>43987</v>
      </c>
      <c r="C1241" s="39" t="inlineStr">
        <is>
          <t>금</t>
        </is>
      </c>
      <c r="E1241" s="39" t="inlineStr">
        <is>
          <t>고체향수</t>
        </is>
      </c>
      <c r="F1241" s="39" t="inlineStr">
        <is>
          <t>유즈 CS</t>
        </is>
      </c>
      <c r="H1241" s="39" t="n">
        <v>11</v>
      </c>
      <c r="I1241" s="39" t="inlineStr">
        <is>
          <t>이그나이트</t>
        </is>
      </c>
      <c r="J1241" s="39" t="n">
        <v>200520</v>
      </c>
      <c r="L1241" s="39">
        <f>VLOOKUP($P1241,매칭테이블!$G:$J,2,0)*H1241</f>
        <v/>
      </c>
      <c r="M1241" s="39">
        <f>L1241-L1241*VLOOKUP($P1241,매칭테이블!$G:$J,3,0)</f>
        <v/>
      </c>
      <c r="N1241" s="39">
        <f>VLOOKUP($P1241,매칭테이블!$G:$J,4,0)*H1241</f>
        <v/>
      </c>
      <c r="O1241" s="55">
        <f>L1241/1.1</f>
        <v/>
      </c>
      <c r="P1241" s="39">
        <f>F1241&amp;E1241&amp;I1241&amp;J1241</f>
        <v/>
      </c>
    </row>
    <row r="1242" customFormat="1" s="39">
      <c r="B1242" s="51" t="n">
        <v>43987</v>
      </c>
      <c r="C1242" s="39" t="inlineStr">
        <is>
          <t>금</t>
        </is>
      </c>
      <c r="E1242" s="39" t="inlineStr">
        <is>
          <t>쇼핑백</t>
        </is>
      </c>
      <c r="F1242" s="39" t="inlineStr">
        <is>
          <t>유즈 CS</t>
        </is>
      </c>
      <c r="H1242" s="39" t="n">
        <v>1</v>
      </c>
      <c r="I1242" s="39" t="inlineStr">
        <is>
          <t>유즈쇼핑백</t>
        </is>
      </c>
      <c r="J1242" s="39" t="n">
        <v>200520</v>
      </c>
      <c r="L1242" s="39">
        <f>VLOOKUP($P1242,매칭테이블!$G:$J,2,0)*H1242</f>
        <v/>
      </c>
      <c r="M1242" s="39">
        <f>L1242-L1242*VLOOKUP($P1242,매칭테이블!$G:$J,3,0)</f>
        <v/>
      </c>
      <c r="N1242" s="39">
        <f>VLOOKUP($P1242,매칭테이블!$G:$J,4,0)*H1242</f>
        <v/>
      </c>
      <c r="O1242" s="55">
        <f>L1242/1.1</f>
        <v/>
      </c>
      <c r="P1242" s="39">
        <f>F1242&amp;E1242&amp;I1242&amp;J1242</f>
        <v/>
      </c>
    </row>
    <row r="1243" customFormat="1" s="39">
      <c r="B1243" s="51" t="n">
        <v>43988</v>
      </c>
      <c r="C1243" s="39" t="inlineStr">
        <is>
          <t>토</t>
        </is>
      </c>
      <c r="E1243" s="39" t="inlineStr">
        <is>
          <t>고체향수</t>
        </is>
      </c>
      <c r="F1243" s="39" t="inlineStr">
        <is>
          <t>카페24</t>
        </is>
      </c>
      <c r="G1243" s="39" t="n"/>
      <c r="H1243" s="39" t="n">
        <v>1</v>
      </c>
      <c r="I1243" s="39" t="inlineStr">
        <is>
          <t>이그나이트 + 스테이포에버</t>
        </is>
      </c>
      <c r="J1243" s="39" t="n">
        <v>200520</v>
      </c>
      <c r="L1243" s="39">
        <f>VLOOKUP($P1243,매칭테이블!$G:$J,2,0)*H1243</f>
        <v/>
      </c>
      <c r="M1243" s="39">
        <f>L1243-L1243*VLOOKUP($P1243,매칭테이블!$G:$J,3,0)</f>
        <v/>
      </c>
      <c r="N1243" s="39">
        <f>VLOOKUP($P1243,매칭테이블!$G:$J,4,0)*H1243</f>
        <v/>
      </c>
      <c r="O1243" s="55">
        <f>L1243/1.1</f>
        <v/>
      </c>
      <c r="P1243" s="39">
        <f>F1243&amp;E1243&amp;I1243&amp;J1243</f>
        <v/>
      </c>
    </row>
    <row r="1244">
      <c r="B1244" s="51" t="n">
        <v>43988</v>
      </c>
      <c r="C1244" s="39" t="inlineStr">
        <is>
          <t>토</t>
        </is>
      </c>
      <c r="E1244" s="39" t="inlineStr">
        <is>
          <t>고체향수</t>
        </is>
      </c>
      <c r="F1244" s="39" t="inlineStr">
        <is>
          <t>카페24</t>
        </is>
      </c>
      <c r="G1244" s="39" t="n"/>
      <c r="H1244" s="39" t="n">
        <v>9</v>
      </c>
      <c r="I1244" s="39" t="inlineStr">
        <is>
          <t>스테이포에버</t>
        </is>
      </c>
      <c r="J1244" s="39" t="n">
        <v>200520</v>
      </c>
      <c r="L1244" s="39">
        <f>VLOOKUP($P1244,매칭테이블!$G:$J,2,0)*H1244</f>
        <v/>
      </c>
      <c r="M1244" s="39">
        <f>L1244-L1244*VLOOKUP($P1244,매칭테이블!$G:$J,3,0)</f>
        <v/>
      </c>
      <c r="N1244" s="39">
        <f>VLOOKUP($P1244,매칭테이블!$G:$J,4,0)*H1244</f>
        <v/>
      </c>
      <c r="O1244" s="55">
        <f>L1244/1.1</f>
        <v/>
      </c>
      <c r="P1244" s="39">
        <f>F1244&amp;E1244&amp;I1244&amp;J1244</f>
        <v/>
      </c>
    </row>
    <row r="1245">
      <c r="B1245" s="51" t="n">
        <v>43989</v>
      </c>
      <c r="C1245" s="39" t="inlineStr">
        <is>
          <t>일</t>
        </is>
      </c>
      <c r="E1245" s="39" t="inlineStr">
        <is>
          <t>고체향수</t>
        </is>
      </c>
      <c r="F1245" s="39" t="inlineStr">
        <is>
          <t>카페24</t>
        </is>
      </c>
      <c r="G1245" s="39" t="n"/>
      <c r="H1245" s="39" t="n">
        <v>12</v>
      </c>
      <c r="I1245" s="39" t="inlineStr">
        <is>
          <t>스테이포에버</t>
        </is>
      </c>
      <c r="J1245" s="39" t="n">
        <v>200520</v>
      </c>
      <c r="L1245" s="39">
        <f>VLOOKUP($P1245,매칭테이블!$G:$J,2,0)*H1245</f>
        <v/>
      </c>
      <c r="M1245" s="39">
        <f>L1245-L1245*VLOOKUP($P1245,매칭테이블!$G:$J,3,0)</f>
        <v/>
      </c>
      <c r="N1245" s="39">
        <f>VLOOKUP($P1245,매칭테이블!$G:$J,4,0)*H1245</f>
        <v/>
      </c>
      <c r="O1245" s="55">
        <f>L1245/1.1</f>
        <v/>
      </c>
      <c r="P1245" s="39">
        <f>F1245&amp;E1245&amp;I1245&amp;J1245</f>
        <v/>
      </c>
    </row>
    <row r="1246">
      <c r="B1246" s="51" t="n">
        <v>43989</v>
      </c>
      <c r="C1246" s="39" t="inlineStr">
        <is>
          <t>일</t>
        </is>
      </c>
      <c r="E1246" s="39" t="inlineStr">
        <is>
          <t>고체향수</t>
        </is>
      </c>
      <c r="F1246" s="39" t="inlineStr">
        <is>
          <t>카페24</t>
        </is>
      </c>
      <c r="G1246" s="39" t="n"/>
      <c r="H1246" s="39" t="n">
        <v>1</v>
      </c>
      <c r="I1246" s="39" t="inlineStr">
        <is>
          <t>이그나이트</t>
        </is>
      </c>
      <c r="J1246" s="39" t="n">
        <v>200520</v>
      </c>
      <c r="L1246" s="39">
        <f>VLOOKUP($P1246,매칭테이블!$G:$J,2,0)*H1246</f>
        <v/>
      </c>
      <c r="M1246" s="39">
        <f>L1246-L1246*VLOOKUP($P1246,매칭테이블!$G:$J,3,0)</f>
        <v/>
      </c>
      <c r="N1246" s="39">
        <f>VLOOKUP($P1246,매칭테이블!$G:$J,4,0)*H1246</f>
        <v/>
      </c>
      <c r="O1246" s="55">
        <f>L1246/1.1</f>
        <v/>
      </c>
      <c r="P1246" s="39">
        <f>F1246&amp;E1246&amp;I1246&amp;J1246</f>
        <v/>
      </c>
    </row>
    <row r="1247">
      <c r="B1247" s="51" t="n">
        <v>43990</v>
      </c>
      <c r="C1247" s="39" t="inlineStr">
        <is>
          <t>월</t>
        </is>
      </c>
      <c r="E1247" s="39" t="inlineStr">
        <is>
          <t>고체향수</t>
        </is>
      </c>
      <c r="F1247" s="39" t="inlineStr">
        <is>
          <t>카페24</t>
        </is>
      </c>
      <c r="G1247" s="39" t="n"/>
      <c r="H1247" s="39" t="n">
        <v>22</v>
      </c>
      <c r="I1247" s="39" t="inlineStr">
        <is>
          <t>스테이포에버</t>
        </is>
      </c>
      <c r="J1247" s="39" t="n">
        <v>200520</v>
      </c>
      <c r="L1247" s="39">
        <f>VLOOKUP($P1247,매칭테이블!$G:$J,2,0)*H1247</f>
        <v/>
      </c>
      <c r="M1247" s="39">
        <f>L1247-L1247*VLOOKUP($P1247,매칭테이블!$G:$J,3,0)</f>
        <v/>
      </c>
      <c r="N1247" s="39">
        <f>VLOOKUP($P1247,매칭테이블!$G:$J,4,0)*H1247</f>
        <v/>
      </c>
      <c r="O1247" s="55">
        <f>L1247/1.1</f>
        <v/>
      </c>
      <c r="P1247" s="39">
        <f>F1247&amp;E1247&amp;I1247&amp;J1247</f>
        <v/>
      </c>
    </row>
    <row r="1248">
      <c r="B1248" s="51" t="n">
        <v>43990</v>
      </c>
      <c r="C1248" s="39" t="inlineStr">
        <is>
          <t>월</t>
        </is>
      </c>
      <c r="E1248" s="39" t="inlineStr">
        <is>
          <t>고체향수</t>
        </is>
      </c>
      <c r="F1248" s="39" t="inlineStr">
        <is>
          <t>카페24</t>
        </is>
      </c>
      <c r="G1248" s="39" t="n"/>
      <c r="H1248" s="39" t="n">
        <v>1</v>
      </c>
      <c r="I1248" s="39" t="inlineStr">
        <is>
          <t>이그나이트</t>
        </is>
      </c>
      <c r="J1248" s="39" t="n">
        <v>200520</v>
      </c>
      <c r="L1248" s="39">
        <f>VLOOKUP($P1248,매칭테이블!$G:$J,2,0)*H1248</f>
        <v/>
      </c>
      <c r="M1248" s="39">
        <f>L1248-L1248*VLOOKUP($P1248,매칭테이블!$G:$J,3,0)</f>
        <v/>
      </c>
      <c r="N1248" s="39">
        <f>VLOOKUP($P1248,매칭테이블!$G:$J,4,0)*H1248</f>
        <v/>
      </c>
      <c r="O1248" s="55">
        <f>L1248/1.1</f>
        <v/>
      </c>
      <c r="P1248" s="39">
        <f>F1248&amp;E1248&amp;I1248&amp;J1248</f>
        <v/>
      </c>
    </row>
    <row r="1249">
      <c r="B1249" s="51" t="n">
        <v>43991</v>
      </c>
      <c r="C1249" s="39" t="inlineStr">
        <is>
          <t>화</t>
        </is>
      </c>
      <c r="E1249" s="39" t="inlineStr">
        <is>
          <t>고체향수</t>
        </is>
      </c>
      <c r="F1249" s="39" t="inlineStr">
        <is>
          <t>카페24</t>
        </is>
      </c>
      <c r="G1249" s="39" t="n"/>
      <c r="H1249" s="39" t="n">
        <v>1</v>
      </c>
      <c r="I1249" s="39" t="inlineStr">
        <is>
          <t>이그나이트</t>
        </is>
      </c>
      <c r="J1249" s="39" t="n">
        <v>200520</v>
      </c>
      <c r="L1249" s="39">
        <f>VLOOKUP($P1249,매칭테이블!$G:$J,2,0)*H1249</f>
        <v/>
      </c>
      <c r="M1249" s="39">
        <f>L1249-L1249*VLOOKUP($P1249,매칭테이블!$G:$J,3,0)</f>
        <v/>
      </c>
      <c r="N1249" s="39">
        <f>VLOOKUP($P1249,매칭테이블!$G:$J,4,0)*H1249</f>
        <v/>
      </c>
      <c r="O1249" s="55">
        <f>L1249/1.1</f>
        <v/>
      </c>
      <c r="P1249" s="39">
        <f>F1249&amp;E1249&amp;I1249&amp;J1249</f>
        <v/>
      </c>
    </row>
    <row r="1250">
      <c r="B1250" s="51" t="n">
        <v>43991</v>
      </c>
      <c r="C1250" s="39" t="inlineStr">
        <is>
          <t>화</t>
        </is>
      </c>
      <c r="E1250" s="39" t="inlineStr">
        <is>
          <t>고체향수</t>
        </is>
      </c>
      <c r="F1250" s="39" t="inlineStr">
        <is>
          <t>카페24</t>
        </is>
      </c>
      <c r="G1250" s="39" t="n"/>
      <c r="H1250" s="39" t="n">
        <v>20</v>
      </c>
      <c r="I1250" s="39" t="inlineStr">
        <is>
          <t>스테이포에버</t>
        </is>
      </c>
      <c r="J1250" s="39" t="n">
        <v>200520</v>
      </c>
      <c r="L1250" s="39">
        <f>VLOOKUP($P1250,매칭테이블!$G:$J,2,0)*H1250</f>
        <v/>
      </c>
      <c r="M1250" s="39">
        <f>L1250-L1250*VLOOKUP($P1250,매칭테이블!$G:$J,3,0)</f>
        <v/>
      </c>
      <c r="N1250" s="39">
        <f>VLOOKUP($P1250,매칭테이블!$G:$J,4,0)*H1250</f>
        <v/>
      </c>
      <c r="O1250" s="55">
        <f>L1250/1.1</f>
        <v/>
      </c>
      <c r="P1250" s="39">
        <f>F1250&amp;E1250&amp;I1250&amp;J1250</f>
        <v/>
      </c>
    </row>
    <row r="1251" customFormat="1" s="39">
      <c r="B1251" s="51" t="n">
        <v>43992</v>
      </c>
      <c r="C1251" s="39" t="inlineStr">
        <is>
          <t>수</t>
        </is>
      </c>
      <c r="E1251" s="39" t="inlineStr">
        <is>
          <t>고체향수</t>
        </is>
      </c>
      <c r="F1251" s="39" t="inlineStr">
        <is>
          <t>카페24</t>
        </is>
      </c>
      <c r="H1251" s="39" t="n">
        <v>1</v>
      </c>
      <c r="I1251" s="39" t="inlineStr">
        <is>
          <t>이그나이트 + 스테이포에버 + 쇼핑백2개</t>
        </is>
      </c>
      <c r="J1251" s="39" t="n">
        <v>200520</v>
      </c>
      <c r="L1251" s="39">
        <f>VLOOKUP($P1251,매칭테이블!$G:$J,2,0)*H1251</f>
        <v/>
      </c>
      <c r="M1251" s="39">
        <f>L1251-L1251*VLOOKUP($P1251,매칭테이블!$G:$J,3,0)</f>
        <v/>
      </c>
      <c r="N1251" s="39">
        <f>VLOOKUP($P1251,매칭테이블!$G:$J,4,0)*H1251</f>
        <v/>
      </c>
      <c r="O1251" s="55">
        <f>L1251/1.1</f>
        <v/>
      </c>
      <c r="P1251" s="39">
        <f>F1251&amp;E1251&amp;I1251&amp;J1251</f>
        <v/>
      </c>
    </row>
    <row r="1252" customFormat="1" s="39">
      <c r="B1252" s="51" t="n">
        <v>43992</v>
      </c>
      <c r="C1252" s="39" t="inlineStr">
        <is>
          <t>수</t>
        </is>
      </c>
      <c r="D1252" s="39" t="n"/>
      <c r="E1252" s="39" t="inlineStr">
        <is>
          <t>고체향수</t>
        </is>
      </c>
      <c r="F1252" s="39" t="inlineStr">
        <is>
          <t>카페24</t>
        </is>
      </c>
      <c r="H1252" s="39" t="n">
        <v>1</v>
      </c>
      <c r="I1252" s="39" t="inlineStr">
        <is>
          <t>이그나이트 + 쇼핑백</t>
        </is>
      </c>
      <c r="J1252" s="39" t="n">
        <v>200520</v>
      </c>
      <c r="K1252" s="39" t="n"/>
      <c r="L1252" s="39">
        <f>VLOOKUP($P1252,매칭테이블!$G:$J,2,0)*H1252</f>
        <v/>
      </c>
      <c r="M1252" s="39">
        <f>L1252-L1252*VLOOKUP($P1252,매칭테이블!$G:$J,3,0)</f>
        <v/>
      </c>
      <c r="N1252" s="39">
        <f>VLOOKUP($P1252,매칭테이블!$G:$J,4,0)*H1252</f>
        <v/>
      </c>
      <c r="O1252" s="55">
        <f>L1252/1.1</f>
        <v/>
      </c>
      <c r="P1252" s="39">
        <f>F1252&amp;E1252&amp;I1252&amp;J1252</f>
        <v/>
      </c>
    </row>
    <row r="1253">
      <c r="B1253" s="51" t="n">
        <v>43992</v>
      </c>
      <c r="C1253" s="39" t="inlineStr">
        <is>
          <t>수</t>
        </is>
      </c>
      <c r="D1253" s="39" t="n"/>
      <c r="E1253" s="39" t="inlineStr">
        <is>
          <t>고체향수</t>
        </is>
      </c>
      <c r="F1253" s="39" t="inlineStr">
        <is>
          <t>카페24</t>
        </is>
      </c>
      <c r="G1253" s="39" t="n"/>
      <c r="H1253" s="39" t="n">
        <v>24</v>
      </c>
      <c r="I1253" s="39" t="inlineStr">
        <is>
          <t>스테이포에버 + 쇼핑백</t>
        </is>
      </c>
      <c r="J1253" s="39" t="n">
        <v>200520</v>
      </c>
      <c r="K1253" s="39" t="n"/>
      <c r="L1253" s="39">
        <f>VLOOKUP($P1253,매칭테이블!$G:$J,2,0)*H1253</f>
        <v/>
      </c>
      <c r="M1253" s="39">
        <f>L1253-L1253*VLOOKUP($P1253,매칭테이블!$G:$J,3,0)</f>
        <v/>
      </c>
      <c r="N1253" s="39">
        <f>VLOOKUP($P1253,매칭테이블!$G:$J,4,0)*H1253</f>
        <v/>
      </c>
      <c r="O1253" s="55">
        <f>L1253/1.1</f>
        <v/>
      </c>
      <c r="P1253" s="39">
        <f>F1253&amp;E1253&amp;I1253&amp;J1253</f>
        <v/>
      </c>
    </row>
    <row r="1254">
      <c r="B1254" s="51" t="n">
        <v>43992</v>
      </c>
      <c r="C1254" s="39" t="inlineStr">
        <is>
          <t>수</t>
        </is>
      </c>
      <c r="E1254" s="39" t="inlineStr">
        <is>
          <t>고체향수</t>
        </is>
      </c>
      <c r="F1254" s="39" t="inlineStr">
        <is>
          <t>카페24</t>
        </is>
      </c>
      <c r="G1254" s="39" t="n"/>
      <c r="H1254" s="39" t="n">
        <v>5</v>
      </c>
      <c r="I1254" s="39" t="inlineStr">
        <is>
          <t>스테이포에버</t>
        </is>
      </c>
      <c r="J1254" s="39" t="n">
        <v>200520</v>
      </c>
      <c r="L1254" s="39">
        <f>VLOOKUP($P1254,매칭테이블!$G:$J,2,0)*H1254</f>
        <v/>
      </c>
      <c r="M1254" s="39">
        <f>L1254-L1254*VLOOKUP($P1254,매칭테이블!$G:$J,3,0)</f>
        <v/>
      </c>
      <c r="N1254" s="39">
        <f>VLOOKUP($P1254,매칭테이블!$G:$J,4,0)*H1254</f>
        <v/>
      </c>
      <c r="O1254" s="55">
        <f>L1254/1.1</f>
        <v/>
      </c>
      <c r="P1254" s="39">
        <f>F1254&amp;E1254&amp;I1254&amp;J1254</f>
        <v/>
      </c>
    </row>
    <row r="1255">
      <c r="B1255" s="51" t="n">
        <v>43992</v>
      </c>
      <c r="C1255" s="39" t="inlineStr">
        <is>
          <t>수</t>
        </is>
      </c>
      <c r="E1255" s="39" t="inlineStr">
        <is>
          <t>고체향수</t>
        </is>
      </c>
      <c r="F1255" s="39" t="inlineStr">
        <is>
          <t>유즈 CS</t>
        </is>
      </c>
      <c r="G1255" s="39" t="n"/>
      <c r="H1255" s="39" t="n">
        <v>31</v>
      </c>
      <c r="I1255" s="39" t="inlineStr">
        <is>
          <t>스테이포에버</t>
        </is>
      </c>
      <c r="J1255" s="39" t="n">
        <v>200520</v>
      </c>
      <c r="L1255" s="39">
        <f>VLOOKUP($P1255,매칭테이블!$G:$J,2,0)*H1255</f>
        <v/>
      </c>
      <c r="M1255" s="39">
        <f>L1255-L1255*VLOOKUP($P1255,매칭테이블!$G:$J,3,0)</f>
        <v/>
      </c>
      <c r="N1255" s="39">
        <f>VLOOKUP($P1255,매칭테이블!$G:$J,4,0)*H1255</f>
        <v/>
      </c>
      <c r="O1255" s="55">
        <f>L1255/1.1</f>
        <v/>
      </c>
      <c r="P1255" s="39">
        <f>F1255&amp;E1255&amp;I1255&amp;J1255</f>
        <v/>
      </c>
    </row>
    <row r="1256">
      <c r="B1256" s="51" t="n">
        <v>43992</v>
      </c>
      <c r="C1256" s="39" t="inlineStr">
        <is>
          <t>수</t>
        </is>
      </c>
      <c r="E1256" s="39" t="inlineStr">
        <is>
          <t>고체향수</t>
        </is>
      </c>
      <c r="F1256" s="39" t="inlineStr">
        <is>
          <t>유즈 CS</t>
        </is>
      </c>
      <c r="G1256" s="39" t="n"/>
      <c r="H1256" s="39" t="n">
        <v>31</v>
      </c>
      <c r="I1256" s="39" t="inlineStr">
        <is>
          <t>이그나이트</t>
        </is>
      </c>
      <c r="J1256" s="39" t="n">
        <v>200520</v>
      </c>
      <c r="L1256" s="39">
        <f>VLOOKUP($P1256,매칭테이블!$G:$J,2,0)*H1256</f>
        <v/>
      </c>
      <c r="M1256" s="39">
        <f>L1256-L1256*VLOOKUP($P1256,매칭테이블!$G:$J,3,0)</f>
        <v/>
      </c>
      <c r="N1256" s="39">
        <f>VLOOKUP($P1256,매칭테이블!$G:$J,4,0)*H1256</f>
        <v/>
      </c>
      <c r="O1256" s="55">
        <f>L1256/1.1</f>
        <v/>
      </c>
      <c r="P1256" s="39">
        <f>F1256&amp;E1256&amp;I1256&amp;J1256</f>
        <v/>
      </c>
    </row>
    <row r="1257">
      <c r="B1257" s="51" t="n">
        <v>43992</v>
      </c>
      <c r="C1257" s="39" t="inlineStr">
        <is>
          <t>수</t>
        </is>
      </c>
      <c r="E1257" s="39" t="inlineStr">
        <is>
          <t>쇼핑백</t>
        </is>
      </c>
      <c r="F1257" s="39" t="inlineStr">
        <is>
          <t>유즈 CS</t>
        </is>
      </c>
      <c r="G1257" s="39" t="n"/>
      <c r="H1257" s="39" t="n">
        <v>1</v>
      </c>
      <c r="I1257" s="39" t="inlineStr">
        <is>
          <t>유즈쇼핑백</t>
        </is>
      </c>
      <c r="J1257" s="39" t="n">
        <v>200520</v>
      </c>
      <c r="L1257" s="39">
        <f>VLOOKUP($P1257,매칭테이블!$G:$J,2,0)*H1257</f>
        <v/>
      </c>
      <c r="M1257" s="39">
        <f>L1257-L1257*VLOOKUP($P1257,매칭테이블!$G:$J,3,0)</f>
        <v/>
      </c>
      <c r="N1257" s="39">
        <f>VLOOKUP($P1257,매칭테이블!$G:$J,4,0)*H1257</f>
        <v/>
      </c>
      <c r="O1257" s="55">
        <f>L1257/1.1</f>
        <v/>
      </c>
      <c r="P1257" s="39">
        <f>F1257&amp;E1257&amp;I1257&amp;J1257</f>
        <v/>
      </c>
    </row>
    <row r="1258">
      <c r="B1258" s="51" t="n">
        <v>43993</v>
      </c>
      <c r="C1258" s="39" t="inlineStr">
        <is>
          <t>목</t>
        </is>
      </c>
      <c r="E1258" s="39" t="inlineStr">
        <is>
          <t>고체향수</t>
        </is>
      </c>
      <c r="F1258" s="39" t="inlineStr">
        <is>
          <t>카페24</t>
        </is>
      </c>
      <c r="G1258" s="39" t="n"/>
      <c r="H1258" s="39" t="n">
        <v>1</v>
      </c>
      <c r="I1258" s="39" t="inlineStr">
        <is>
          <t>이그나이트 + 스테이포에버 + 쇼핑백2개</t>
        </is>
      </c>
      <c r="J1258" s="39" t="n">
        <v>200520</v>
      </c>
      <c r="L1258" s="39">
        <f>VLOOKUP($P1258,매칭테이블!$G:$J,2,0)*H1258</f>
        <v/>
      </c>
      <c r="M1258" s="39">
        <f>L1258-L1258*VLOOKUP($P1258,매칭테이블!$G:$J,3,0)</f>
        <v/>
      </c>
      <c r="N1258" s="39">
        <f>VLOOKUP($P1258,매칭테이블!$G:$J,4,0)*H1258</f>
        <v/>
      </c>
      <c r="O1258" s="55">
        <f>L1258/1.1</f>
        <v/>
      </c>
      <c r="P1258" s="39">
        <f>F1258&amp;E1258&amp;I1258&amp;J1258</f>
        <v/>
      </c>
    </row>
    <row r="1259">
      <c r="B1259" s="51" t="n">
        <v>43993</v>
      </c>
      <c r="C1259" s="39" t="inlineStr">
        <is>
          <t>목</t>
        </is>
      </c>
      <c r="E1259" s="39" t="inlineStr">
        <is>
          <t>고체향수</t>
        </is>
      </c>
      <c r="F1259" s="39" t="inlineStr">
        <is>
          <t>카페24</t>
        </is>
      </c>
      <c r="G1259" s="39" t="n"/>
      <c r="H1259" s="39" t="n">
        <v>19</v>
      </c>
      <c r="I1259" s="39" t="inlineStr">
        <is>
          <t>스테이포에버 + 쇼핑백</t>
        </is>
      </c>
      <c r="J1259" s="39" t="n">
        <v>200520</v>
      </c>
      <c r="L1259" s="39">
        <f>VLOOKUP($P1259,매칭테이블!$G:$J,2,0)*H1259</f>
        <v/>
      </c>
      <c r="M1259" s="39">
        <f>L1259-L1259*VLOOKUP($P1259,매칭테이블!$G:$J,3,0)</f>
        <v/>
      </c>
      <c r="N1259" s="39">
        <f>VLOOKUP($P1259,매칭테이블!$G:$J,4,0)*H1259</f>
        <v/>
      </c>
      <c r="O1259" s="55">
        <f>L1259/1.1</f>
        <v/>
      </c>
      <c r="P1259" s="39">
        <f>F1259&amp;E1259&amp;I1259&amp;J1259</f>
        <v/>
      </c>
    </row>
    <row r="1260">
      <c r="B1260" s="51" t="n">
        <v>43993</v>
      </c>
      <c r="C1260" s="39" t="inlineStr">
        <is>
          <t>목</t>
        </is>
      </c>
      <c r="E1260" s="39" t="inlineStr">
        <is>
          <t>고체향수</t>
        </is>
      </c>
      <c r="F1260" s="39" t="inlineStr">
        <is>
          <t>유즈 CS</t>
        </is>
      </c>
      <c r="G1260" s="39" t="n"/>
      <c r="H1260" s="39" t="n">
        <v>1</v>
      </c>
      <c r="I1260" s="39" t="inlineStr">
        <is>
          <t>스테이포에버</t>
        </is>
      </c>
      <c r="J1260" s="39" t="n">
        <v>200520</v>
      </c>
      <c r="L1260" s="39">
        <f>VLOOKUP($P1260,매칭테이블!$G:$J,2,0)*H1260</f>
        <v/>
      </c>
      <c r="M1260" s="39">
        <f>L1260-L1260*VLOOKUP($P1260,매칭테이블!$G:$J,3,0)</f>
        <v/>
      </c>
      <c r="N1260" s="39">
        <f>VLOOKUP($P1260,매칭테이블!$G:$J,4,0)*H1260</f>
        <v/>
      </c>
      <c r="O1260" s="55">
        <f>L1260/1.1</f>
        <v/>
      </c>
      <c r="P1260" s="39">
        <f>F1260&amp;E1260&amp;I1260&amp;J1260</f>
        <v/>
      </c>
    </row>
    <row r="1261">
      <c r="B1261" s="51" t="n">
        <v>43993</v>
      </c>
      <c r="C1261" s="39" t="inlineStr">
        <is>
          <t>목</t>
        </is>
      </c>
      <c r="E1261" s="39" t="inlineStr">
        <is>
          <t>고체향수</t>
        </is>
      </c>
      <c r="F1261" s="39" t="inlineStr">
        <is>
          <t>유즈 CS</t>
        </is>
      </c>
      <c r="G1261" s="39" t="n"/>
      <c r="H1261" s="39" t="n">
        <v>1</v>
      </c>
      <c r="I1261" s="39" t="inlineStr">
        <is>
          <t>이그나이트</t>
        </is>
      </c>
      <c r="J1261" s="39" t="n">
        <v>200520</v>
      </c>
      <c r="L1261" s="39">
        <f>VLOOKUP($P1261,매칭테이블!$G:$J,2,0)*H1261</f>
        <v/>
      </c>
      <c r="M1261" s="39">
        <f>L1261-L1261*VLOOKUP($P1261,매칭테이블!$G:$J,3,0)</f>
        <v/>
      </c>
      <c r="N1261" s="39">
        <f>VLOOKUP($P1261,매칭테이블!$G:$J,4,0)*H1261</f>
        <v/>
      </c>
      <c r="O1261" s="55">
        <f>L1261/1.1</f>
        <v/>
      </c>
      <c r="P1261" s="39">
        <f>F1261&amp;E1261&amp;I1261&amp;J1261</f>
        <v/>
      </c>
    </row>
    <row r="1262">
      <c r="B1262" s="51" t="n">
        <v>43994</v>
      </c>
      <c r="C1262" s="39" t="inlineStr">
        <is>
          <t>금</t>
        </is>
      </c>
      <c r="E1262" s="39" t="inlineStr">
        <is>
          <t>고체향수</t>
        </is>
      </c>
      <c r="F1262" s="39" t="inlineStr">
        <is>
          <t>카페24</t>
        </is>
      </c>
      <c r="G1262" s="39" t="n"/>
      <c r="H1262" s="39" t="n">
        <v>3</v>
      </c>
      <c r="I1262" s="39" t="inlineStr">
        <is>
          <t>스테이포에버 + 쇼핑백</t>
        </is>
      </c>
      <c r="J1262" s="39" t="n">
        <v>200520</v>
      </c>
      <c r="L1262" s="39">
        <f>VLOOKUP($P1262,매칭테이블!$G:$J,2,0)*H1262</f>
        <v/>
      </c>
      <c r="M1262" s="39">
        <f>L1262-L1262*VLOOKUP($P1262,매칭테이블!$G:$J,3,0)</f>
        <v/>
      </c>
      <c r="N1262" s="39">
        <f>VLOOKUP($P1262,매칭테이블!$G:$J,4,0)*H1262</f>
        <v/>
      </c>
      <c r="O1262" s="55">
        <f>L1262/1.1</f>
        <v/>
      </c>
      <c r="P1262" s="39">
        <f>F1262&amp;E1262&amp;I1262&amp;J1262</f>
        <v/>
      </c>
    </row>
    <row r="1263">
      <c r="B1263" s="51" t="n">
        <v>43994</v>
      </c>
      <c r="C1263" s="39" t="inlineStr">
        <is>
          <t>금</t>
        </is>
      </c>
      <c r="E1263" s="39" t="inlineStr">
        <is>
          <t>고체향수</t>
        </is>
      </c>
      <c r="F1263" s="39" t="inlineStr">
        <is>
          <t>카페24</t>
        </is>
      </c>
      <c r="G1263" s="39" t="n"/>
      <c r="H1263" s="39" t="n">
        <v>14</v>
      </c>
      <c r="I1263" s="39" t="inlineStr">
        <is>
          <t>스테이포에버 + 쇼핑백</t>
        </is>
      </c>
      <c r="J1263" s="39" t="n">
        <v>200520</v>
      </c>
      <c r="L1263" s="39">
        <f>VLOOKUP($P1263,매칭테이블!$G:$J,2,0)*H1263</f>
        <v/>
      </c>
      <c r="M1263" s="39">
        <f>L1263-L1263*VLOOKUP($P1263,매칭테이블!$G:$J,3,0)</f>
        <v/>
      </c>
      <c r="N1263" s="39">
        <f>VLOOKUP($P1263,매칭테이블!$G:$J,4,0)*H1263</f>
        <v/>
      </c>
      <c r="O1263" s="55">
        <f>L1263/1.1</f>
        <v/>
      </c>
      <c r="P1263" s="39">
        <f>F1263&amp;E1263&amp;I1263&amp;J1263</f>
        <v/>
      </c>
    </row>
    <row r="1264">
      <c r="B1264" s="51" t="n">
        <v>43995</v>
      </c>
      <c r="C1264" s="39" t="inlineStr">
        <is>
          <t>토</t>
        </is>
      </c>
      <c r="E1264" s="39" t="inlineStr">
        <is>
          <t>고체향수</t>
        </is>
      </c>
      <c r="F1264" s="39" t="inlineStr">
        <is>
          <t>카페24</t>
        </is>
      </c>
      <c r="G1264" s="39" t="n"/>
      <c r="H1264" s="39" t="n">
        <v>1</v>
      </c>
      <c r="I1264" s="39" t="inlineStr">
        <is>
          <t>이그나이트 + 스테이포에버 + 쇼핑백2개</t>
        </is>
      </c>
      <c r="J1264" s="39" t="n">
        <v>200520</v>
      </c>
      <c r="L1264" s="39">
        <f>VLOOKUP($P1264,매칭테이블!$G:$J,2,0)*H1264</f>
        <v/>
      </c>
      <c r="M1264" s="39">
        <f>L1264-L1264*VLOOKUP($P1264,매칭테이블!$G:$J,3,0)</f>
        <v/>
      </c>
      <c r="N1264" s="39">
        <f>VLOOKUP($P1264,매칭테이블!$G:$J,4,0)*H1264</f>
        <v/>
      </c>
      <c r="O1264" s="55">
        <f>L1264/1.1</f>
        <v/>
      </c>
      <c r="P1264" s="39">
        <f>F1264&amp;E1264&amp;I1264&amp;J1264</f>
        <v/>
      </c>
    </row>
    <row r="1265">
      <c r="B1265" s="51" t="n">
        <v>43995</v>
      </c>
      <c r="C1265" s="39" t="inlineStr">
        <is>
          <t>토</t>
        </is>
      </c>
      <c r="E1265" s="39" t="inlineStr">
        <is>
          <t>고체향수</t>
        </is>
      </c>
      <c r="F1265" s="39" t="inlineStr">
        <is>
          <t>카페24</t>
        </is>
      </c>
      <c r="G1265" s="39" t="n"/>
      <c r="H1265" s="39" t="n">
        <v>1</v>
      </c>
      <c r="I1265" s="39" t="inlineStr">
        <is>
          <t>스테이포에버 + 쇼핑백</t>
        </is>
      </c>
      <c r="J1265" s="39" t="n">
        <v>200520</v>
      </c>
      <c r="L1265" s="39">
        <f>VLOOKUP($P1265,매칭테이블!$G:$J,2,0)*H1265</f>
        <v/>
      </c>
      <c r="M1265" s="39">
        <f>L1265-L1265*VLOOKUP($P1265,매칭테이블!$G:$J,3,0)</f>
        <v/>
      </c>
      <c r="N1265" s="39">
        <f>VLOOKUP($P1265,매칭테이블!$G:$J,4,0)*H1265</f>
        <v/>
      </c>
      <c r="O1265" s="55">
        <f>L1265/1.1</f>
        <v/>
      </c>
      <c r="P1265" s="39">
        <f>F1265&amp;E1265&amp;I1265&amp;J1265</f>
        <v/>
      </c>
    </row>
    <row r="1266">
      <c r="B1266" s="51" t="n">
        <v>43995</v>
      </c>
      <c r="C1266" s="39" t="inlineStr">
        <is>
          <t>토</t>
        </is>
      </c>
      <c r="E1266" s="39" t="inlineStr">
        <is>
          <t>고체향수</t>
        </is>
      </c>
      <c r="F1266" s="39" t="inlineStr">
        <is>
          <t>카페24</t>
        </is>
      </c>
      <c r="G1266" s="39" t="n"/>
      <c r="H1266" s="39" t="n">
        <v>32</v>
      </c>
      <c r="I1266" s="39" t="inlineStr">
        <is>
          <t>스테이포에버 + 쇼핑백</t>
        </is>
      </c>
      <c r="J1266" s="39" t="n">
        <v>200520</v>
      </c>
      <c r="L1266" s="39">
        <f>VLOOKUP($P1266,매칭테이블!$G:$J,2,0)*H1266</f>
        <v/>
      </c>
      <c r="M1266" s="39">
        <f>L1266-L1266*VLOOKUP($P1266,매칭테이블!$G:$J,3,0)</f>
        <v/>
      </c>
      <c r="N1266" s="39">
        <f>VLOOKUP($P1266,매칭테이블!$G:$J,4,0)*H1266</f>
        <v/>
      </c>
      <c r="O1266" s="55">
        <f>L1266/1.1</f>
        <v/>
      </c>
      <c r="P1266" s="39">
        <f>F1266&amp;E1266&amp;I1266&amp;J1266</f>
        <v/>
      </c>
    </row>
    <row r="1267">
      <c r="B1267" s="51" t="n">
        <v>43995</v>
      </c>
      <c r="C1267" s="39" t="inlineStr">
        <is>
          <t>토</t>
        </is>
      </c>
      <c r="E1267" s="39" t="inlineStr">
        <is>
          <t>고체향수</t>
        </is>
      </c>
      <c r="F1267" s="39" t="inlineStr">
        <is>
          <t>카페24</t>
        </is>
      </c>
      <c r="G1267" s="39" t="n"/>
      <c r="H1267" s="39" t="n">
        <v>3</v>
      </c>
      <c r="I1267" s="39" t="inlineStr">
        <is>
          <t>이그나이트 + 쇼핑백</t>
        </is>
      </c>
      <c r="J1267" s="39" t="n">
        <v>200520</v>
      </c>
      <c r="L1267" s="39">
        <f>VLOOKUP($P1267,매칭테이블!$G:$J,2,0)*H1267</f>
        <v/>
      </c>
      <c r="M1267" s="39">
        <f>L1267-L1267*VLOOKUP($P1267,매칭테이블!$G:$J,3,0)</f>
        <v/>
      </c>
      <c r="N1267" s="39">
        <f>VLOOKUP($P1267,매칭테이블!$G:$J,4,0)*H1267</f>
        <v/>
      </c>
      <c r="O1267" s="55">
        <f>L1267/1.1</f>
        <v/>
      </c>
      <c r="P1267" s="39">
        <f>F1267&amp;E1267&amp;I1267&amp;J1267</f>
        <v/>
      </c>
    </row>
    <row r="1268">
      <c r="B1268" s="51" t="n">
        <v>43996</v>
      </c>
      <c r="C1268" s="39" t="inlineStr">
        <is>
          <t>일</t>
        </is>
      </c>
      <c r="E1268" s="39" t="inlineStr">
        <is>
          <t>고체향수</t>
        </is>
      </c>
      <c r="F1268" s="39" t="inlineStr">
        <is>
          <t>카페24</t>
        </is>
      </c>
      <c r="G1268" s="39" t="n"/>
      <c r="H1268" s="39" t="n">
        <v>1</v>
      </c>
      <c r="I1268" s="39" t="inlineStr">
        <is>
          <t>이그나이트 + 스테이포에버 + 쇼핑백2개</t>
        </is>
      </c>
      <c r="J1268" s="39" t="n">
        <v>200520</v>
      </c>
      <c r="L1268" s="39">
        <f>VLOOKUP($P1268,매칭테이블!$G:$J,2,0)*H1268</f>
        <v/>
      </c>
      <c r="M1268" s="39">
        <f>L1268-L1268*VLOOKUP($P1268,매칭테이블!$G:$J,3,0)</f>
        <v/>
      </c>
      <c r="N1268" s="39">
        <f>VLOOKUP($P1268,매칭테이블!$G:$J,4,0)*H1268</f>
        <v/>
      </c>
      <c r="O1268" s="55">
        <f>L1268/1.1</f>
        <v/>
      </c>
      <c r="P1268" s="39">
        <f>F1268&amp;E1268&amp;I1268&amp;J1268</f>
        <v/>
      </c>
    </row>
    <row r="1269">
      <c r="B1269" s="51" t="n">
        <v>43996</v>
      </c>
      <c r="C1269" s="39" t="inlineStr">
        <is>
          <t>일</t>
        </is>
      </c>
      <c r="E1269" s="39" t="inlineStr">
        <is>
          <t>고체향수</t>
        </is>
      </c>
      <c r="F1269" s="39" t="inlineStr">
        <is>
          <t>카페24</t>
        </is>
      </c>
      <c r="G1269" s="39" t="n"/>
      <c r="H1269" s="39" t="n">
        <v>25</v>
      </c>
      <c r="I1269" s="39" t="inlineStr">
        <is>
          <t>스테이포에버 + 쇼핑백</t>
        </is>
      </c>
      <c r="J1269" s="39" t="n">
        <v>200520</v>
      </c>
      <c r="L1269" s="39">
        <f>VLOOKUP($P1269,매칭테이블!$G:$J,2,0)*H1269</f>
        <v/>
      </c>
      <c r="M1269" s="39">
        <f>L1269-L1269*VLOOKUP($P1269,매칭테이블!$G:$J,3,0)</f>
        <v/>
      </c>
      <c r="N1269" s="39">
        <f>VLOOKUP($P1269,매칭테이블!$G:$J,4,0)*H1269</f>
        <v/>
      </c>
      <c r="O1269" s="55">
        <f>L1269/1.1</f>
        <v/>
      </c>
      <c r="P1269" s="39">
        <f>F1269&amp;E1269&amp;I1269&amp;J1269</f>
        <v/>
      </c>
    </row>
    <row r="1270">
      <c r="B1270" s="51" t="n">
        <v>43997</v>
      </c>
      <c r="C1270" s="39" t="inlineStr">
        <is>
          <t>월</t>
        </is>
      </c>
      <c r="E1270" s="39" t="inlineStr">
        <is>
          <t>고체향수</t>
        </is>
      </c>
      <c r="F1270" s="39" t="inlineStr">
        <is>
          <t>카페24</t>
        </is>
      </c>
      <c r="G1270" s="39" t="n"/>
      <c r="H1270" s="39" t="n">
        <v>1</v>
      </c>
      <c r="I1270" s="39" t="inlineStr">
        <is>
          <t>이그나이트 + 스테이포에버 + 쇼핑백2개</t>
        </is>
      </c>
      <c r="J1270" s="39" t="n">
        <v>200520</v>
      </c>
      <c r="L1270" s="39">
        <f>VLOOKUP($P1270,매칭테이블!$G:$J,2,0)*H1270</f>
        <v/>
      </c>
      <c r="M1270" s="39">
        <f>L1270-L1270*VLOOKUP($P1270,매칭테이블!$G:$J,3,0)</f>
        <v/>
      </c>
      <c r="N1270" s="39">
        <f>VLOOKUP($P1270,매칭테이블!$G:$J,4,0)*H1270</f>
        <v/>
      </c>
      <c r="O1270" s="55">
        <f>L1270/1.1</f>
        <v/>
      </c>
      <c r="P1270" s="39">
        <f>F1270&amp;E1270&amp;I1270&amp;J1270</f>
        <v/>
      </c>
    </row>
    <row r="1271">
      <c r="B1271" s="51" t="n">
        <v>43997</v>
      </c>
      <c r="C1271" s="39" t="inlineStr">
        <is>
          <t>월</t>
        </is>
      </c>
      <c r="E1271" s="39" t="inlineStr">
        <is>
          <t>고체향수</t>
        </is>
      </c>
      <c r="F1271" s="39" t="inlineStr">
        <is>
          <t>카페24</t>
        </is>
      </c>
      <c r="G1271" s="39" t="n"/>
      <c r="H1271" s="39" t="n">
        <v>24</v>
      </c>
      <c r="I1271" s="39" t="inlineStr">
        <is>
          <t>스테이포에버 + 쇼핑백</t>
        </is>
      </c>
      <c r="J1271" s="39" t="n">
        <v>200520</v>
      </c>
      <c r="L1271" s="39">
        <f>VLOOKUP($P1271,매칭테이블!$G:$J,2,0)*H1271</f>
        <v/>
      </c>
      <c r="M1271" s="39">
        <f>L1271-L1271*VLOOKUP($P1271,매칭테이블!$G:$J,3,0)</f>
        <v/>
      </c>
      <c r="N1271" s="39">
        <f>VLOOKUP($P1271,매칭테이블!$G:$J,4,0)*H1271</f>
        <v/>
      </c>
      <c r="O1271" s="55">
        <f>L1271/1.1</f>
        <v/>
      </c>
      <c r="P1271" s="39">
        <f>F1271&amp;E1271&amp;I1271&amp;J1271</f>
        <v/>
      </c>
    </row>
    <row r="1272">
      <c r="B1272" s="51" t="n">
        <v>43997</v>
      </c>
      <c r="C1272" s="39" t="inlineStr">
        <is>
          <t>월</t>
        </is>
      </c>
      <c r="E1272" s="39" t="inlineStr">
        <is>
          <t>고체향수</t>
        </is>
      </c>
      <c r="F1272" s="39" t="inlineStr">
        <is>
          <t>유즈 CS</t>
        </is>
      </c>
      <c r="G1272" s="39" t="n"/>
      <c r="H1272" s="39" t="n">
        <v>1</v>
      </c>
      <c r="I1272" s="39" t="inlineStr">
        <is>
          <t>이그나이트</t>
        </is>
      </c>
      <c r="J1272" s="39" t="n">
        <v>200520</v>
      </c>
      <c r="L1272" s="39">
        <f>VLOOKUP($P1272,매칭테이블!$G:$J,2,0)*H1272</f>
        <v/>
      </c>
      <c r="M1272" s="39">
        <f>L1272-L1272*VLOOKUP($P1272,매칭테이블!$G:$J,3,0)</f>
        <v/>
      </c>
      <c r="N1272" s="39">
        <f>VLOOKUP($P1272,매칭테이블!$G:$J,4,0)*H1272</f>
        <v/>
      </c>
      <c r="O1272" s="55">
        <f>L1272/1.1</f>
        <v/>
      </c>
      <c r="P1272" s="39">
        <f>F1272&amp;E1272&amp;I1272&amp;J1272</f>
        <v/>
      </c>
    </row>
    <row r="1273">
      <c r="B1273" s="51" t="n">
        <v>43997</v>
      </c>
      <c r="C1273" s="39" t="inlineStr">
        <is>
          <t>월</t>
        </is>
      </c>
      <c r="E1273" s="39" t="inlineStr">
        <is>
          <t>고체향수</t>
        </is>
      </c>
      <c r="F1273" s="39" t="inlineStr">
        <is>
          <t>유즈 CS</t>
        </is>
      </c>
      <c r="G1273" s="39" t="n"/>
      <c r="H1273" s="39" t="n">
        <v>1</v>
      </c>
      <c r="I1273" s="39" t="inlineStr">
        <is>
          <t>스테이포에버</t>
        </is>
      </c>
      <c r="J1273" s="39" t="n">
        <v>200520</v>
      </c>
      <c r="L1273" s="39">
        <f>VLOOKUP($P1273,매칭테이블!$G:$J,2,0)*H1273</f>
        <v/>
      </c>
      <c r="M1273" s="39">
        <f>L1273-L1273*VLOOKUP($P1273,매칭테이블!$G:$J,3,0)</f>
        <v/>
      </c>
      <c r="N1273" s="39">
        <f>VLOOKUP($P1273,매칭테이블!$G:$J,4,0)*H1273</f>
        <v/>
      </c>
      <c r="O1273" s="55">
        <f>L1273/1.1</f>
        <v/>
      </c>
      <c r="P1273" s="39">
        <f>F1273&amp;E1273&amp;I1273&amp;J1273</f>
        <v/>
      </c>
    </row>
    <row r="1274">
      <c r="B1274" s="51" t="n">
        <v>43998</v>
      </c>
      <c r="C1274" s="39" t="inlineStr">
        <is>
          <t>화</t>
        </is>
      </c>
      <c r="E1274" s="39" t="inlineStr">
        <is>
          <t>고체향수</t>
        </is>
      </c>
      <c r="F1274" s="39" t="inlineStr">
        <is>
          <t>카페24</t>
        </is>
      </c>
      <c r="G1274" s="39" t="n"/>
      <c r="H1274" s="39" t="n">
        <v>1</v>
      </c>
      <c r="I1274" s="39" t="inlineStr">
        <is>
          <t>이그나이트 + 스테이포에버 + 쇼핑백2개</t>
        </is>
      </c>
      <c r="J1274" s="39" t="n">
        <v>200520</v>
      </c>
      <c r="L1274" s="39">
        <f>VLOOKUP($P1274,매칭테이블!$G:$J,2,0)*H1274</f>
        <v/>
      </c>
      <c r="M1274" s="39">
        <f>L1274-L1274*VLOOKUP($P1274,매칭테이블!$G:$J,3,0)</f>
        <v/>
      </c>
      <c r="N1274" s="39">
        <f>VLOOKUP($P1274,매칭테이블!$G:$J,4,0)*H1274</f>
        <v/>
      </c>
      <c r="O1274" s="55">
        <f>L1274/1.1</f>
        <v/>
      </c>
      <c r="P1274" s="39">
        <f>F1274&amp;E1274&amp;I1274&amp;J1274</f>
        <v/>
      </c>
    </row>
    <row r="1275">
      <c r="B1275" s="51" t="n">
        <v>43998</v>
      </c>
      <c r="C1275" s="39" t="inlineStr">
        <is>
          <t>화</t>
        </is>
      </c>
      <c r="E1275" s="39" t="inlineStr">
        <is>
          <t>고체향수</t>
        </is>
      </c>
      <c r="F1275" s="39" t="inlineStr">
        <is>
          <t>카페24</t>
        </is>
      </c>
      <c r="G1275" s="39" t="n"/>
      <c r="H1275" s="39" t="n">
        <v>23</v>
      </c>
      <c r="I1275" s="39" t="inlineStr">
        <is>
          <t>스테이포에버 + 쇼핑백</t>
        </is>
      </c>
      <c r="J1275" s="39" t="n">
        <v>200520</v>
      </c>
      <c r="L1275" s="39">
        <f>VLOOKUP($P1275,매칭테이블!$G:$J,2,0)*H1275</f>
        <v/>
      </c>
      <c r="M1275" s="39">
        <f>L1275-L1275*VLOOKUP($P1275,매칭테이블!$G:$J,3,0)</f>
        <v/>
      </c>
      <c r="N1275" s="39">
        <f>VLOOKUP($P1275,매칭테이블!$G:$J,4,0)*H1275</f>
        <v/>
      </c>
      <c r="O1275" s="55">
        <f>L1275/1.1</f>
        <v/>
      </c>
      <c r="P1275" s="39">
        <f>F1275&amp;E1275&amp;I1275&amp;J1275</f>
        <v/>
      </c>
    </row>
    <row r="1276">
      <c r="B1276" s="51" t="n">
        <v>43999</v>
      </c>
      <c r="C1276" s="39" t="inlineStr">
        <is>
          <t>수</t>
        </is>
      </c>
      <c r="E1276" s="39" t="inlineStr">
        <is>
          <t>고체향수</t>
        </is>
      </c>
      <c r="F1276" s="39" t="inlineStr">
        <is>
          <t>카페24</t>
        </is>
      </c>
      <c r="G1276" s="39" t="n"/>
      <c r="H1276" s="39" t="n">
        <v>3</v>
      </c>
      <c r="I1276" s="39" t="inlineStr">
        <is>
          <t>이그나이트 + 스테이포에버 + 쇼핑백2개</t>
        </is>
      </c>
      <c r="J1276" s="39" t="n">
        <v>200520</v>
      </c>
      <c r="L1276" s="39">
        <f>VLOOKUP($P1276,매칭테이블!$G:$J,2,0)*H1276</f>
        <v/>
      </c>
      <c r="M1276" s="39">
        <f>L1276-L1276*VLOOKUP($P1276,매칭테이블!$G:$J,3,0)</f>
        <v/>
      </c>
      <c r="N1276" s="39">
        <f>VLOOKUP($P1276,매칭테이블!$G:$J,4,0)*H1276</f>
        <v/>
      </c>
      <c r="O1276" s="55">
        <f>L1276/1.1</f>
        <v/>
      </c>
      <c r="P1276" s="39">
        <f>F1276&amp;E1276&amp;I1276&amp;J1276</f>
        <v/>
      </c>
    </row>
    <row r="1277">
      <c r="B1277" s="51" t="n">
        <v>43999</v>
      </c>
      <c r="C1277" s="39" t="inlineStr">
        <is>
          <t>수</t>
        </is>
      </c>
      <c r="E1277" s="39" t="inlineStr">
        <is>
          <t>고체향수</t>
        </is>
      </c>
      <c r="F1277" s="39" t="inlineStr">
        <is>
          <t>카페24</t>
        </is>
      </c>
      <c r="G1277" s="39" t="n"/>
      <c r="H1277" s="39" t="n">
        <v>24</v>
      </c>
      <c r="I1277" s="39" t="inlineStr">
        <is>
          <t>스테이포에버 + 쇼핑백</t>
        </is>
      </c>
      <c r="J1277" s="39" t="n">
        <v>200520</v>
      </c>
      <c r="L1277" s="39">
        <f>VLOOKUP($P1277,매칭테이블!$G:$J,2,0)*H1277</f>
        <v/>
      </c>
      <c r="M1277" s="39">
        <f>L1277-L1277*VLOOKUP($P1277,매칭테이블!$G:$J,3,0)</f>
        <v/>
      </c>
      <c r="N1277" s="39">
        <f>VLOOKUP($P1277,매칭테이블!$G:$J,4,0)*H1277</f>
        <v/>
      </c>
      <c r="O1277" s="55">
        <f>L1277/1.1</f>
        <v/>
      </c>
      <c r="P1277" s="39">
        <f>F1277&amp;E1277&amp;I1277&amp;J1277</f>
        <v/>
      </c>
    </row>
    <row r="1278">
      <c r="B1278" s="51" t="n">
        <v>43999</v>
      </c>
      <c r="C1278" s="39" t="inlineStr">
        <is>
          <t>수</t>
        </is>
      </c>
      <c r="E1278" s="39" t="inlineStr">
        <is>
          <t>고체향수</t>
        </is>
      </c>
      <c r="F1278" s="39" t="inlineStr">
        <is>
          <t>카페24</t>
        </is>
      </c>
      <c r="G1278" s="39" t="n"/>
      <c r="H1278" s="39" t="n">
        <v>3</v>
      </c>
      <c r="I1278" s="39" t="inlineStr">
        <is>
          <t>이그나이트 + 쇼핑백</t>
        </is>
      </c>
      <c r="J1278" s="39" t="n">
        <v>200520</v>
      </c>
      <c r="L1278" s="39">
        <f>VLOOKUP($P1278,매칭테이블!$G:$J,2,0)*H1278</f>
        <v/>
      </c>
      <c r="M1278" s="39">
        <f>L1278-L1278*VLOOKUP($P1278,매칭테이블!$G:$J,3,0)</f>
        <v/>
      </c>
      <c r="N1278" s="39">
        <f>VLOOKUP($P1278,매칭테이블!$G:$J,4,0)*H1278</f>
        <v/>
      </c>
      <c r="O1278" s="55">
        <f>L1278/1.1</f>
        <v/>
      </c>
      <c r="P1278" s="39">
        <f>F1278&amp;E1278&amp;I1278&amp;J1278</f>
        <v/>
      </c>
    </row>
    <row r="1279">
      <c r="B1279" s="51" t="n">
        <v>44000</v>
      </c>
      <c r="C1279" s="39" t="inlineStr">
        <is>
          <t>목</t>
        </is>
      </c>
      <c r="E1279" s="39" t="inlineStr">
        <is>
          <t>고체향수</t>
        </is>
      </c>
      <c r="F1279" s="39" t="inlineStr">
        <is>
          <t>카페24</t>
        </is>
      </c>
      <c r="G1279" s="39" t="n"/>
      <c r="H1279" s="39" t="n">
        <v>41</v>
      </c>
      <c r="I1279" s="39" t="inlineStr">
        <is>
          <t>스테이포에버 + 쇼핑백</t>
        </is>
      </c>
      <c r="J1279" s="39" t="n">
        <v>200520</v>
      </c>
      <c r="L1279" s="39">
        <f>VLOOKUP($P1279,매칭테이블!$G:$J,2,0)*H1279</f>
        <v/>
      </c>
      <c r="M1279" s="39">
        <f>L1279-L1279*VLOOKUP($P1279,매칭테이블!$G:$J,3,0)</f>
        <v/>
      </c>
      <c r="N1279" s="39">
        <f>VLOOKUP($P1279,매칭테이블!$G:$J,4,0)*H1279</f>
        <v/>
      </c>
      <c r="O1279" s="55">
        <f>L1279/1.1</f>
        <v/>
      </c>
      <c r="P1279" s="39">
        <f>F1279&amp;E1279&amp;I1279&amp;J1279</f>
        <v/>
      </c>
    </row>
    <row r="1280">
      <c r="B1280" s="51" t="n">
        <v>44000</v>
      </c>
      <c r="C1280" s="39" t="inlineStr">
        <is>
          <t>목</t>
        </is>
      </c>
      <c r="E1280" s="39" t="inlineStr">
        <is>
          <t>고체향수</t>
        </is>
      </c>
      <c r="F1280" s="39" t="inlineStr">
        <is>
          <t>카페24</t>
        </is>
      </c>
      <c r="G1280" s="39" t="n"/>
      <c r="H1280" s="39" t="n">
        <v>21</v>
      </c>
      <c r="I1280" s="39" t="inlineStr">
        <is>
          <t>이그나이트 + 쇼핑백</t>
        </is>
      </c>
      <c r="J1280" s="39" t="n">
        <v>200520</v>
      </c>
      <c r="L1280" s="39">
        <f>VLOOKUP($P1280,매칭테이블!$G:$J,2,0)*H1280</f>
        <v/>
      </c>
      <c r="M1280" s="39">
        <f>L1280-L1280*VLOOKUP($P1280,매칭테이블!$G:$J,3,0)</f>
        <v/>
      </c>
      <c r="N1280" s="39">
        <f>VLOOKUP($P1280,매칭테이블!$G:$J,4,0)*H1280</f>
        <v/>
      </c>
      <c r="O1280" s="55">
        <f>L1280/1.1</f>
        <v/>
      </c>
      <c r="P1280" s="39">
        <f>F1280&amp;E1280&amp;I1280&amp;J1280</f>
        <v/>
      </c>
    </row>
    <row r="1281">
      <c r="B1281" s="51" t="n">
        <v>44001</v>
      </c>
      <c r="C1281" s="39" t="inlineStr">
        <is>
          <t>금</t>
        </is>
      </c>
      <c r="E1281" s="39" t="inlineStr">
        <is>
          <t>고체향수</t>
        </is>
      </c>
      <c r="F1281" s="39" t="inlineStr">
        <is>
          <t>카페24</t>
        </is>
      </c>
      <c r="G1281" s="39" t="n"/>
      <c r="H1281" s="39" t="n">
        <v>1</v>
      </c>
      <c r="I1281" s="39" t="inlineStr">
        <is>
          <t>이그나이트 + 스테이포에버 + 쇼핑백2개</t>
        </is>
      </c>
      <c r="J1281" s="39" t="n">
        <v>200520</v>
      </c>
      <c r="L1281" s="39">
        <f>VLOOKUP($P1281,매칭테이블!$G:$J,2,0)*H1281</f>
        <v/>
      </c>
      <c r="M1281" s="39">
        <f>L1281-L1281*VLOOKUP($P1281,매칭테이블!$G:$J,3,0)</f>
        <v/>
      </c>
      <c r="N1281" s="39">
        <f>VLOOKUP($P1281,매칭테이블!$G:$J,4,0)*H1281</f>
        <v/>
      </c>
      <c r="O1281" s="55">
        <f>L1281/1.1</f>
        <v/>
      </c>
      <c r="P1281" s="39">
        <f>F1281&amp;E1281&amp;I1281&amp;J1281</f>
        <v/>
      </c>
    </row>
    <row r="1282">
      <c r="B1282" s="51" t="n">
        <v>44001</v>
      </c>
      <c r="C1282" s="39" t="inlineStr">
        <is>
          <t>금</t>
        </is>
      </c>
      <c r="E1282" s="39" t="inlineStr">
        <is>
          <t>고체향수</t>
        </is>
      </c>
      <c r="F1282" s="39" t="inlineStr">
        <is>
          <t>카페24</t>
        </is>
      </c>
      <c r="G1282" s="39" t="n"/>
      <c r="H1282" s="39" t="n">
        <v>41</v>
      </c>
      <c r="I1282" s="39" t="inlineStr">
        <is>
          <t>스테이포에버 + 쇼핑백</t>
        </is>
      </c>
      <c r="J1282" s="39" t="n">
        <v>200520</v>
      </c>
      <c r="L1282" s="39">
        <f>VLOOKUP($P1282,매칭테이블!$G:$J,2,0)*H1282</f>
        <v/>
      </c>
      <c r="M1282" s="39">
        <f>L1282-L1282*VLOOKUP($P1282,매칭테이블!$G:$J,3,0)</f>
        <v/>
      </c>
      <c r="N1282" s="39">
        <f>VLOOKUP($P1282,매칭테이블!$G:$J,4,0)*H1282</f>
        <v/>
      </c>
      <c r="O1282" s="55">
        <f>L1282/1.1</f>
        <v/>
      </c>
      <c r="P1282" s="39">
        <f>F1282&amp;E1282&amp;I1282&amp;J1282</f>
        <v/>
      </c>
    </row>
    <row r="1283">
      <c r="B1283" s="51" t="n">
        <v>44001</v>
      </c>
      <c r="C1283" s="39" t="inlineStr">
        <is>
          <t>금</t>
        </is>
      </c>
      <c r="E1283" s="39" t="inlineStr">
        <is>
          <t>고체향수</t>
        </is>
      </c>
      <c r="F1283" s="39" t="inlineStr">
        <is>
          <t>카페24</t>
        </is>
      </c>
      <c r="G1283" s="39" t="n"/>
      <c r="H1283" s="39" t="n">
        <v>23</v>
      </c>
      <c r="I1283" s="39" t="inlineStr">
        <is>
          <t>이그나이트 + 쇼핑백</t>
        </is>
      </c>
      <c r="J1283" s="39" t="n">
        <v>200520</v>
      </c>
      <c r="L1283" s="39">
        <f>VLOOKUP($P1283,매칭테이블!$G:$J,2,0)*H1283</f>
        <v/>
      </c>
      <c r="M1283" s="39">
        <f>L1283-L1283*VLOOKUP($P1283,매칭테이블!$G:$J,3,0)</f>
        <v/>
      </c>
      <c r="N1283" s="39">
        <f>VLOOKUP($P1283,매칭테이블!$G:$J,4,0)*H1283</f>
        <v/>
      </c>
      <c r="O1283" s="55">
        <f>L1283/1.1</f>
        <v/>
      </c>
      <c r="P1283" s="39">
        <f>F1283&amp;E1283&amp;I1283&amp;J1283</f>
        <v/>
      </c>
    </row>
    <row r="1284">
      <c r="B1284" s="51" t="n">
        <v>44001</v>
      </c>
      <c r="C1284" s="39" t="inlineStr">
        <is>
          <t>금</t>
        </is>
      </c>
      <c r="E1284" s="39" t="inlineStr">
        <is>
          <t>고체향수</t>
        </is>
      </c>
      <c r="F1284" s="39" t="inlineStr">
        <is>
          <t>유즈 CS</t>
        </is>
      </c>
      <c r="G1284" s="39" t="n"/>
      <c r="H1284" s="39" t="n">
        <v>1</v>
      </c>
      <c r="I1284" s="39" t="inlineStr">
        <is>
          <t>스테이포에버</t>
        </is>
      </c>
      <c r="J1284" s="39" t="n">
        <v>200520</v>
      </c>
      <c r="L1284" s="39">
        <f>VLOOKUP($P1284,매칭테이블!$G:$J,2,0)*H1284</f>
        <v/>
      </c>
      <c r="M1284" s="39">
        <f>L1284-L1284*VLOOKUP($P1284,매칭테이블!$G:$J,3,0)</f>
        <v/>
      </c>
      <c r="N1284" s="39">
        <f>VLOOKUP($P1284,매칭테이블!$G:$J,4,0)*H1284</f>
        <v/>
      </c>
      <c r="O1284" s="55">
        <f>L1284/1.1</f>
        <v/>
      </c>
      <c r="P1284" s="39">
        <f>F1284&amp;E1284&amp;I1284&amp;J1284</f>
        <v/>
      </c>
    </row>
    <row r="1285">
      <c r="B1285" s="51" t="n">
        <v>44001</v>
      </c>
      <c r="C1285" s="39" t="inlineStr">
        <is>
          <t>금</t>
        </is>
      </c>
      <c r="E1285" s="39" t="inlineStr">
        <is>
          <t>고체향수</t>
        </is>
      </c>
      <c r="F1285" s="39" t="inlineStr">
        <is>
          <t>유즈 CS</t>
        </is>
      </c>
      <c r="G1285" s="39" t="n"/>
      <c r="H1285" s="39" t="n">
        <v>1</v>
      </c>
      <c r="I1285" s="39" t="inlineStr">
        <is>
          <t>이그나이트</t>
        </is>
      </c>
      <c r="J1285" s="39" t="n">
        <v>200520</v>
      </c>
      <c r="L1285" s="39">
        <f>VLOOKUP($P1285,매칭테이블!$G:$J,2,0)*H1285</f>
        <v/>
      </c>
      <c r="M1285" s="39">
        <f>L1285-L1285*VLOOKUP($P1285,매칭테이블!$G:$J,3,0)</f>
        <v/>
      </c>
      <c r="N1285" s="39">
        <f>VLOOKUP($P1285,매칭테이블!$G:$J,4,0)*H1285</f>
        <v/>
      </c>
      <c r="O1285" s="55">
        <f>L1285/1.1</f>
        <v/>
      </c>
      <c r="P1285" s="39">
        <f>F1285&amp;E1285&amp;I1285&amp;J1285</f>
        <v/>
      </c>
    </row>
    <row r="1286">
      <c r="B1286" s="51" t="n">
        <v>44001</v>
      </c>
      <c r="C1286" s="39" t="inlineStr">
        <is>
          <t>금</t>
        </is>
      </c>
      <c r="E1286" s="39" t="inlineStr">
        <is>
          <t>쇼핑백</t>
        </is>
      </c>
      <c r="F1286" s="39" t="inlineStr">
        <is>
          <t>유즈 CS</t>
        </is>
      </c>
      <c r="G1286" s="39" t="n"/>
      <c r="H1286" s="39" t="n">
        <v>1</v>
      </c>
      <c r="I1286" s="39" t="inlineStr">
        <is>
          <t>유즈쇼핑백</t>
        </is>
      </c>
      <c r="J1286" s="39" t="n">
        <v>200520</v>
      </c>
      <c r="L1286" s="39">
        <f>VLOOKUP($P1286,매칭테이블!$G:$J,2,0)*H1286</f>
        <v/>
      </c>
      <c r="M1286" s="39">
        <f>L1286-L1286*VLOOKUP($P1286,매칭테이블!$G:$J,3,0)</f>
        <v/>
      </c>
      <c r="N1286" s="39">
        <f>VLOOKUP($P1286,매칭테이블!$G:$J,4,0)*H1286</f>
        <v/>
      </c>
      <c r="O1286" s="55">
        <f>L1286/1.1</f>
        <v/>
      </c>
      <c r="P1286" s="39">
        <f>F1286&amp;E1286&amp;I1286&amp;J1286</f>
        <v/>
      </c>
    </row>
    <row r="1287">
      <c r="B1287" s="51" t="n">
        <v>44002</v>
      </c>
      <c r="C1287" s="39" t="inlineStr">
        <is>
          <t>토</t>
        </is>
      </c>
      <c r="E1287" s="39" t="inlineStr">
        <is>
          <t>고체향수</t>
        </is>
      </c>
      <c r="F1287" s="39" t="inlineStr">
        <is>
          <t>카페24</t>
        </is>
      </c>
      <c r="G1287" s="39" t="n"/>
      <c r="H1287" s="39" t="n">
        <v>9</v>
      </c>
      <c r="I1287" s="39" t="inlineStr">
        <is>
          <t>이그나이트 + 스테이포에버 + 쇼핑백2개</t>
        </is>
      </c>
      <c r="J1287" s="39" t="n">
        <v>200520</v>
      </c>
      <c r="L1287" s="39">
        <f>VLOOKUP($P1287,매칭테이블!$G:$J,2,0)*H1287</f>
        <v/>
      </c>
      <c r="M1287" s="39">
        <f>L1287-L1287*VLOOKUP($P1287,매칭테이블!$G:$J,3,0)</f>
        <v/>
      </c>
      <c r="N1287" s="39">
        <f>VLOOKUP($P1287,매칭테이블!$G:$J,4,0)*H1287</f>
        <v/>
      </c>
      <c r="O1287" s="55">
        <f>L1287/1.1</f>
        <v/>
      </c>
      <c r="P1287" s="39">
        <f>F1287&amp;E1287&amp;I1287&amp;J1287</f>
        <v/>
      </c>
    </row>
    <row r="1288">
      <c r="B1288" s="51" t="n">
        <v>44002</v>
      </c>
      <c r="C1288" s="39" t="inlineStr">
        <is>
          <t>토</t>
        </is>
      </c>
      <c r="E1288" s="39" t="inlineStr">
        <is>
          <t>고체향수</t>
        </is>
      </c>
      <c r="F1288" s="39" t="inlineStr">
        <is>
          <t>카페24</t>
        </is>
      </c>
      <c r="G1288" s="39" t="n"/>
      <c r="H1288" s="39" t="n">
        <v>26</v>
      </c>
      <c r="I1288" s="39" t="inlineStr">
        <is>
          <t>이그나이트 + 쇼핑백</t>
        </is>
      </c>
      <c r="J1288" s="39" t="n">
        <v>200520</v>
      </c>
      <c r="L1288" s="39">
        <f>VLOOKUP($P1288,매칭테이블!$G:$J,2,0)*H1288</f>
        <v/>
      </c>
      <c r="M1288" s="39">
        <f>L1288-L1288*VLOOKUP($P1288,매칭테이블!$G:$J,3,0)</f>
        <v/>
      </c>
      <c r="N1288" s="39">
        <f>VLOOKUP($P1288,매칭테이블!$G:$J,4,0)*H1288</f>
        <v/>
      </c>
      <c r="O1288" s="55">
        <f>L1288/1.1</f>
        <v/>
      </c>
      <c r="P1288" s="39">
        <f>F1288&amp;E1288&amp;I1288&amp;J1288</f>
        <v/>
      </c>
    </row>
    <row r="1289">
      <c r="B1289" s="51" t="n">
        <v>44002</v>
      </c>
      <c r="C1289" s="39" t="inlineStr">
        <is>
          <t>토</t>
        </is>
      </c>
      <c r="E1289" s="39" t="inlineStr">
        <is>
          <t>고체향수</t>
        </is>
      </c>
      <c r="F1289" s="39" t="inlineStr">
        <is>
          <t>카페24</t>
        </is>
      </c>
      <c r="G1289" s="39" t="n"/>
      <c r="H1289" s="39" t="n">
        <v>57</v>
      </c>
      <c r="I1289" s="39" t="inlineStr">
        <is>
          <t>스테이포에버 + 쇼핑백</t>
        </is>
      </c>
      <c r="J1289" s="39" t="n">
        <v>200520</v>
      </c>
      <c r="L1289" s="39">
        <f>VLOOKUP($P1289,매칭테이블!$G:$J,2,0)*H1289</f>
        <v/>
      </c>
      <c r="M1289" s="39">
        <f>L1289-L1289*VLOOKUP($P1289,매칭테이블!$G:$J,3,0)</f>
        <v/>
      </c>
      <c r="N1289" s="39">
        <f>VLOOKUP($P1289,매칭테이블!$G:$J,4,0)*H1289</f>
        <v/>
      </c>
      <c r="O1289" s="55">
        <f>L1289/1.1</f>
        <v/>
      </c>
      <c r="P1289" s="39">
        <f>F1289&amp;E1289&amp;I1289&amp;J1289</f>
        <v/>
      </c>
    </row>
    <row r="1290" customFormat="1" s="39">
      <c r="B1290" s="51" t="n">
        <v>44003</v>
      </c>
      <c r="C1290" s="39" t="inlineStr">
        <is>
          <t>일</t>
        </is>
      </c>
      <c r="E1290" s="39" t="inlineStr">
        <is>
          <t>고체향수</t>
        </is>
      </c>
      <c r="F1290" s="39" t="inlineStr">
        <is>
          <t>카페24</t>
        </is>
      </c>
      <c r="H1290" s="39" t="n">
        <v>24</v>
      </c>
      <c r="I1290" s="39" t="inlineStr">
        <is>
          <t>스테이포에버 + 쇼핑백</t>
        </is>
      </c>
      <c r="J1290" s="39" t="n">
        <v>200520</v>
      </c>
      <c r="L1290" s="39">
        <f>VLOOKUP($P1290,매칭테이블!$G:$J,2,0)*H1290</f>
        <v/>
      </c>
      <c r="M1290" s="39">
        <f>L1290-L1290*VLOOKUP($P1290,매칭테이블!$G:$J,3,0)</f>
        <v/>
      </c>
      <c r="N1290" s="39">
        <f>VLOOKUP($P1290,매칭테이블!$G:$J,4,0)*H1290</f>
        <v/>
      </c>
      <c r="O1290" s="55">
        <f>L1290/1.1</f>
        <v/>
      </c>
      <c r="P1290" s="39">
        <f>F1290&amp;E1290&amp;I1290&amp;J1290</f>
        <v/>
      </c>
    </row>
    <row r="1291" customFormat="1" s="39">
      <c r="B1291" s="51" t="n">
        <v>44003</v>
      </c>
      <c r="C1291" s="39" t="inlineStr">
        <is>
          <t>일</t>
        </is>
      </c>
      <c r="E1291" s="39" t="inlineStr">
        <is>
          <t>고체향수</t>
        </is>
      </c>
      <c r="F1291" s="39" t="inlineStr">
        <is>
          <t>카페24</t>
        </is>
      </c>
      <c r="H1291" s="39" t="n">
        <v>1</v>
      </c>
      <c r="I1291" s="39" t="inlineStr">
        <is>
          <t>이그나이트 + 스테이포에버</t>
        </is>
      </c>
      <c r="J1291" s="39" t="n">
        <v>200520</v>
      </c>
      <c r="L1291" s="39">
        <f>VLOOKUP($P1291,매칭테이블!$G:$J,2,0)*H1291</f>
        <v/>
      </c>
      <c r="M1291" s="39">
        <f>L1291-L1291*VLOOKUP($P1291,매칭테이블!$G:$J,3,0)</f>
        <v/>
      </c>
      <c r="N1291" s="39">
        <f>VLOOKUP($P1291,매칭테이블!$G:$J,4,0)*H1291</f>
        <v/>
      </c>
      <c r="O1291" s="55">
        <f>L1291/1.1</f>
        <v/>
      </c>
      <c r="P1291" s="39">
        <f>F1291&amp;E1291&amp;I1291&amp;J1291</f>
        <v/>
      </c>
    </row>
    <row r="1292" customFormat="1" s="39">
      <c r="B1292" s="51" t="n">
        <v>44003</v>
      </c>
      <c r="C1292" s="39" t="inlineStr">
        <is>
          <t>일</t>
        </is>
      </c>
      <c r="E1292" s="39" t="inlineStr">
        <is>
          <t>고체향수</t>
        </is>
      </c>
      <c r="F1292" s="39" t="inlineStr">
        <is>
          <t>카페24</t>
        </is>
      </c>
      <c r="H1292" s="39" t="n">
        <v>17</v>
      </c>
      <c r="I1292" s="39" t="inlineStr">
        <is>
          <t>이그나이트</t>
        </is>
      </c>
      <c r="J1292" s="39" t="n">
        <v>200520</v>
      </c>
      <c r="L1292" s="39">
        <f>VLOOKUP($P1292,매칭테이블!$G:$J,2,0)*H1292</f>
        <v/>
      </c>
      <c r="M1292" s="39">
        <f>L1292-L1292*VLOOKUP($P1292,매칭테이블!$G:$J,3,0)</f>
        <v/>
      </c>
      <c r="N1292" s="39">
        <f>VLOOKUP($P1292,매칭테이블!$G:$J,4,0)*H1292</f>
        <v/>
      </c>
      <c r="O1292" s="55">
        <f>L1292/1.1</f>
        <v/>
      </c>
      <c r="P1292" s="39">
        <f>F1292&amp;E1292&amp;I1292&amp;J1292</f>
        <v/>
      </c>
    </row>
    <row r="1293">
      <c r="B1293" s="51" t="n">
        <v>44003</v>
      </c>
      <c r="C1293" s="39" t="inlineStr">
        <is>
          <t>일</t>
        </is>
      </c>
      <c r="E1293" s="39" t="inlineStr">
        <is>
          <t>고체향수</t>
        </is>
      </c>
      <c r="F1293" s="39" t="inlineStr">
        <is>
          <t>카페24</t>
        </is>
      </c>
      <c r="G1293" s="39" t="n"/>
      <c r="H1293" s="39" t="n">
        <v>46</v>
      </c>
      <c r="I1293" s="39" t="inlineStr">
        <is>
          <t>스테이포에버</t>
        </is>
      </c>
      <c r="J1293" s="39" t="n">
        <v>200520</v>
      </c>
      <c r="L1293" s="39">
        <f>VLOOKUP($P1293,매칭테이블!$G:$J,2,0)*H1293</f>
        <v/>
      </c>
      <c r="M1293" s="39">
        <f>L1293-L1293*VLOOKUP($P1293,매칭테이블!$G:$J,3,0)</f>
        <v/>
      </c>
      <c r="N1293" s="39">
        <f>VLOOKUP($P1293,매칭테이블!$G:$J,4,0)*H1293</f>
        <v/>
      </c>
      <c r="O1293" s="55">
        <f>L1293/1.1</f>
        <v/>
      </c>
      <c r="P1293" s="39">
        <f>F1293&amp;E1293&amp;I1293&amp;J1293</f>
        <v/>
      </c>
    </row>
    <row r="1294">
      <c r="B1294" s="51" t="n">
        <v>44003</v>
      </c>
      <c r="C1294" s="39" t="inlineStr">
        <is>
          <t>일</t>
        </is>
      </c>
      <c r="E1294" s="39" t="inlineStr">
        <is>
          <t>쇼핑백</t>
        </is>
      </c>
      <c r="F1294" s="39" t="inlineStr">
        <is>
          <t>카페24</t>
        </is>
      </c>
      <c r="G1294" s="39" t="n"/>
      <c r="H1294" s="39" t="n">
        <v>2</v>
      </c>
      <c r="I1294" s="39" t="inlineStr">
        <is>
          <t>유즈쇼핑백</t>
        </is>
      </c>
      <c r="J1294" s="39" t="n">
        <v>200520</v>
      </c>
      <c r="L1294" s="39">
        <f>VLOOKUP($P1294,매칭테이블!$G:$J,2,0)*H1294</f>
        <v/>
      </c>
      <c r="M1294" s="39">
        <f>L1294-L1294*VLOOKUP($P1294,매칭테이블!$G:$J,3,0)</f>
        <v/>
      </c>
      <c r="N1294" s="39">
        <f>VLOOKUP($P1294,매칭테이블!$G:$J,4,0)*H1294</f>
        <v/>
      </c>
      <c r="O1294" s="55">
        <f>L1294/1.1</f>
        <v/>
      </c>
      <c r="P1294" s="39">
        <f>F1294&amp;E1294&amp;I1294&amp;J1294</f>
        <v/>
      </c>
    </row>
    <row r="1295">
      <c r="B1295" s="51" t="n">
        <v>44003</v>
      </c>
      <c r="C1295" s="39" t="inlineStr">
        <is>
          <t>일</t>
        </is>
      </c>
      <c r="E1295" s="39" t="inlineStr">
        <is>
          <t>고체향수</t>
        </is>
      </c>
      <c r="F1295" s="39" t="inlineStr">
        <is>
          <t>카페24</t>
        </is>
      </c>
      <c r="G1295" s="39" t="n"/>
      <c r="H1295" s="39" t="n">
        <v>7</v>
      </c>
      <c r="I1295" s="39" t="inlineStr">
        <is>
          <t>이그나이트 + 쇼핑백</t>
        </is>
      </c>
      <c r="J1295" s="39" t="n">
        <v>200520</v>
      </c>
      <c r="L1295" s="39">
        <f>VLOOKUP($P1295,매칭테이블!$G:$J,2,0)*H1295</f>
        <v/>
      </c>
      <c r="M1295" s="39">
        <f>L1295-L1295*VLOOKUP($P1295,매칭테이블!$G:$J,3,0)</f>
        <v/>
      </c>
      <c r="N1295" s="39">
        <f>VLOOKUP($P1295,매칭테이블!$G:$J,4,0)*H1295</f>
        <v/>
      </c>
      <c r="O1295" s="55">
        <f>L1295/1.1</f>
        <v/>
      </c>
      <c r="P1295" s="39">
        <f>F1295&amp;E1295&amp;I1295&amp;J1295</f>
        <v/>
      </c>
    </row>
    <row r="1296">
      <c r="B1296" s="51" t="n">
        <v>44004</v>
      </c>
      <c r="C1296" s="39" t="inlineStr">
        <is>
          <t>월</t>
        </is>
      </c>
      <c r="E1296" s="39" t="inlineStr">
        <is>
          <t>고체향수</t>
        </is>
      </c>
      <c r="F1296" s="39" t="inlineStr">
        <is>
          <t>카페24</t>
        </is>
      </c>
      <c r="G1296" s="39" t="n"/>
      <c r="H1296" s="39" t="n">
        <v>17</v>
      </c>
      <c r="I1296" s="39" t="inlineStr">
        <is>
          <t>이그나이트</t>
        </is>
      </c>
      <c r="J1296" s="20" t="n">
        <v>200622</v>
      </c>
      <c r="L1296" s="39">
        <f>VLOOKUP($P1296,매칭테이블!$G:$J,2,0)*H1296</f>
        <v/>
      </c>
      <c r="M1296" s="39">
        <f>L1296-L1296*VLOOKUP($P1296,매칭테이블!$G:$J,3,0)</f>
        <v/>
      </c>
      <c r="N1296" s="39">
        <f>VLOOKUP($P1296,매칭테이블!$G:$J,4,0)*H1296</f>
        <v/>
      </c>
      <c r="O1296" s="55">
        <f>L1296/1.1</f>
        <v/>
      </c>
      <c r="P1296" s="39">
        <f>F1296&amp;E1296&amp;I1296&amp;J1296</f>
        <v/>
      </c>
    </row>
    <row r="1297">
      <c r="B1297" s="51" t="n">
        <v>44004</v>
      </c>
      <c r="C1297" s="39" t="inlineStr">
        <is>
          <t>월</t>
        </is>
      </c>
      <c r="E1297" s="39" t="inlineStr">
        <is>
          <t>고체향수</t>
        </is>
      </c>
      <c r="F1297" s="39" t="inlineStr">
        <is>
          <t>카페24</t>
        </is>
      </c>
      <c r="G1297" s="39" t="n"/>
      <c r="H1297" s="39" t="n">
        <v>57</v>
      </c>
      <c r="I1297" s="39" t="inlineStr">
        <is>
          <t>스테이포에버</t>
        </is>
      </c>
      <c r="J1297" s="20" t="n">
        <v>200622</v>
      </c>
      <c r="L1297" s="39">
        <f>VLOOKUP($P1297,매칭테이블!$G:$J,2,0)*H1297</f>
        <v/>
      </c>
      <c r="M1297" s="39">
        <f>L1297-L1297*VLOOKUP($P1297,매칭테이블!$G:$J,3,0)</f>
        <v/>
      </c>
      <c r="N1297" s="39">
        <f>VLOOKUP($P1297,매칭테이블!$G:$J,4,0)*H1297</f>
        <v/>
      </c>
      <c r="O1297" s="55">
        <f>L1297/1.1</f>
        <v/>
      </c>
      <c r="P1297" s="39">
        <f>F1297&amp;E1297&amp;I1297&amp;J1297</f>
        <v/>
      </c>
    </row>
    <row r="1298">
      <c r="B1298" s="51" t="n">
        <v>44004</v>
      </c>
      <c r="C1298" s="39" t="inlineStr">
        <is>
          <t>월</t>
        </is>
      </c>
      <c r="E1298" s="39" t="inlineStr">
        <is>
          <t>고체향수</t>
        </is>
      </c>
      <c r="F1298" s="39" t="inlineStr">
        <is>
          <t>카페24</t>
        </is>
      </c>
      <c r="G1298" s="39" t="n"/>
      <c r="H1298" s="39" t="n">
        <v>2</v>
      </c>
      <c r="I1298" s="39" t="inlineStr">
        <is>
          <t>이그나이트 + 쇼핑백</t>
        </is>
      </c>
      <c r="J1298" s="39" t="n">
        <v>200520</v>
      </c>
      <c r="L1298" s="39">
        <f>VLOOKUP($P1298,매칭테이블!$G:$J,2,0)*H1298</f>
        <v/>
      </c>
      <c r="M1298" s="39">
        <f>L1298-L1298*VLOOKUP($P1298,매칭테이블!$G:$J,3,0)</f>
        <v/>
      </c>
      <c r="N1298" s="39">
        <f>VLOOKUP($P1298,매칭테이블!$G:$J,4,0)*H1298</f>
        <v/>
      </c>
      <c r="O1298" s="55">
        <f>L1298/1.1</f>
        <v/>
      </c>
      <c r="P1298" s="39">
        <f>F1298&amp;E1298&amp;I1298&amp;J1298</f>
        <v/>
      </c>
    </row>
    <row r="1299">
      <c r="B1299" s="51" t="n">
        <v>44005</v>
      </c>
      <c r="C1299" s="39" t="inlineStr">
        <is>
          <t>화</t>
        </is>
      </c>
      <c r="E1299" s="39" t="inlineStr">
        <is>
          <t>고체향수</t>
        </is>
      </c>
      <c r="F1299" s="39" t="inlineStr">
        <is>
          <t>카페24</t>
        </is>
      </c>
      <c r="G1299" s="39" t="n"/>
      <c r="H1299" s="39" t="n">
        <v>1</v>
      </c>
      <c r="I1299" s="39" t="inlineStr">
        <is>
          <t>이그나이트 + 스테이포에버</t>
        </is>
      </c>
      <c r="J1299" s="20" t="n">
        <v>200622</v>
      </c>
      <c r="L1299" s="39">
        <f>VLOOKUP($P1299,매칭테이블!$G:$J,2,0)*H1299</f>
        <v/>
      </c>
      <c r="M1299" s="39">
        <f>L1299-L1299*VLOOKUP($P1299,매칭테이블!$G:$J,3,0)</f>
        <v/>
      </c>
      <c r="N1299" s="39">
        <f>VLOOKUP($P1299,매칭테이블!$G:$J,4,0)*H1299</f>
        <v/>
      </c>
      <c r="O1299" s="55">
        <f>L1299/1.1</f>
        <v/>
      </c>
      <c r="P1299" s="39">
        <f>F1299&amp;E1299&amp;I1299&amp;J1299</f>
        <v/>
      </c>
    </row>
    <row r="1300">
      <c r="B1300" s="51" t="n">
        <v>44005</v>
      </c>
      <c r="C1300" s="39" t="inlineStr">
        <is>
          <t>화</t>
        </is>
      </c>
      <c r="E1300" s="39" t="inlineStr">
        <is>
          <t>고체향수</t>
        </is>
      </c>
      <c r="F1300" s="39" t="inlineStr">
        <is>
          <t>카페24</t>
        </is>
      </c>
      <c r="G1300" s="39" t="n"/>
      <c r="H1300" s="39" t="n">
        <v>29</v>
      </c>
      <c r="I1300" s="39" t="inlineStr">
        <is>
          <t>이그나이트</t>
        </is>
      </c>
      <c r="J1300" s="20" t="n">
        <v>200622</v>
      </c>
      <c r="L1300" s="39">
        <f>VLOOKUP($P1300,매칭테이블!$G:$J,2,0)*H1300</f>
        <v/>
      </c>
      <c r="M1300" s="39">
        <f>L1300-L1300*VLOOKUP($P1300,매칭테이블!$G:$J,3,0)</f>
        <v/>
      </c>
      <c r="N1300" s="39">
        <f>VLOOKUP($P1300,매칭테이블!$G:$J,4,0)*H1300</f>
        <v/>
      </c>
      <c r="O1300" s="55">
        <f>L1300/1.1</f>
        <v/>
      </c>
      <c r="P1300" s="39">
        <f>F1300&amp;E1300&amp;I1300&amp;J1300</f>
        <v/>
      </c>
    </row>
    <row r="1301">
      <c r="B1301" s="51" t="n">
        <v>44005</v>
      </c>
      <c r="C1301" s="39" t="inlineStr">
        <is>
          <t>화</t>
        </is>
      </c>
      <c r="E1301" s="39" t="inlineStr">
        <is>
          <t>고체향수</t>
        </is>
      </c>
      <c r="F1301" s="39" t="inlineStr">
        <is>
          <t>카페24</t>
        </is>
      </c>
      <c r="G1301" s="39" t="n"/>
      <c r="H1301" s="39" t="n">
        <v>59</v>
      </c>
      <c r="I1301" s="39" t="inlineStr">
        <is>
          <t>스테이포에버</t>
        </is>
      </c>
      <c r="J1301" s="20" t="n">
        <v>200622</v>
      </c>
      <c r="L1301" s="39">
        <f>VLOOKUP($P1301,매칭테이블!$G:$J,2,0)*H1301</f>
        <v/>
      </c>
      <c r="M1301" s="39">
        <f>L1301-L1301*VLOOKUP($P1301,매칭테이블!$G:$J,3,0)</f>
        <v/>
      </c>
      <c r="N1301" s="39">
        <f>VLOOKUP($P1301,매칭테이블!$G:$J,4,0)*H1301</f>
        <v/>
      </c>
      <c r="O1301" s="55">
        <f>L1301/1.1</f>
        <v/>
      </c>
      <c r="P1301" s="39">
        <f>F1301&amp;E1301&amp;I1301&amp;J1301</f>
        <v/>
      </c>
    </row>
    <row r="1302">
      <c r="B1302" s="51" t="n">
        <v>44005</v>
      </c>
      <c r="C1302" s="39" t="inlineStr">
        <is>
          <t>화</t>
        </is>
      </c>
      <c r="E1302" s="39" t="inlineStr">
        <is>
          <t>쇼핑백</t>
        </is>
      </c>
      <c r="F1302" s="39" t="inlineStr">
        <is>
          <t>카페24</t>
        </is>
      </c>
      <c r="G1302" s="39" t="n"/>
      <c r="H1302" s="39" t="n">
        <v>2</v>
      </c>
      <c r="I1302" s="39" t="inlineStr">
        <is>
          <t>유즈쇼핑백</t>
        </is>
      </c>
      <c r="J1302" s="20" t="n">
        <v>200622</v>
      </c>
      <c r="L1302" s="39">
        <f>VLOOKUP($P1302,매칭테이블!$G:$J,2,0)*H1302</f>
        <v/>
      </c>
      <c r="M1302" s="39">
        <f>L1302-L1302*VLOOKUP($P1302,매칭테이블!$G:$J,3,0)</f>
        <v/>
      </c>
      <c r="N1302" s="39">
        <f>VLOOKUP($P1302,매칭테이블!$G:$J,4,0)*H1302</f>
        <v/>
      </c>
      <c r="O1302" s="55">
        <f>L1302/1.1</f>
        <v/>
      </c>
      <c r="P1302" s="39">
        <f>F1302&amp;E1302&amp;I1302&amp;J1302</f>
        <v/>
      </c>
    </row>
    <row r="1303">
      <c r="B1303" s="51" t="n">
        <v>44006</v>
      </c>
      <c r="C1303" s="39" t="inlineStr">
        <is>
          <t>수</t>
        </is>
      </c>
      <c r="E1303" s="39" t="inlineStr">
        <is>
          <t>고체향수</t>
        </is>
      </c>
      <c r="F1303" s="39" t="inlineStr">
        <is>
          <t>카페24</t>
        </is>
      </c>
      <c r="G1303" s="39" t="n"/>
      <c r="H1303" s="39" t="n">
        <v>4</v>
      </c>
      <c r="I1303" s="39" t="inlineStr">
        <is>
          <t>이그나이트 + 스테이포에버</t>
        </is>
      </c>
      <c r="J1303" s="20" t="n">
        <v>200622</v>
      </c>
      <c r="L1303" s="39">
        <f>VLOOKUP($P1303,매칭테이블!$G:$J,2,0)*H1303</f>
        <v/>
      </c>
      <c r="M1303" s="39">
        <f>L1303-L1303*VLOOKUP($P1303,매칭테이블!$G:$J,3,0)</f>
        <v/>
      </c>
      <c r="N1303" s="39">
        <f>VLOOKUP($P1303,매칭테이블!$G:$J,4,0)*H1303</f>
        <v/>
      </c>
      <c r="O1303" s="55">
        <f>L1303/1.1</f>
        <v/>
      </c>
      <c r="P1303" s="39">
        <f>F1303&amp;E1303&amp;I1303&amp;J1303</f>
        <v/>
      </c>
    </row>
    <row r="1304">
      <c r="B1304" s="51" t="n">
        <v>44006</v>
      </c>
      <c r="C1304" s="39" t="inlineStr">
        <is>
          <t>수</t>
        </is>
      </c>
      <c r="E1304" s="39" t="inlineStr">
        <is>
          <t>고체향수</t>
        </is>
      </c>
      <c r="F1304" s="39" t="inlineStr">
        <is>
          <t>카페24</t>
        </is>
      </c>
      <c r="G1304" s="39" t="n"/>
      <c r="H1304" s="39" t="n">
        <v>30</v>
      </c>
      <c r="I1304" s="39" t="inlineStr">
        <is>
          <t>이그나이트</t>
        </is>
      </c>
      <c r="J1304" s="20" t="n">
        <v>200622</v>
      </c>
      <c r="L1304" s="39">
        <f>VLOOKUP($P1304,매칭테이블!$G:$J,2,0)*H1304</f>
        <v/>
      </c>
      <c r="M1304" s="39">
        <f>L1304-L1304*VLOOKUP($P1304,매칭테이블!$G:$J,3,0)</f>
        <v/>
      </c>
      <c r="N1304" s="39">
        <f>VLOOKUP($P1304,매칭테이블!$G:$J,4,0)*H1304</f>
        <v/>
      </c>
      <c r="O1304" s="55">
        <f>L1304/1.1</f>
        <v/>
      </c>
      <c r="P1304" s="39">
        <f>F1304&amp;E1304&amp;I1304&amp;J1304</f>
        <v/>
      </c>
    </row>
    <row r="1305">
      <c r="B1305" s="51" t="n">
        <v>44006</v>
      </c>
      <c r="C1305" s="39" t="inlineStr">
        <is>
          <t>수</t>
        </is>
      </c>
      <c r="E1305" s="39" t="inlineStr">
        <is>
          <t>고체향수</t>
        </is>
      </c>
      <c r="F1305" s="39" t="inlineStr">
        <is>
          <t>카페24</t>
        </is>
      </c>
      <c r="G1305" s="39" t="n"/>
      <c r="H1305" s="39" t="n">
        <v>54</v>
      </c>
      <c r="I1305" s="39" t="inlineStr">
        <is>
          <t>스테이포에버</t>
        </is>
      </c>
      <c r="J1305" s="20" t="n">
        <v>200622</v>
      </c>
      <c r="L1305" s="39">
        <f>VLOOKUP($P1305,매칭테이블!$G:$J,2,0)*H1305</f>
        <v/>
      </c>
      <c r="M1305" s="39">
        <f>L1305-L1305*VLOOKUP($P1305,매칭테이블!$G:$J,3,0)</f>
        <v/>
      </c>
      <c r="N1305" s="39">
        <f>VLOOKUP($P1305,매칭테이블!$G:$J,4,0)*H1305</f>
        <v/>
      </c>
      <c r="O1305" s="55">
        <f>L1305/1.1</f>
        <v/>
      </c>
      <c r="P1305" s="39">
        <f>F1305&amp;E1305&amp;I1305&amp;J1305</f>
        <v/>
      </c>
    </row>
    <row r="1306">
      <c r="B1306" s="51" t="n">
        <v>44007</v>
      </c>
      <c r="C1306" s="39" t="inlineStr">
        <is>
          <t>목</t>
        </is>
      </c>
      <c r="E1306" s="39" t="inlineStr">
        <is>
          <t>고체향수</t>
        </is>
      </c>
      <c r="F1306" s="39" t="inlineStr">
        <is>
          <t>카페24</t>
        </is>
      </c>
      <c r="G1306" s="39" t="n"/>
      <c r="H1306" s="39" t="n">
        <v>1</v>
      </c>
      <c r="I1306" s="39" t="inlineStr">
        <is>
          <t>이그나이트 + 스테이포에버</t>
        </is>
      </c>
      <c r="J1306" s="20" t="n">
        <v>200622</v>
      </c>
      <c r="L1306" s="39">
        <f>VLOOKUP($P1306,매칭테이블!$G:$J,2,0)*H1306</f>
        <v/>
      </c>
      <c r="M1306" s="39">
        <f>L1306-L1306*VLOOKUP($P1306,매칭테이블!$G:$J,3,0)</f>
        <v/>
      </c>
      <c r="N1306" s="39">
        <f>VLOOKUP($P1306,매칭테이블!$G:$J,4,0)*H1306</f>
        <v/>
      </c>
      <c r="O1306" s="55">
        <f>L1306/1.1</f>
        <v/>
      </c>
      <c r="P1306" s="39">
        <f>F1306&amp;E1306&amp;I1306&amp;J1306</f>
        <v/>
      </c>
    </row>
    <row r="1307">
      <c r="B1307" s="51" t="n">
        <v>44007</v>
      </c>
      <c r="C1307" s="39" t="inlineStr">
        <is>
          <t>목</t>
        </is>
      </c>
      <c r="E1307" s="39" t="inlineStr">
        <is>
          <t>고체향수</t>
        </is>
      </c>
      <c r="F1307" s="39" t="inlineStr">
        <is>
          <t>카페24</t>
        </is>
      </c>
      <c r="G1307" s="39" t="n"/>
      <c r="H1307" s="39" t="n">
        <v>21</v>
      </c>
      <c r="I1307" s="39" t="inlineStr">
        <is>
          <t>이그나이트</t>
        </is>
      </c>
      <c r="J1307" s="20" t="n">
        <v>200622</v>
      </c>
      <c r="L1307" s="39">
        <f>VLOOKUP($P1307,매칭테이블!$G:$J,2,0)*H1307</f>
        <v/>
      </c>
      <c r="M1307" s="39">
        <f>L1307-L1307*VLOOKUP($P1307,매칭테이블!$G:$J,3,0)</f>
        <v/>
      </c>
      <c r="N1307" s="39">
        <f>VLOOKUP($P1307,매칭테이블!$G:$J,4,0)*H1307</f>
        <v/>
      </c>
      <c r="O1307" s="55">
        <f>L1307/1.1</f>
        <v/>
      </c>
      <c r="P1307" s="39">
        <f>F1307&amp;E1307&amp;I1307&amp;J1307</f>
        <v/>
      </c>
    </row>
    <row r="1308">
      <c r="B1308" s="51" t="n">
        <v>44007</v>
      </c>
      <c r="C1308" s="39" t="inlineStr">
        <is>
          <t>목</t>
        </is>
      </c>
      <c r="E1308" s="39" t="inlineStr">
        <is>
          <t>고체향수</t>
        </is>
      </c>
      <c r="F1308" s="39" t="inlineStr">
        <is>
          <t>카페24</t>
        </is>
      </c>
      <c r="G1308" s="39" t="n"/>
      <c r="H1308" s="39" t="n">
        <v>71</v>
      </c>
      <c r="I1308" s="39" t="inlineStr">
        <is>
          <t>스테이포에버</t>
        </is>
      </c>
      <c r="J1308" s="20" t="n">
        <v>200622</v>
      </c>
      <c r="L1308" s="39">
        <f>VLOOKUP($P1308,매칭테이블!$G:$J,2,0)*H1308</f>
        <v/>
      </c>
      <c r="M1308" s="39">
        <f>L1308-L1308*VLOOKUP($P1308,매칭테이블!$G:$J,3,0)</f>
        <v/>
      </c>
      <c r="N1308" s="39">
        <f>VLOOKUP($P1308,매칭테이블!$G:$J,4,0)*H1308</f>
        <v/>
      </c>
      <c r="O1308" s="55">
        <f>L1308/1.1</f>
        <v/>
      </c>
      <c r="P1308" s="39">
        <f>F1308&amp;E1308&amp;I1308&amp;J1308</f>
        <v/>
      </c>
    </row>
    <row r="1309">
      <c r="B1309" s="51" t="n">
        <v>44007</v>
      </c>
      <c r="C1309" s="39" t="inlineStr">
        <is>
          <t>목</t>
        </is>
      </c>
      <c r="E1309" s="39" t="inlineStr">
        <is>
          <t>쇼핑백</t>
        </is>
      </c>
      <c r="F1309" s="39" t="inlineStr">
        <is>
          <t>카페24</t>
        </is>
      </c>
      <c r="G1309" s="39" t="n"/>
      <c r="H1309" s="39" t="n">
        <v>1</v>
      </c>
      <c r="I1309" s="39" t="inlineStr">
        <is>
          <t>유즈쇼핑백</t>
        </is>
      </c>
      <c r="J1309" s="20" t="n">
        <v>200622</v>
      </c>
      <c r="L1309" s="39">
        <f>VLOOKUP($P1309,매칭테이블!$G:$J,2,0)*H1309</f>
        <v/>
      </c>
      <c r="M1309" s="39">
        <f>L1309-L1309*VLOOKUP($P1309,매칭테이블!$G:$J,3,0)</f>
        <v/>
      </c>
      <c r="N1309" s="39">
        <f>VLOOKUP($P1309,매칭테이블!$G:$J,4,0)*H1309</f>
        <v/>
      </c>
      <c r="O1309" s="55">
        <f>L1309/1.1</f>
        <v/>
      </c>
      <c r="P1309" s="39">
        <f>F1309&amp;E1309&amp;I1309&amp;J1309</f>
        <v/>
      </c>
    </row>
    <row r="1310">
      <c r="B1310" s="51" t="n">
        <v>44008</v>
      </c>
      <c r="C1310" s="39" t="inlineStr">
        <is>
          <t>금</t>
        </is>
      </c>
      <c r="E1310" s="39" t="inlineStr">
        <is>
          <t>고체향수</t>
        </is>
      </c>
      <c r="F1310" s="39" t="inlineStr">
        <is>
          <t>카페24</t>
        </is>
      </c>
      <c r="G1310" s="39" t="n"/>
      <c r="H1310" s="39" t="n">
        <v>2</v>
      </c>
      <c r="I1310" s="39" t="inlineStr">
        <is>
          <t>이그나이트 + 스테이포에버</t>
        </is>
      </c>
      <c r="J1310" s="20" t="n">
        <v>200622</v>
      </c>
      <c r="L1310" s="39">
        <f>VLOOKUP($P1310,매칭테이블!$G:$J,2,0)*H1310</f>
        <v/>
      </c>
      <c r="M1310" s="39">
        <f>L1310-L1310*VLOOKUP($P1310,매칭테이블!$G:$J,3,0)</f>
        <v/>
      </c>
      <c r="N1310" s="39">
        <f>VLOOKUP($P1310,매칭테이블!$G:$J,4,0)*H1310</f>
        <v/>
      </c>
      <c r="O1310" s="55">
        <f>L1310/1.1</f>
        <v/>
      </c>
      <c r="P1310" s="39">
        <f>F1310&amp;E1310&amp;I1310&amp;J1310</f>
        <v/>
      </c>
    </row>
    <row r="1311">
      <c r="B1311" s="51" t="n">
        <v>44008</v>
      </c>
      <c r="C1311" s="39" t="inlineStr">
        <is>
          <t>금</t>
        </is>
      </c>
      <c r="E1311" s="39" t="inlineStr">
        <is>
          <t>고체향수</t>
        </is>
      </c>
      <c r="F1311" s="39" t="inlineStr">
        <is>
          <t>카페24</t>
        </is>
      </c>
      <c r="G1311" s="39" t="n"/>
      <c r="H1311" s="39" t="n">
        <v>20</v>
      </c>
      <c r="I1311" s="39" t="inlineStr">
        <is>
          <t>이그나이트</t>
        </is>
      </c>
      <c r="J1311" s="20" t="n">
        <v>200622</v>
      </c>
      <c r="L1311" s="39">
        <f>VLOOKUP($P1311,매칭테이블!$G:$J,2,0)*H1311</f>
        <v/>
      </c>
      <c r="M1311" s="39">
        <f>L1311-L1311*VLOOKUP($P1311,매칭테이블!$G:$J,3,0)</f>
        <v/>
      </c>
      <c r="N1311" s="39">
        <f>VLOOKUP($P1311,매칭테이블!$G:$J,4,0)*H1311</f>
        <v/>
      </c>
      <c r="O1311" s="55">
        <f>L1311/1.1</f>
        <v/>
      </c>
      <c r="P1311" s="39">
        <f>F1311&amp;E1311&amp;I1311&amp;J1311</f>
        <v/>
      </c>
    </row>
    <row r="1312">
      <c r="B1312" s="51" t="n">
        <v>44008</v>
      </c>
      <c r="C1312" s="39" t="inlineStr">
        <is>
          <t>금</t>
        </is>
      </c>
      <c r="E1312" s="39" t="inlineStr">
        <is>
          <t>고체향수</t>
        </is>
      </c>
      <c r="F1312" s="39" t="inlineStr">
        <is>
          <t>카페24</t>
        </is>
      </c>
      <c r="G1312" s="39" t="n"/>
      <c r="H1312" s="39" t="n">
        <v>53</v>
      </c>
      <c r="I1312" s="39" t="inlineStr">
        <is>
          <t>스테이포에버</t>
        </is>
      </c>
      <c r="J1312" s="20" t="n">
        <v>200622</v>
      </c>
      <c r="L1312" s="39">
        <f>VLOOKUP($P1312,매칭테이블!$G:$J,2,0)*H1312</f>
        <v/>
      </c>
      <c r="M1312" s="39">
        <f>L1312-L1312*VLOOKUP($P1312,매칭테이블!$G:$J,3,0)</f>
        <v/>
      </c>
      <c r="N1312" s="39">
        <f>VLOOKUP($P1312,매칭테이블!$G:$J,4,0)*H1312</f>
        <v/>
      </c>
      <c r="O1312" s="55">
        <f>L1312/1.1</f>
        <v/>
      </c>
      <c r="P1312" s="39">
        <f>F1312&amp;E1312&amp;I1312&amp;J1312</f>
        <v/>
      </c>
    </row>
    <row r="1313">
      <c r="B1313" s="51" t="n">
        <v>44008</v>
      </c>
      <c r="C1313" s="39" t="inlineStr">
        <is>
          <t>금</t>
        </is>
      </c>
      <c r="E1313" s="39" t="inlineStr">
        <is>
          <t>쇼핑백</t>
        </is>
      </c>
      <c r="F1313" s="39" t="inlineStr">
        <is>
          <t>카페24</t>
        </is>
      </c>
      <c r="G1313" s="39" t="n"/>
      <c r="H1313" s="39" t="n">
        <v>2</v>
      </c>
      <c r="I1313" s="39" t="inlineStr">
        <is>
          <t>유즈쇼핑백</t>
        </is>
      </c>
      <c r="J1313" s="20" t="n">
        <v>200622</v>
      </c>
      <c r="L1313" s="39">
        <f>VLOOKUP($P1313,매칭테이블!$G:$J,2,0)*H1313</f>
        <v/>
      </c>
      <c r="M1313" s="39">
        <f>L1313-L1313*VLOOKUP($P1313,매칭테이블!$G:$J,3,0)</f>
        <v/>
      </c>
      <c r="N1313" s="39">
        <f>VLOOKUP($P1313,매칭테이블!$G:$J,4,0)*H1313</f>
        <v/>
      </c>
      <c r="O1313" s="55">
        <f>L1313/1.1</f>
        <v/>
      </c>
      <c r="P1313" s="39">
        <f>F1313&amp;E1313&amp;I1313&amp;J1313</f>
        <v/>
      </c>
    </row>
    <row r="1314">
      <c r="B1314" s="51" t="n">
        <v>44009</v>
      </c>
      <c r="C1314" s="39" t="inlineStr">
        <is>
          <t>토</t>
        </is>
      </c>
      <c r="E1314" s="39" t="inlineStr">
        <is>
          <t>고체향수</t>
        </is>
      </c>
      <c r="F1314" s="39" t="inlineStr">
        <is>
          <t>카페24</t>
        </is>
      </c>
      <c r="G1314" s="39" t="n"/>
      <c r="H1314" s="39" t="n">
        <v>21</v>
      </c>
      <c r="I1314" s="39" t="inlineStr">
        <is>
          <t>이그나이트</t>
        </is>
      </c>
      <c r="J1314" s="20" t="n">
        <v>200622</v>
      </c>
      <c r="L1314" s="39">
        <f>VLOOKUP($P1314,매칭테이블!$G:$J,2,0)*H1314</f>
        <v/>
      </c>
      <c r="M1314" s="39">
        <f>L1314-L1314*VLOOKUP($P1314,매칭테이블!$G:$J,3,0)</f>
        <v/>
      </c>
      <c r="N1314" s="39">
        <f>VLOOKUP($P1314,매칭테이블!$G:$J,4,0)*H1314</f>
        <v/>
      </c>
      <c r="O1314" s="55">
        <f>L1314/1.1</f>
        <v/>
      </c>
      <c r="P1314" s="39">
        <f>F1314&amp;E1314&amp;I1314&amp;J1314</f>
        <v/>
      </c>
    </row>
    <row r="1315">
      <c r="B1315" s="51" t="n">
        <v>44009</v>
      </c>
      <c r="C1315" s="39" t="inlineStr">
        <is>
          <t>토</t>
        </is>
      </c>
      <c r="E1315" s="39" t="inlineStr">
        <is>
          <t>고체향수</t>
        </is>
      </c>
      <c r="F1315" s="39" t="inlineStr">
        <is>
          <t>카페24</t>
        </is>
      </c>
      <c r="G1315" s="39" t="n"/>
      <c r="H1315" s="39" t="n">
        <v>48</v>
      </c>
      <c r="I1315" s="39" t="inlineStr">
        <is>
          <t>스테이포에버</t>
        </is>
      </c>
      <c r="J1315" s="20" t="n">
        <v>200622</v>
      </c>
      <c r="L1315" s="39">
        <f>VLOOKUP($P1315,매칭테이블!$G:$J,2,0)*H1315</f>
        <v/>
      </c>
      <c r="M1315" s="39">
        <f>L1315-L1315*VLOOKUP($P1315,매칭테이블!$G:$J,3,0)</f>
        <v/>
      </c>
      <c r="N1315" s="39">
        <f>VLOOKUP($P1315,매칭테이블!$G:$J,4,0)*H1315</f>
        <v/>
      </c>
      <c r="O1315" s="55">
        <f>L1315/1.1</f>
        <v/>
      </c>
      <c r="P1315" s="39">
        <f>F1315&amp;E1315&amp;I1315&amp;J1315</f>
        <v/>
      </c>
    </row>
    <row r="1316">
      <c r="B1316" s="51" t="n">
        <v>44009</v>
      </c>
      <c r="C1316" s="39" t="inlineStr">
        <is>
          <t>토</t>
        </is>
      </c>
      <c r="E1316" s="39" t="inlineStr">
        <is>
          <t>쇼핑백</t>
        </is>
      </c>
      <c r="F1316" s="39" t="inlineStr">
        <is>
          <t>카페24</t>
        </is>
      </c>
      <c r="G1316" s="39" t="n"/>
      <c r="H1316" s="39" t="n">
        <v>1</v>
      </c>
      <c r="I1316" s="39" t="inlineStr">
        <is>
          <t>유즈쇼핑백</t>
        </is>
      </c>
      <c r="J1316" s="20" t="n">
        <v>200622</v>
      </c>
      <c r="L1316" s="39">
        <f>VLOOKUP($P1316,매칭테이블!$G:$J,2,0)*H1316</f>
        <v/>
      </c>
      <c r="M1316" s="39">
        <f>L1316-L1316*VLOOKUP($P1316,매칭테이블!$G:$J,3,0)</f>
        <v/>
      </c>
      <c r="N1316" s="39">
        <f>VLOOKUP($P1316,매칭테이블!$G:$J,4,0)*H1316</f>
        <v/>
      </c>
      <c r="O1316" s="55">
        <f>L1316/1.1</f>
        <v/>
      </c>
      <c r="P1316" s="39">
        <f>F1316&amp;E1316&amp;I1316&amp;J1316</f>
        <v/>
      </c>
    </row>
    <row r="1317">
      <c r="B1317" s="51" t="n">
        <v>44010</v>
      </c>
      <c r="C1317" s="39" t="inlineStr">
        <is>
          <t>일</t>
        </is>
      </c>
      <c r="E1317" s="39" t="inlineStr">
        <is>
          <t>고체향수</t>
        </is>
      </c>
      <c r="F1317" s="39" t="inlineStr">
        <is>
          <t>카페24</t>
        </is>
      </c>
      <c r="G1317" s="39" t="n"/>
      <c r="H1317" s="39" t="n">
        <v>2</v>
      </c>
      <c r="I1317" s="39" t="inlineStr">
        <is>
          <t>이그나이트 + 스테이포에버</t>
        </is>
      </c>
      <c r="J1317" s="20" t="n">
        <v>200622</v>
      </c>
      <c r="L1317" s="39">
        <f>VLOOKUP($P1317,매칭테이블!$G:$J,2,0)*H1317</f>
        <v/>
      </c>
      <c r="M1317" s="39">
        <f>L1317-L1317*VLOOKUP($P1317,매칭테이블!$G:$J,3,0)</f>
        <v/>
      </c>
      <c r="N1317" s="39">
        <f>VLOOKUP($P1317,매칭테이블!$G:$J,4,0)*H1317</f>
        <v/>
      </c>
      <c r="O1317" s="55">
        <f>L1317/1.1</f>
        <v/>
      </c>
      <c r="P1317" s="39">
        <f>F1317&amp;E1317&amp;I1317&amp;J1317</f>
        <v/>
      </c>
    </row>
    <row r="1318">
      <c r="B1318" s="51" t="n">
        <v>44010</v>
      </c>
      <c r="C1318" s="39" t="inlineStr">
        <is>
          <t>일</t>
        </is>
      </c>
      <c r="E1318" s="39" t="inlineStr">
        <is>
          <t>고체향수</t>
        </is>
      </c>
      <c r="F1318" s="39" t="inlineStr">
        <is>
          <t>카페24</t>
        </is>
      </c>
      <c r="G1318" s="39" t="n"/>
      <c r="H1318" s="39" t="n">
        <v>15</v>
      </c>
      <c r="I1318" s="39" t="inlineStr">
        <is>
          <t>이그나이트</t>
        </is>
      </c>
      <c r="J1318" s="20" t="n">
        <v>200622</v>
      </c>
      <c r="L1318" s="39">
        <f>VLOOKUP($P1318,매칭테이블!$G:$J,2,0)*H1318</f>
        <v/>
      </c>
      <c r="M1318" s="39">
        <f>L1318-L1318*VLOOKUP($P1318,매칭테이블!$G:$J,3,0)</f>
        <v/>
      </c>
      <c r="N1318" s="39">
        <f>VLOOKUP($P1318,매칭테이블!$G:$J,4,0)*H1318</f>
        <v/>
      </c>
      <c r="O1318" s="55">
        <f>L1318/1.1</f>
        <v/>
      </c>
      <c r="P1318" s="39">
        <f>F1318&amp;E1318&amp;I1318&amp;J1318</f>
        <v/>
      </c>
    </row>
    <row r="1319">
      <c r="B1319" s="51" t="n">
        <v>44010</v>
      </c>
      <c r="C1319" s="39" t="inlineStr">
        <is>
          <t>일</t>
        </is>
      </c>
      <c r="E1319" s="39" t="inlineStr">
        <is>
          <t>고체향수</t>
        </is>
      </c>
      <c r="F1319" s="39" t="inlineStr">
        <is>
          <t>카페24</t>
        </is>
      </c>
      <c r="G1319" s="39" t="n"/>
      <c r="H1319" s="39" t="n">
        <v>65</v>
      </c>
      <c r="I1319" s="39" t="inlineStr">
        <is>
          <t>스테이포에버</t>
        </is>
      </c>
      <c r="J1319" s="20" t="n">
        <v>200622</v>
      </c>
      <c r="L1319" s="39">
        <f>VLOOKUP($P1319,매칭테이블!$G:$J,2,0)*H1319</f>
        <v/>
      </c>
      <c r="M1319" s="39">
        <f>L1319-L1319*VLOOKUP($P1319,매칭테이블!$G:$J,3,0)</f>
        <v/>
      </c>
      <c r="N1319" s="39">
        <f>VLOOKUP($P1319,매칭테이블!$G:$J,4,0)*H1319</f>
        <v/>
      </c>
      <c r="O1319" s="55">
        <f>L1319/1.1</f>
        <v/>
      </c>
      <c r="P1319" s="39">
        <f>F1319&amp;E1319&amp;I1319&amp;J1319</f>
        <v/>
      </c>
    </row>
    <row r="1320">
      <c r="B1320" s="51" t="n">
        <v>44010</v>
      </c>
      <c r="C1320" s="39" t="inlineStr">
        <is>
          <t>일</t>
        </is>
      </c>
      <c r="E1320" s="39" t="inlineStr">
        <is>
          <t>쇼핑백</t>
        </is>
      </c>
      <c r="F1320" s="39" t="inlineStr">
        <is>
          <t>카페24</t>
        </is>
      </c>
      <c r="G1320" s="39" t="n"/>
      <c r="H1320" s="39" t="n">
        <v>2</v>
      </c>
      <c r="I1320" s="39" t="inlineStr">
        <is>
          <t>유즈쇼핑백</t>
        </is>
      </c>
      <c r="J1320" s="20" t="n">
        <v>200622</v>
      </c>
      <c r="L1320" s="39">
        <f>VLOOKUP($P1320,매칭테이블!$G:$J,2,0)*H1320</f>
        <v/>
      </c>
      <c r="M1320" s="39">
        <f>L1320-L1320*VLOOKUP($P1320,매칭테이블!$G:$J,3,0)</f>
        <v/>
      </c>
      <c r="N1320" s="39">
        <f>VLOOKUP($P1320,매칭테이블!$G:$J,4,0)*H1320</f>
        <v/>
      </c>
      <c r="O1320" s="55">
        <f>L1320/1.1</f>
        <v/>
      </c>
      <c r="P1320" s="39">
        <f>F1320&amp;E1320&amp;I1320&amp;J1320</f>
        <v/>
      </c>
    </row>
    <row r="1321">
      <c r="B1321" s="51" t="n">
        <v>44011</v>
      </c>
      <c r="C1321" s="39" t="inlineStr">
        <is>
          <t>월</t>
        </is>
      </c>
      <c r="E1321" s="39" t="inlineStr">
        <is>
          <t>고체향수</t>
        </is>
      </c>
      <c r="F1321" s="39" t="inlineStr">
        <is>
          <t>카페24</t>
        </is>
      </c>
      <c r="G1321" s="39" t="n"/>
      <c r="H1321" s="39" t="n">
        <v>11</v>
      </c>
      <c r="I1321" s="39" t="inlineStr">
        <is>
          <t>이그나이트</t>
        </is>
      </c>
      <c r="J1321" s="20" t="n">
        <v>200622</v>
      </c>
      <c r="L1321" s="39">
        <f>VLOOKUP($P1321,매칭테이블!$G:$J,2,0)*H1321</f>
        <v/>
      </c>
      <c r="M1321" s="39">
        <f>L1321-L1321*VLOOKUP($P1321,매칭테이블!$G:$J,3,0)</f>
        <v/>
      </c>
      <c r="N1321" s="39">
        <f>VLOOKUP($P1321,매칭테이블!$G:$J,4,0)*H1321</f>
        <v/>
      </c>
      <c r="O1321" s="55">
        <f>L1321/1.1</f>
        <v/>
      </c>
      <c r="P1321" s="39">
        <f>F1321&amp;E1321&amp;I1321&amp;J1321</f>
        <v/>
      </c>
    </row>
    <row r="1322">
      <c r="B1322" s="51" t="n">
        <v>44011</v>
      </c>
      <c r="C1322" s="39" t="inlineStr">
        <is>
          <t>월</t>
        </is>
      </c>
      <c r="E1322" s="39" t="inlineStr">
        <is>
          <t>고체향수</t>
        </is>
      </c>
      <c r="F1322" s="39" t="inlineStr">
        <is>
          <t>카페24</t>
        </is>
      </c>
      <c r="G1322" s="39" t="n"/>
      <c r="H1322" s="39" t="n">
        <v>48</v>
      </c>
      <c r="I1322" s="39" t="inlineStr">
        <is>
          <t>스테이포에버</t>
        </is>
      </c>
      <c r="J1322" s="20" t="n">
        <v>200622</v>
      </c>
      <c r="L1322" s="39">
        <f>VLOOKUP($P1322,매칭테이블!$G:$J,2,0)*H1322</f>
        <v/>
      </c>
      <c r="M1322" s="39">
        <f>L1322-L1322*VLOOKUP($P1322,매칭테이블!$G:$J,3,0)</f>
        <v/>
      </c>
      <c r="N1322" s="39">
        <f>VLOOKUP($P1322,매칭테이블!$G:$J,4,0)*H1322</f>
        <v/>
      </c>
      <c r="O1322" s="55">
        <f>L1322/1.1</f>
        <v/>
      </c>
      <c r="P1322" s="39">
        <f>F1322&amp;E1322&amp;I1322&amp;J1322</f>
        <v/>
      </c>
    </row>
    <row r="1323">
      <c r="B1323" s="51" t="n">
        <v>44011</v>
      </c>
      <c r="C1323" s="39" t="inlineStr">
        <is>
          <t>월</t>
        </is>
      </c>
      <c r="E1323" s="39" t="inlineStr">
        <is>
          <t>쇼핑백</t>
        </is>
      </c>
      <c r="F1323" s="39" t="inlineStr">
        <is>
          <t>카페24</t>
        </is>
      </c>
      <c r="G1323" s="39" t="n"/>
      <c r="H1323" s="39" t="n">
        <v>1</v>
      </c>
      <c r="I1323" s="39" t="inlineStr">
        <is>
          <t>유즈쇼핑백</t>
        </is>
      </c>
      <c r="J1323" s="20" t="n">
        <v>200622</v>
      </c>
      <c r="L1323" s="39">
        <f>VLOOKUP($P1323,매칭테이블!$G:$J,2,0)*H1323</f>
        <v/>
      </c>
      <c r="M1323" s="39">
        <f>L1323-L1323*VLOOKUP($P1323,매칭테이블!$G:$J,3,0)</f>
        <v/>
      </c>
      <c r="N1323" s="39">
        <f>VLOOKUP($P1323,매칭테이블!$G:$J,4,0)*H1323</f>
        <v/>
      </c>
      <c r="O1323" s="55">
        <f>L1323/1.1</f>
        <v/>
      </c>
      <c r="P1323" s="39">
        <f>F1323&amp;E1323&amp;I1323&amp;J1323</f>
        <v/>
      </c>
    </row>
    <row r="1324">
      <c r="B1324" s="51" t="n">
        <v>44012</v>
      </c>
      <c r="C1324" s="39" t="inlineStr">
        <is>
          <t>화</t>
        </is>
      </c>
      <c r="E1324" s="39" t="inlineStr">
        <is>
          <t>고체향수</t>
        </is>
      </c>
      <c r="F1324" s="39" t="inlineStr">
        <is>
          <t>카페24</t>
        </is>
      </c>
      <c r="H1324" s="39" t="n">
        <v>1</v>
      </c>
      <c r="I1324" s="39" t="inlineStr">
        <is>
          <t>이그나이트 + 스테이포에버</t>
        </is>
      </c>
      <c r="J1324" s="20" t="n">
        <v>200622</v>
      </c>
      <c r="L1324" s="39">
        <f>VLOOKUP($P1324,매칭테이블!$G:$J,2,0)*H1324</f>
        <v/>
      </c>
      <c r="M1324" s="39">
        <f>L1324-L1324*VLOOKUP($P1324,매칭테이블!$G:$J,3,0)</f>
        <v/>
      </c>
      <c r="N1324" s="39">
        <f>VLOOKUP($P1324,매칭테이블!$G:$J,4,0)*H1324</f>
        <v/>
      </c>
      <c r="O1324" s="55">
        <f>L1324/1.1</f>
        <v/>
      </c>
      <c r="P1324" s="39">
        <f>F1324&amp;E1324&amp;I1324&amp;J1324</f>
        <v/>
      </c>
    </row>
    <row r="1325">
      <c r="B1325" s="51" t="n">
        <v>44012</v>
      </c>
      <c r="C1325" s="39" t="inlineStr">
        <is>
          <t>화</t>
        </is>
      </c>
      <c r="E1325" s="39" t="inlineStr">
        <is>
          <t>고체향수</t>
        </is>
      </c>
      <c r="F1325" s="39" t="inlineStr">
        <is>
          <t>카페24</t>
        </is>
      </c>
      <c r="H1325" s="39" t="n">
        <v>13</v>
      </c>
      <c r="I1325" s="39" t="inlineStr">
        <is>
          <t>이그나이트</t>
        </is>
      </c>
      <c r="J1325" s="20" t="n">
        <v>200622</v>
      </c>
      <c r="L1325" s="39">
        <f>VLOOKUP($P1325,매칭테이블!$G:$J,2,0)*H1325</f>
        <v/>
      </c>
      <c r="M1325" s="39">
        <f>L1325-L1325*VLOOKUP($P1325,매칭테이블!$G:$J,3,0)</f>
        <v/>
      </c>
      <c r="N1325" s="39">
        <f>VLOOKUP($P1325,매칭테이블!$G:$J,4,0)*H1325</f>
        <v/>
      </c>
      <c r="O1325" s="55">
        <f>L1325/1.1</f>
        <v/>
      </c>
      <c r="P1325" s="39">
        <f>F1325&amp;E1325&amp;I1325&amp;J1325</f>
        <v/>
      </c>
    </row>
    <row r="1326">
      <c r="B1326" s="51" t="n">
        <v>44012</v>
      </c>
      <c r="C1326" s="39" t="inlineStr">
        <is>
          <t>화</t>
        </is>
      </c>
      <c r="E1326" s="39" t="inlineStr">
        <is>
          <t>고체향수</t>
        </is>
      </c>
      <c r="F1326" s="39" t="inlineStr">
        <is>
          <t>카페24</t>
        </is>
      </c>
      <c r="H1326" s="39" t="n">
        <v>49</v>
      </c>
      <c r="I1326" s="39" t="inlineStr">
        <is>
          <t>스테이포에버</t>
        </is>
      </c>
      <c r="J1326" s="20" t="n">
        <v>200622</v>
      </c>
      <c r="L1326" s="39">
        <f>VLOOKUP($P1326,매칭테이블!$G:$J,2,0)*H1326</f>
        <v/>
      </c>
      <c r="M1326" s="39">
        <f>L1326-L1326*VLOOKUP($P1326,매칭테이블!$G:$J,3,0)</f>
        <v/>
      </c>
      <c r="N1326" s="39">
        <f>VLOOKUP($P1326,매칭테이블!$G:$J,4,0)*H1326</f>
        <v/>
      </c>
      <c r="O1326" s="55">
        <f>L1326/1.1</f>
        <v/>
      </c>
      <c r="P1326" s="39">
        <f>F1326&amp;E1326&amp;I1326&amp;J1326</f>
        <v/>
      </c>
    </row>
    <row r="1327">
      <c r="B1327" s="51" t="n">
        <v>44012</v>
      </c>
      <c r="C1327" s="39" t="inlineStr">
        <is>
          <t>화</t>
        </is>
      </c>
      <c r="E1327" s="39" t="inlineStr">
        <is>
          <t>쇼핑백</t>
        </is>
      </c>
      <c r="F1327" s="39" t="inlineStr">
        <is>
          <t>카페24</t>
        </is>
      </c>
      <c r="H1327" s="39" t="n">
        <v>1</v>
      </c>
      <c r="I1327" s="39" t="inlineStr">
        <is>
          <t>유즈쇼핑백</t>
        </is>
      </c>
      <c r="J1327" s="20" t="n">
        <v>200622</v>
      </c>
      <c r="L1327" s="39">
        <f>VLOOKUP($P1327,매칭테이블!$G:$J,2,0)*H1327</f>
        <v/>
      </c>
      <c r="M1327" s="39">
        <f>L1327-L1327*VLOOKUP($P1327,매칭테이블!$G:$J,3,0)</f>
        <v/>
      </c>
      <c r="N1327" s="39">
        <f>VLOOKUP($P1327,매칭테이블!$G:$J,4,0)*H1327</f>
        <v/>
      </c>
      <c r="O1327" s="55">
        <f>L1327/1.1</f>
        <v/>
      </c>
      <c r="P1327" s="39">
        <f>F1327&amp;E1327&amp;I1327&amp;J1327</f>
        <v/>
      </c>
    </row>
    <row r="1328">
      <c r="B1328" s="51" t="n">
        <v>44013</v>
      </c>
      <c r="C1328" s="39" t="inlineStr">
        <is>
          <t>수</t>
        </is>
      </c>
      <c r="E1328" s="39" t="inlineStr">
        <is>
          <t>고체향수</t>
        </is>
      </c>
      <c r="F1328" s="39" t="inlineStr">
        <is>
          <t>카페24</t>
        </is>
      </c>
      <c r="H1328" s="39" t="n">
        <v>36</v>
      </c>
      <c r="I1328" s="39" t="inlineStr">
        <is>
          <t>스테이포에버</t>
        </is>
      </c>
      <c r="J1328" s="20" t="n">
        <v>200622</v>
      </c>
      <c r="L1328" s="39">
        <f>VLOOKUP($P1328,매칭테이블!$G:$J,2,0)*H1328</f>
        <v/>
      </c>
      <c r="M1328" s="39">
        <f>L1328-L1328*VLOOKUP($P1328,매칭테이블!$G:$J,3,0)</f>
        <v/>
      </c>
      <c r="N1328" s="39">
        <f>VLOOKUP($P1328,매칭테이블!$G:$J,4,0)*H1328</f>
        <v/>
      </c>
      <c r="O1328" s="55">
        <f>L1328/1.1</f>
        <v/>
      </c>
      <c r="P1328" s="39">
        <f>F1328&amp;E1328&amp;I1328&amp;J1328</f>
        <v/>
      </c>
    </row>
    <row r="1329">
      <c r="B1329" s="51" t="n">
        <v>44013</v>
      </c>
      <c r="C1329" s="39" t="inlineStr">
        <is>
          <t>수</t>
        </is>
      </c>
      <c r="E1329" s="39" t="inlineStr">
        <is>
          <t>고체향수</t>
        </is>
      </c>
      <c r="F1329" s="39" t="inlineStr">
        <is>
          <t>카페24</t>
        </is>
      </c>
      <c r="H1329" s="39" t="n">
        <v>21</v>
      </c>
      <c r="I1329" s="39" t="inlineStr">
        <is>
          <t>이그나이트</t>
        </is>
      </c>
      <c r="J1329" s="20" t="n">
        <v>200622</v>
      </c>
      <c r="L1329" s="39">
        <f>VLOOKUP($P1329,매칭테이블!$G:$J,2,0)*H1329</f>
        <v/>
      </c>
      <c r="M1329" s="39">
        <f>L1329-L1329*VLOOKUP($P1329,매칭테이블!$G:$J,3,0)</f>
        <v/>
      </c>
      <c r="N1329" s="39">
        <f>VLOOKUP($P1329,매칭테이블!$G:$J,4,0)*H1329</f>
        <v/>
      </c>
      <c r="O1329" s="55">
        <f>L1329/1.1</f>
        <v/>
      </c>
      <c r="P1329" s="39">
        <f>F1329&amp;E1329&amp;I1329&amp;J1329</f>
        <v/>
      </c>
    </row>
    <row r="1330">
      <c r="B1330" s="51" t="n">
        <v>44014</v>
      </c>
      <c r="C1330" s="39" t="inlineStr">
        <is>
          <t>목</t>
        </is>
      </c>
      <c r="E1330" s="39" t="inlineStr">
        <is>
          <t>고체향수</t>
        </is>
      </c>
      <c r="F1330" s="39" t="inlineStr">
        <is>
          <t>카페24</t>
        </is>
      </c>
      <c r="H1330" s="39" t="n">
        <v>24</v>
      </c>
      <c r="I1330" s="39" t="inlineStr">
        <is>
          <t>스테이포에버</t>
        </is>
      </c>
      <c r="J1330" s="20" t="n">
        <v>200622</v>
      </c>
      <c r="L1330" s="39">
        <f>VLOOKUP($P1330,매칭테이블!$G:$J,2,0)*H1330</f>
        <v/>
      </c>
      <c r="M1330" s="39">
        <f>L1330-L1330*VLOOKUP($P1330,매칭테이블!$G:$J,3,0)</f>
        <v/>
      </c>
      <c r="N1330" s="39">
        <f>VLOOKUP($P1330,매칭테이블!$G:$J,4,0)*H1330</f>
        <v/>
      </c>
      <c r="O1330" s="55">
        <f>L1330/1.1</f>
        <v/>
      </c>
      <c r="P1330" s="39">
        <f>F1330&amp;E1330&amp;I1330&amp;J1330</f>
        <v/>
      </c>
    </row>
    <row r="1331">
      <c r="B1331" s="51" t="n">
        <v>44014</v>
      </c>
      <c r="C1331" s="39" t="inlineStr">
        <is>
          <t>목</t>
        </is>
      </c>
      <c r="E1331" s="39" t="inlineStr">
        <is>
          <t>고체향수</t>
        </is>
      </c>
      <c r="F1331" s="39" t="inlineStr">
        <is>
          <t>카페24</t>
        </is>
      </c>
      <c r="H1331" s="39" t="n">
        <v>11</v>
      </c>
      <c r="I1331" s="39" t="inlineStr">
        <is>
          <t>이그나이트</t>
        </is>
      </c>
      <c r="J1331" s="20" t="n">
        <v>200622</v>
      </c>
      <c r="L1331" s="39">
        <f>VLOOKUP($P1331,매칭테이블!$G:$J,2,0)*H1331</f>
        <v/>
      </c>
      <c r="M1331" s="39">
        <f>L1331-L1331*VLOOKUP($P1331,매칭테이블!$G:$J,3,0)</f>
        <v/>
      </c>
      <c r="N1331" s="39">
        <f>VLOOKUP($P1331,매칭테이블!$G:$J,4,0)*H1331</f>
        <v/>
      </c>
      <c r="O1331" s="55">
        <f>L1331/1.1</f>
        <v/>
      </c>
      <c r="P1331" s="39">
        <f>F1331&amp;E1331&amp;I1331&amp;J1331</f>
        <v/>
      </c>
    </row>
    <row r="1332">
      <c r="B1332" s="51" t="n">
        <v>44014</v>
      </c>
      <c r="C1332" s="39" t="inlineStr">
        <is>
          <t>목</t>
        </is>
      </c>
      <c r="E1332" s="39" t="inlineStr">
        <is>
          <t>쇼핑백</t>
        </is>
      </c>
      <c r="F1332" s="39" t="inlineStr">
        <is>
          <t>카페24</t>
        </is>
      </c>
      <c r="H1332" s="39" t="n">
        <v>1</v>
      </c>
      <c r="I1332" s="39" t="inlineStr">
        <is>
          <t>유즈쇼핑백</t>
        </is>
      </c>
      <c r="J1332" s="20" t="n">
        <v>200622</v>
      </c>
      <c r="L1332" s="39">
        <f>VLOOKUP($P1332,매칭테이블!$G:$J,2,0)*H1332</f>
        <v/>
      </c>
      <c r="M1332" s="39">
        <f>L1332-L1332*VLOOKUP($P1332,매칭테이블!$G:$J,3,0)</f>
        <v/>
      </c>
      <c r="N1332" s="39">
        <f>VLOOKUP($P1332,매칭테이블!$G:$J,4,0)*H1332</f>
        <v/>
      </c>
      <c r="O1332" s="55">
        <f>L1332/1.1</f>
        <v/>
      </c>
      <c r="P1332" s="39">
        <f>F1332&amp;E1332&amp;I1332&amp;J1332</f>
        <v/>
      </c>
    </row>
    <row r="1333">
      <c r="B1333" s="51" t="n">
        <v>44015</v>
      </c>
      <c r="C1333" s="39" t="inlineStr">
        <is>
          <t>금</t>
        </is>
      </c>
      <c r="E1333" s="39" t="inlineStr">
        <is>
          <t>고체향수</t>
        </is>
      </c>
      <c r="F1333" s="39" t="inlineStr">
        <is>
          <t>카페24</t>
        </is>
      </c>
      <c r="H1333" s="39" t="n">
        <v>19</v>
      </c>
      <c r="I1333" s="39" t="inlineStr">
        <is>
          <t>스테이포에버</t>
        </is>
      </c>
      <c r="J1333" s="20" t="n">
        <v>200622</v>
      </c>
      <c r="L1333" s="39">
        <f>VLOOKUP($P1333,매칭테이블!$G:$J,2,0)*H1333</f>
        <v/>
      </c>
      <c r="M1333" s="39">
        <f>L1333-L1333*VLOOKUP($P1333,매칭테이블!$G:$J,3,0)</f>
        <v/>
      </c>
      <c r="N1333" s="39">
        <f>VLOOKUP($P1333,매칭테이블!$G:$J,4,0)*H1333</f>
        <v/>
      </c>
      <c r="O1333" s="55">
        <f>L1333/1.1</f>
        <v/>
      </c>
      <c r="P1333" s="39">
        <f>F1333&amp;E1333&amp;I1333&amp;J1333</f>
        <v/>
      </c>
    </row>
    <row r="1334">
      <c r="B1334" s="51" t="n">
        <v>44015</v>
      </c>
      <c r="C1334" s="39" t="inlineStr">
        <is>
          <t>금</t>
        </is>
      </c>
      <c r="E1334" s="39" t="inlineStr">
        <is>
          <t>쇼핑백</t>
        </is>
      </c>
      <c r="F1334" s="39" t="inlineStr">
        <is>
          <t>카페24</t>
        </is>
      </c>
      <c r="H1334" s="39" t="n">
        <v>1</v>
      </c>
      <c r="I1334" s="39" t="inlineStr">
        <is>
          <t>유즈쇼핑백</t>
        </is>
      </c>
      <c r="J1334" s="20" t="n">
        <v>200622</v>
      </c>
      <c r="L1334" s="39">
        <f>VLOOKUP($P1334,매칭테이블!$G:$J,2,0)*H1334</f>
        <v/>
      </c>
      <c r="M1334" s="39">
        <f>L1334-L1334*VLOOKUP($P1334,매칭테이블!$G:$J,3,0)</f>
        <v/>
      </c>
      <c r="N1334" s="39">
        <f>VLOOKUP($P1334,매칭테이블!$G:$J,4,0)*H1334</f>
        <v/>
      </c>
      <c r="O1334" s="55">
        <f>L1334/1.1</f>
        <v/>
      </c>
      <c r="P1334" s="39">
        <f>F1334&amp;E1334&amp;I1334&amp;J1334</f>
        <v/>
      </c>
    </row>
    <row r="1335">
      <c r="B1335" s="51" t="n">
        <v>44015</v>
      </c>
      <c r="C1335" s="39" t="inlineStr">
        <is>
          <t>금</t>
        </is>
      </c>
      <c r="E1335" s="39" t="inlineStr">
        <is>
          <t>고체향수</t>
        </is>
      </c>
      <c r="F1335" s="39" t="inlineStr">
        <is>
          <t>카페24</t>
        </is>
      </c>
      <c r="H1335" s="39" t="n">
        <v>2</v>
      </c>
      <c r="I1335" s="39" t="inlineStr">
        <is>
          <t>이그나이트</t>
        </is>
      </c>
      <c r="J1335" s="20" t="n">
        <v>200622</v>
      </c>
      <c r="L1335" s="39">
        <f>VLOOKUP($P1335,매칭테이블!$G:$J,2,0)*H1335</f>
        <v/>
      </c>
      <c r="M1335" s="39">
        <f>L1335-L1335*VLOOKUP($P1335,매칭테이블!$G:$J,3,0)</f>
        <v/>
      </c>
      <c r="N1335" s="39">
        <f>VLOOKUP($P1335,매칭테이블!$G:$J,4,0)*H1335</f>
        <v/>
      </c>
      <c r="O1335" s="55">
        <f>L1335/1.1</f>
        <v/>
      </c>
      <c r="P1335" s="39">
        <f>F1335&amp;E1335&amp;I1335&amp;J1335</f>
        <v/>
      </c>
    </row>
    <row r="1336">
      <c r="B1336" s="51" t="n">
        <v>44016</v>
      </c>
      <c r="C1336" s="39" t="inlineStr">
        <is>
          <t>토</t>
        </is>
      </c>
      <c r="E1336" s="39" t="inlineStr">
        <is>
          <t>고체향수</t>
        </is>
      </c>
      <c r="F1336" s="39" t="inlineStr">
        <is>
          <t>카페24</t>
        </is>
      </c>
      <c r="H1336" s="39" t="n">
        <v>7</v>
      </c>
      <c r="I1336" s="39" t="inlineStr">
        <is>
          <t>스테이포에버</t>
        </is>
      </c>
      <c r="J1336" s="20" t="n">
        <v>200622</v>
      </c>
      <c r="L1336" s="39">
        <f>VLOOKUP($P1336,매칭테이블!$G:$J,2,0)*H1336</f>
        <v/>
      </c>
      <c r="M1336" s="39">
        <f>L1336-L1336*VLOOKUP($P1336,매칭테이블!$G:$J,3,0)</f>
        <v/>
      </c>
      <c r="N1336" s="39">
        <f>VLOOKUP($P1336,매칭테이블!$G:$J,4,0)*H1336</f>
        <v/>
      </c>
      <c r="O1336" s="55">
        <f>L1336/1.1</f>
        <v/>
      </c>
      <c r="P1336" s="39">
        <f>F1336&amp;E1336&amp;I1336&amp;J1336</f>
        <v/>
      </c>
    </row>
    <row r="1337">
      <c r="B1337" s="51" t="n">
        <v>44017</v>
      </c>
      <c r="C1337" s="39" t="inlineStr">
        <is>
          <t>일</t>
        </is>
      </c>
      <c r="E1337" s="39" t="inlineStr">
        <is>
          <t>고체향수</t>
        </is>
      </c>
      <c r="F1337" s="39" t="inlineStr">
        <is>
          <t>카페24</t>
        </is>
      </c>
      <c r="H1337" s="39" t="n">
        <v>2</v>
      </c>
      <c r="I1337" s="39" t="inlineStr">
        <is>
          <t>이그나이트</t>
        </is>
      </c>
      <c r="J1337" s="20" t="n">
        <v>200622</v>
      </c>
      <c r="L1337" s="39">
        <f>VLOOKUP($P1337,매칭테이블!$G:$J,2,0)*H1337</f>
        <v/>
      </c>
      <c r="M1337" s="39">
        <f>L1337-L1337*VLOOKUP($P1337,매칭테이블!$G:$J,3,0)</f>
        <v/>
      </c>
      <c r="N1337" s="39">
        <f>VLOOKUP($P1337,매칭테이블!$G:$J,4,0)*H1337</f>
        <v/>
      </c>
      <c r="O1337" s="55">
        <f>L1337/1.1</f>
        <v/>
      </c>
      <c r="P1337" s="39">
        <f>F1337&amp;E1337&amp;I1337&amp;J1337</f>
        <v/>
      </c>
    </row>
    <row r="1338">
      <c r="B1338" s="51" t="n">
        <v>44017</v>
      </c>
      <c r="C1338" s="39" t="inlineStr">
        <is>
          <t>일</t>
        </is>
      </c>
      <c r="E1338" s="39" t="inlineStr">
        <is>
          <t>고체향수</t>
        </is>
      </c>
      <c r="F1338" s="39" t="inlineStr">
        <is>
          <t>카페24</t>
        </is>
      </c>
      <c r="H1338" s="39" t="n">
        <v>13</v>
      </c>
      <c r="I1338" s="39" t="inlineStr">
        <is>
          <t>스테이포에버</t>
        </is>
      </c>
      <c r="J1338" s="20" t="n">
        <v>200622</v>
      </c>
      <c r="L1338" s="39">
        <f>VLOOKUP($P1338,매칭테이블!$G:$J,2,0)*H1338</f>
        <v/>
      </c>
      <c r="M1338" s="39">
        <f>L1338-L1338*VLOOKUP($P1338,매칭테이블!$G:$J,3,0)</f>
        <v/>
      </c>
      <c r="N1338" s="39">
        <f>VLOOKUP($P1338,매칭테이블!$G:$J,4,0)*H1338</f>
        <v/>
      </c>
      <c r="O1338" s="55">
        <f>L1338/1.1</f>
        <v/>
      </c>
      <c r="P1338" s="39">
        <f>F1338&amp;E1338&amp;I1338&amp;J1338</f>
        <v/>
      </c>
    </row>
    <row r="1339">
      <c r="B1339" s="51" t="n">
        <v>44017</v>
      </c>
      <c r="C1339" s="39" t="inlineStr">
        <is>
          <t>일</t>
        </is>
      </c>
      <c r="E1339" s="39" t="inlineStr">
        <is>
          <t>쇼핑백</t>
        </is>
      </c>
      <c r="F1339" s="39" t="inlineStr">
        <is>
          <t>카페24</t>
        </is>
      </c>
      <c r="H1339" s="39" t="n">
        <v>1</v>
      </c>
      <c r="I1339" s="39" t="inlineStr">
        <is>
          <t>유즈쇼핑백</t>
        </is>
      </c>
      <c r="J1339" s="20" t="n">
        <v>200622</v>
      </c>
      <c r="L1339" s="39">
        <f>VLOOKUP($P1339,매칭테이블!$G:$J,2,0)*H1339</f>
        <v/>
      </c>
      <c r="M1339" s="39">
        <f>L1339-L1339*VLOOKUP($P1339,매칭테이블!$G:$J,3,0)</f>
        <v/>
      </c>
      <c r="N1339" s="39">
        <f>VLOOKUP($P1339,매칭테이블!$G:$J,4,0)*H1339</f>
        <v/>
      </c>
      <c r="O1339" s="55">
        <f>L1339/1.1</f>
        <v/>
      </c>
      <c r="P1339" s="39">
        <f>F1339&amp;E1339&amp;I1339&amp;J1339</f>
        <v/>
      </c>
    </row>
    <row r="1340">
      <c r="B1340" s="51" t="n">
        <v>44018</v>
      </c>
      <c r="C1340" s="39" t="inlineStr">
        <is>
          <t>월</t>
        </is>
      </c>
      <c r="E1340" s="39" t="inlineStr">
        <is>
          <t>고체향수</t>
        </is>
      </c>
      <c r="F1340" s="39" t="inlineStr">
        <is>
          <t>카페24</t>
        </is>
      </c>
      <c r="H1340" s="39" t="n">
        <v>24</v>
      </c>
      <c r="I1340" s="39" t="inlineStr">
        <is>
          <t>스테이포에버</t>
        </is>
      </c>
      <c r="J1340" s="20" t="n">
        <v>200622</v>
      </c>
      <c r="L1340" s="39">
        <f>VLOOKUP($P1340,매칭테이블!$G:$J,2,0)*H1340</f>
        <v/>
      </c>
      <c r="M1340" s="39">
        <f>L1340-L1340*VLOOKUP($P1340,매칭테이블!$G:$J,3,0)</f>
        <v/>
      </c>
      <c r="N1340" s="39">
        <f>VLOOKUP($P1340,매칭테이블!$G:$J,4,0)*H1340</f>
        <v/>
      </c>
      <c r="O1340" s="55">
        <f>L1340/1.1</f>
        <v/>
      </c>
      <c r="P1340" s="39">
        <f>F1340&amp;E1340&amp;I1340&amp;J1340</f>
        <v/>
      </c>
    </row>
    <row r="1341">
      <c r="B1341" s="51" t="n">
        <v>44018</v>
      </c>
      <c r="C1341" s="39" t="inlineStr">
        <is>
          <t>월</t>
        </is>
      </c>
      <c r="E1341" s="39" t="inlineStr">
        <is>
          <t>고체향수</t>
        </is>
      </c>
      <c r="F1341" s="39" t="inlineStr">
        <is>
          <t>카페24</t>
        </is>
      </c>
      <c r="H1341" s="39" t="n">
        <v>7</v>
      </c>
      <c r="I1341" s="39" t="inlineStr">
        <is>
          <t>이그나이트</t>
        </is>
      </c>
      <c r="J1341" s="20" t="n">
        <v>200622</v>
      </c>
      <c r="L1341" s="39">
        <f>VLOOKUP($P1341,매칭테이블!$G:$J,2,0)*H1341</f>
        <v/>
      </c>
      <c r="M1341" s="39">
        <f>L1341-L1341*VLOOKUP($P1341,매칭테이블!$G:$J,3,0)</f>
        <v/>
      </c>
      <c r="N1341" s="39">
        <f>VLOOKUP($P1341,매칭테이블!$G:$J,4,0)*H1341</f>
        <v/>
      </c>
      <c r="O1341" s="55">
        <f>L1341/1.1</f>
        <v/>
      </c>
      <c r="P1341" s="39">
        <f>F1341&amp;E1341&amp;I1341&amp;J1341</f>
        <v/>
      </c>
    </row>
    <row r="1342">
      <c r="B1342" s="51" t="n">
        <v>44019</v>
      </c>
      <c r="C1342" s="39" t="inlineStr">
        <is>
          <t>화</t>
        </is>
      </c>
      <c r="E1342" s="39" t="inlineStr">
        <is>
          <t>고체향수</t>
        </is>
      </c>
      <c r="F1342" s="39" t="inlineStr">
        <is>
          <t>카페24</t>
        </is>
      </c>
      <c r="H1342" s="39" t="n">
        <v>3</v>
      </c>
      <c r="I1342" s="39" t="inlineStr">
        <is>
          <t>이그나이트 + 스테이포에버</t>
        </is>
      </c>
      <c r="J1342" s="20" t="n">
        <v>200622</v>
      </c>
      <c r="L1342" s="39">
        <f>VLOOKUP($P1342,매칭테이블!$G:$J,2,0)*H1342</f>
        <v/>
      </c>
      <c r="M1342" s="39">
        <f>L1342-L1342*VLOOKUP($P1342,매칭테이블!$G:$J,3,0)</f>
        <v/>
      </c>
      <c r="N1342" s="39">
        <f>VLOOKUP($P1342,매칭테이블!$G:$J,4,0)*H1342</f>
        <v/>
      </c>
      <c r="O1342" s="55">
        <f>L1342/1.1</f>
        <v/>
      </c>
      <c r="P1342" s="39">
        <f>F1342&amp;E1342&amp;I1342&amp;J1342</f>
        <v/>
      </c>
    </row>
    <row r="1343">
      <c r="B1343" s="51" t="n">
        <v>44019</v>
      </c>
      <c r="C1343" s="39" t="inlineStr">
        <is>
          <t>화</t>
        </is>
      </c>
      <c r="E1343" s="39" t="inlineStr">
        <is>
          <t>고체향수</t>
        </is>
      </c>
      <c r="F1343" s="39" t="inlineStr">
        <is>
          <t>카페24</t>
        </is>
      </c>
      <c r="H1343" s="39" t="n">
        <v>36</v>
      </c>
      <c r="I1343" s="39" t="inlineStr">
        <is>
          <t>스테이포에버</t>
        </is>
      </c>
      <c r="J1343" s="20" t="n">
        <v>200622</v>
      </c>
      <c r="L1343" s="39">
        <f>VLOOKUP($P1343,매칭테이블!$G:$J,2,0)*H1343</f>
        <v/>
      </c>
      <c r="M1343" s="39">
        <f>L1343-L1343*VLOOKUP($P1343,매칭테이블!$G:$J,3,0)</f>
        <v/>
      </c>
      <c r="N1343" s="39">
        <f>VLOOKUP($P1343,매칭테이블!$G:$J,4,0)*H1343</f>
        <v/>
      </c>
      <c r="O1343" s="55">
        <f>L1343/1.1</f>
        <v/>
      </c>
      <c r="P1343" s="39">
        <f>F1343&amp;E1343&amp;I1343&amp;J1343</f>
        <v/>
      </c>
    </row>
    <row r="1344">
      <c r="B1344" s="51" t="n">
        <v>44019</v>
      </c>
      <c r="C1344" s="39" t="inlineStr">
        <is>
          <t>화</t>
        </is>
      </c>
      <c r="E1344" s="39" t="inlineStr">
        <is>
          <t>고체향수</t>
        </is>
      </c>
      <c r="F1344" s="39" t="inlineStr">
        <is>
          <t>카페24</t>
        </is>
      </c>
      <c r="H1344" s="39" t="n">
        <v>5</v>
      </c>
      <c r="I1344" s="39" t="inlineStr">
        <is>
          <t>이그나이트</t>
        </is>
      </c>
      <c r="J1344" s="20" t="n">
        <v>200622</v>
      </c>
      <c r="L1344" s="39">
        <f>VLOOKUP($P1344,매칭테이블!$G:$J,2,0)*H1344</f>
        <v/>
      </c>
      <c r="M1344" s="39">
        <f>L1344-L1344*VLOOKUP($P1344,매칭테이블!$G:$J,3,0)</f>
        <v/>
      </c>
      <c r="N1344" s="39">
        <f>VLOOKUP($P1344,매칭테이블!$G:$J,4,0)*H1344</f>
        <v/>
      </c>
      <c r="O1344" s="55">
        <f>L1344/1.1</f>
        <v/>
      </c>
      <c r="P1344" s="39">
        <f>F1344&amp;E1344&amp;I1344&amp;J1344</f>
        <v/>
      </c>
    </row>
    <row r="1345">
      <c r="B1345" s="51" t="n">
        <v>44020</v>
      </c>
      <c r="C1345" s="39" t="inlineStr">
        <is>
          <t>수</t>
        </is>
      </c>
      <c r="E1345" s="39" t="inlineStr">
        <is>
          <t>고체향수</t>
        </is>
      </c>
      <c r="F1345" s="39" t="inlineStr">
        <is>
          <t>카페24</t>
        </is>
      </c>
      <c r="H1345" s="39" t="n">
        <v>1</v>
      </c>
      <c r="I1345" s="39" t="inlineStr">
        <is>
          <t>이그나이트 + 스테이포에버</t>
        </is>
      </c>
      <c r="J1345" s="20" t="n">
        <v>200622</v>
      </c>
      <c r="L1345" s="39">
        <f>VLOOKUP($P1345,매칭테이블!$G:$J,2,0)*H1345</f>
        <v/>
      </c>
      <c r="M1345" s="39">
        <f>L1345-L1345*VLOOKUP($P1345,매칭테이블!$G:$J,3,0)</f>
        <v/>
      </c>
      <c r="N1345" s="39">
        <f>VLOOKUP($P1345,매칭테이블!$G:$J,4,0)*H1345</f>
        <v/>
      </c>
      <c r="O1345" s="55">
        <f>L1345/1.1</f>
        <v/>
      </c>
      <c r="P1345" s="39">
        <f>F1345&amp;E1345&amp;I1345&amp;J1345</f>
        <v/>
      </c>
    </row>
    <row r="1346">
      <c r="B1346" s="51" t="n">
        <v>44020</v>
      </c>
      <c r="C1346" s="39" t="inlineStr">
        <is>
          <t>수</t>
        </is>
      </c>
      <c r="E1346" s="39" t="inlineStr">
        <is>
          <t>고체향수</t>
        </is>
      </c>
      <c r="F1346" s="39" t="inlineStr">
        <is>
          <t>카페24</t>
        </is>
      </c>
      <c r="H1346" s="39" t="n">
        <v>27</v>
      </c>
      <c r="I1346" s="39" t="inlineStr">
        <is>
          <t>스테이포에버</t>
        </is>
      </c>
      <c r="J1346" s="20" t="n">
        <v>200622</v>
      </c>
      <c r="L1346" s="39">
        <f>VLOOKUP($P1346,매칭테이블!$G:$J,2,0)*H1346</f>
        <v/>
      </c>
      <c r="M1346" s="39">
        <f>L1346-L1346*VLOOKUP($P1346,매칭테이블!$G:$J,3,0)</f>
        <v/>
      </c>
      <c r="N1346" s="39">
        <f>VLOOKUP($P1346,매칭테이블!$G:$J,4,0)*H1346</f>
        <v/>
      </c>
      <c r="O1346" s="55">
        <f>L1346/1.1</f>
        <v/>
      </c>
      <c r="P1346" s="39">
        <f>F1346&amp;E1346&amp;I1346&amp;J1346</f>
        <v/>
      </c>
    </row>
    <row r="1347">
      <c r="B1347" s="51" t="n">
        <v>44020</v>
      </c>
      <c r="C1347" s="39" t="inlineStr">
        <is>
          <t>수</t>
        </is>
      </c>
      <c r="E1347" s="39" t="inlineStr">
        <is>
          <t>고체향수</t>
        </is>
      </c>
      <c r="F1347" s="39" t="inlineStr">
        <is>
          <t>카페24</t>
        </is>
      </c>
      <c r="H1347" s="39" t="n">
        <v>3</v>
      </c>
      <c r="I1347" s="39" t="inlineStr">
        <is>
          <t>이그나이트</t>
        </is>
      </c>
      <c r="J1347" s="20" t="n">
        <v>200622</v>
      </c>
      <c r="L1347" s="39">
        <f>VLOOKUP($P1347,매칭테이블!$G:$J,2,0)*H1347</f>
        <v/>
      </c>
      <c r="M1347" s="39">
        <f>L1347-L1347*VLOOKUP($P1347,매칭테이블!$G:$J,3,0)</f>
        <v/>
      </c>
      <c r="N1347" s="39">
        <f>VLOOKUP($P1347,매칭테이블!$G:$J,4,0)*H1347</f>
        <v/>
      </c>
      <c r="O1347" s="55">
        <f>L1347/1.1</f>
        <v/>
      </c>
      <c r="P1347" s="39">
        <f>F1347&amp;E1347&amp;I1347&amp;J1347</f>
        <v/>
      </c>
    </row>
    <row r="1348">
      <c r="B1348" s="51" t="n">
        <v>44020</v>
      </c>
      <c r="C1348" s="39" t="inlineStr">
        <is>
          <t>수</t>
        </is>
      </c>
      <c r="E1348" s="39" t="inlineStr">
        <is>
          <t>쇼핑백</t>
        </is>
      </c>
      <c r="F1348" s="39" t="inlineStr">
        <is>
          <t>카페24</t>
        </is>
      </c>
      <c r="H1348" s="39" t="n">
        <v>1</v>
      </c>
      <c r="I1348" s="39" t="inlineStr">
        <is>
          <t>유즈쇼핑백</t>
        </is>
      </c>
      <c r="J1348" s="20" t="n">
        <v>200622</v>
      </c>
      <c r="L1348" s="39">
        <f>VLOOKUP($P1348,매칭테이블!$G:$J,2,0)*H1348</f>
        <v/>
      </c>
      <c r="M1348" s="39">
        <f>L1348-L1348*VLOOKUP($P1348,매칭테이블!$G:$J,3,0)</f>
        <v/>
      </c>
      <c r="N1348" s="39">
        <f>VLOOKUP($P1348,매칭테이블!$G:$J,4,0)*H1348</f>
        <v/>
      </c>
      <c r="O1348" s="55">
        <f>L1348/1.1</f>
        <v/>
      </c>
      <c r="P1348" s="39">
        <f>F1348&amp;E1348&amp;I1348&amp;J1348</f>
        <v/>
      </c>
    </row>
    <row r="1349">
      <c r="B1349" s="51" t="n">
        <v>44021</v>
      </c>
      <c r="C1349" s="39" t="inlineStr">
        <is>
          <t>목</t>
        </is>
      </c>
      <c r="E1349" s="39" t="inlineStr">
        <is>
          <t>고체향수</t>
        </is>
      </c>
      <c r="F1349" s="39" t="inlineStr">
        <is>
          <t>카페24</t>
        </is>
      </c>
      <c r="H1349" s="39" t="n">
        <v>1</v>
      </c>
      <c r="I1349" s="39" t="inlineStr">
        <is>
          <t>이그나이트 + 스테이포에버</t>
        </is>
      </c>
      <c r="J1349" s="20" t="n">
        <v>200622</v>
      </c>
      <c r="L1349" s="39">
        <f>VLOOKUP($P1349,매칭테이블!$G:$J,2,0)*H1349</f>
        <v/>
      </c>
      <c r="M1349" s="39">
        <f>L1349-L1349*VLOOKUP($P1349,매칭테이블!$G:$J,3,0)</f>
        <v/>
      </c>
      <c r="N1349" s="39">
        <f>VLOOKUP($P1349,매칭테이블!$G:$J,4,0)*H1349</f>
        <v/>
      </c>
      <c r="O1349" s="55">
        <f>L1349/1.1</f>
        <v/>
      </c>
      <c r="P1349" s="39">
        <f>F1349&amp;E1349&amp;I1349&amp;J1349</f>
        <v/>
      </c>
    </row>
    <row r="1350">
      <c r="B1350" s="51" t="n">
        <v>44021</v>
      </c>
      <c r="C1350" s="39" t="inlineStr">
        <is>
          <t>목</t>
        </is>
      </c>
      <c r="E1350" s="39" t="inlineStr">
        <is>
          <t>고체향수</t>
        </is>
      </c>
      <c r="F1350" s="39" t="inlineStr">
        <is>
          <t>카페24</t>
        </is>
      </c>
      <c r="H1350" s="39" t="n">
        <v>41</v>
      </c>
      <c r="I1350" s="39" t="inlineStr">
        <is>
          <t>스테이포에버</t>
        </is>
      </c>
      <c r="J1350" s="20" t="n">
        <v>200622</v>
      </c>
      <c r="L1350" s="39">
        <f>VLOOKUP($P1350,매칭테이블!$G:$J,2,0)*H1350</f>
        <v/>
      </c>
      <c r="M1350" s="39">
        <f>L1350-L1350*VLOOKUP($P1350,매칭테이블!$G:$J,3,0)</f>
        <v/>
      </c>
      <c r="N1350" s="39">
        <f>VLOOKUP($P1350,매칭테이블!$G:$J,4,0)*H1350</f>
        <v/>
      </c>
      <c r="O1350" s="55">
        <f>L1350/1.1</f>
        <v/>
      </c>
      <c r="P1350" s="39">
        <f>F1350&amp;E1350&amp;I1350&amp;J1350</f>
        <v/>
      </c>
    </row>
    <row r="1351">
      <c r="B1351" s="51" t="n">
        <v>44022</v>
      </c>
      <c r="C1351" s="39" t="inlineStr">
        <is>
          <t>금</t>
        </is>
      </c>
      <c r="E1351" s="39" t="inlineStr">
        <is>
          <t>고체향수</t>
        </is>
      </c>
      <c r="F1351" s="39" t="inlineStr">
        <is>
          <t>카페24</t>
        </is>
      </c>
      <c r="H1351" s="39" t="n">
        <v>29</v>
      </c>
      <c r="I1351" s="39" t="inlineStr">
        <is>
          <t>스테이포에버</t>
        </is>
      </c>
      <c r="J1351" s="20" t="n">
        <v>200622</v>
      </c>
      <c r="L1351" s="39">
        <f>VLOOKUP($P1351,매칭테이블!$G:$J,2,0)*H1351</f>
        <v/>
      </c>
      <c r="M1351" s="39">
        <f>L1351-L1351*VLOOKUP($P1351,매칭테이블!$G:$J,3,0)</f>
        <v/>
      </c>
      <c r="N1351" s="39">
        <f>VLOOKUP($P1351,매칭테이블!$G:$J,4,0)*H1351</f>
        <v/>
      </c>
      <c r="O1351" s="55">
        <f>L1351/1.1</f>
        <v/>
      </c>
      <c r="P1351" s="39">
        <f>F1351&amp;E1351&amp;I1351&amp;J1351</f>
        <v/>
      </c>
    </row>
    <row r="1352">
      <c r="B1352" s="51" t="n">
        <v>44022</v>
      </c>
      <c r="C1352" s="39" t="inlineStr">
        <is>
          <t>금</t>
        </is>
      </c>
      <c r="E1352" s="39" t="inlineStr">
        <is>
          <t>쇼핑백</t>
        </is>
      </c>
      <c r="F1352" s="39" t="inlineStr">
        <is>
          <t>카페24</t>
        </is>
      </c>
      <c r="H1352" s="39" t="n">
        <v>1</v>
      </c>
      <c r="I1352" s="39" t="inlineStr">
        <is>
          <t>유즈쇼핑백</t>
        </is>
      </c>
      <c r="J1352" s="20" t="n">
        <v>200622</v>
      </c>
      <c r="L1352" s="39">
        <f>VLOOKUP($P1352,매칭테이블!$G:$J,2,0)*H1352</f>
        <v/>
      </c>
      <c r="M1352" s="39">
        <f>L1352-L1352*VLOOKUP($P1352,매칭테이블!$G:$J,3,0)</f>
        <v/>
      </c>
      <c r="N1352" s="39">
        <f>VLOOKUP($P1352,매칭테이블!$G:$J,4,0)*H1352</f>
        <v/>
      </c>
      <c r="O1352" s="55">
        <f>L1352/1.1</f>
        <v/>
      </c>
      <c r="P1352" s="39">
        <f>F1352&amp;E1352&amp;I1352&amp;J1352</f>
        <v/>
      </c>
    </row>
    <row r="1353">
      <c r="B1353" s="51" t="n">
        <v>44022</v>
      </c>
      <c r="C1353" s="39" t="inlineStr">
        <is>
          <t>금</t>
        </is>
      </c>
      <c r="E1353" s="39" t="inlineStr">
        <is>
          <t>고체향수</t>
        </is>
      </c>
      <c r="F1353" s="39" t="inlineStr">
        <is>
          <t>카페24</t>
        </is>
      </c>
      <c r="H1353" s="39" t="n">
        <v>1</v>
      </c>
      <c r="I1353" s="39" t="inlineStr">
        <is>
          <t>이그나이트</t>
        </is>
      </c>
      <c r="J1353" s="20" t="n">
        <v>200622</v>
      </c>
      <c r="L1353" s="39">
        <f>VLOOKUP($P1353,매칭테이블!$G:$J,2,0)*H1353</f>
        <v/>
      </c>
      <c r="M1353" s="39">
        <f>L1353-L1353*VLOOKUP($P1353,매칭테이블!$G:$J,3,0)</f>
        <v/>
      </c>
      <c r="N1353" s="39">
        <f>VLOOKUP($P1353,매칭테이블!$G:$J,4,0)*H1353</f>
        <v/>
      </c>
      <c r="O1353" s="55">
        <f>L1353/1.1</f>
        <v/>
      </c>
      <c r="P1353" s="39">
        <f>F1353&amp;E1353&amp;I1353&amp;J1353</f>
        <v/>
      </c>
    </row>
    <row r="1354">
      <c r="B1354" s="51" t="n">
        <v>44023</v>
      </c>
      <c r="C1354" s="39" t="inlineStr">
        <is>
          <t>토</t>
        </is>
      </c>
      <c r="E1354" s="39" t="inlineStr">
        <is>
          <t>고체향수</t>
        </is>
      </c>
      <c r="F1354" s="39" t="inlineStr">
        <is>
          <t>카페24</t>
        </is>
      </c>
      <c r="H1354" s="39" t="n">
        <v>29</v>
      </c>
      <c r="I1354" s="39" t="inlineStr">
        <is>
          <t>스테이포에버</t>
        </is>
      </c>
      <c r="J1354" s="20" t="n">
        <v>200622</v>
      </c>
      <c r="L1354" s="39">
        <f>VLOOKUP($P1354,매칭테이블!$G:$J,2,0)*H1354</f>
        <v/>
      </c>
      <c r="M1354" s="39">
        <f>L1354-L1354*VLOOKUP($P1354,매칭테이블!$G:$J,3,0)</f>
        <v/>
      </c>
      <c r="N1354" s="39">
        <f>VLOOKUP($P1354,매칭테이블!$G:$J,4,0)*H1354</f>
        <v/>
      </c>
      <c r="O1354" s="55">
        <f>L1354/1.1</f>
        <v/>
      </c>
      <c r="P1354" s="39">
        <f>F1354&amp;E1354&amp;I1354&amp;J1354</f>
        <v/>
      </c>
    </row>
    <row r="1355">
      <c r="B1355" s="51" t="n">
        <v>44023</v>
      </c>
      <c r="C1355" s="39" t="inlineStr">
        <is>
          <t>토</t>
        </is>
      </c>
      <c r="E1355" s="39" t="inlineStr">
        <is>
          <t>쇼핑백</t>
        </is>
      </c>
      <c r="F1355" s="39" t="inlineStr">
        <is>
          <t>카페24</t>
        </is>
      </c>
      <c r="H1355" s="39" t="n">
        <v>1</v>
      </c>
      <c r="I1355" s="39" t="inlineStr">
        <is>
          <t>유즈쇼핑백</t>
        </is>
      </c>
      <c r="J1355" s="20" t="n">
        <v>200622</v>
      </c>
      <c r="L1355" s="39">
        <f>VLOOKUP($P1355,매칭테이블!$G:$J,2,0)*H1355</f>
        <v/>
      </c>
      <c r="M1355" s="39">
        <f>L1355-L1355*VLOOKUP($P1355,매칭테이블!$G:$J,3,0)</f>
        <v/>
      </c>
      <c r="N1355" s="39">
        <f>VLOOKUP($P1355,매칭테이블!$G:$J,4,0)*H1355</f>
        <v/>
      </c>
      <c r="O1355" s="55">
        <f>L1355/1.1</f>
        <v/>
      </c>
      <c r="P1355" s="39">
        <f>F1355&amp;E1355&amp;I1355&amp;J1355</f>
        <v/>
      </c>
    </row>
    <row r="1356">
      <c r="B1356" s="51" t="n">
        <v>44023</v>
      </c>
      <c r="C1356" s="39" t="inlineStr">
        <is>
          <t>토</t>
        </is>
      </c>
      <c r="E1356" s="39" t="inlineStr">
        <is>
          <t>고체향수</t>
        </is>
      </c>
      <c r="F1356" s="39" t="inlineStr">
        <is>
          <t>카페24</t>
        </is>
      </c>
      <c r="H1356" s="39" t="n">
        <v>7</v>
      </c>
      <c r="I1356" s="39" t="inlineStr">
        <is>
          <t>이그나이트</t>
        </is>
      </c>
      <c r="J1356" s="20" t="n">
        <v>200622</v>
      </c>
      <c r="L1356" s="39">
        <f>VLOOKUP($P1356,매칭테이블!$G:$J,2,0)*H1356</f>
        <v/>
      </c>
      <c r="M1356" s="39">
        <f>L1356-L1356*VLOOKUP($P1356,매칭테이블!$G:$J,3,0)</f>
        <v/>
      </c>
      <c r="N1356" s="39">
        <f>VLOOKUP($P1356,매칭테이블!$G:$J,4,0)*H1356</f>
        <v/>
      </c>
      <c r="O1356" s="55">
        <f>L1356/1.1</f>
        <v/>
      </c>
      <c r="P1356" s="39">
        <f>F1356&amp;E1356&amp;I1356&amp;J1356</f>
        <v/>
      </c>
    </row>
    <row r="1357">
      <c r="B1357" s="51" t="n">
        <v>44024</v>
      </c>
      <c r="C1357" s="39" t="inlineStr">
        <is>
          <t>일</t>
        </is>
      </c>
      <c r="E1357" s="39" t="inlineStr">
        <is>
          <t>고체향수</t>
        </is>
      </c>
      <c r="F1357" s="39" t="inlineStr">
        <is>
          <t>카페24</t>
        </is>
      </c>
      <c r="H1357" s="39" t="n">
        <v>3</v>
      </c>
      <c r="I1357" s="39" t="inlineStr">
        <is>
          <t>이그나이트</t>
        </is>
      </c>
      <c r="J1357" s="20" t="n">
        <v>200622</v>
      </c>
      <c r="L1357" s="39">
        <f>VLOOKUP($P1357,매칭테이블!$G:$J,2,0)*H1357</f>
        <v/>
      </c>
      <c r="M1357" s="39">
        <f>L1357-L1357*VLOOKUP($P1357,매칭테이블!$G:$J,3,0)</f>
        <v/>
      </c>
      <c r="N1357" s="39">
        <f>VLOOKUP($P1357,매칭테이블!$G:$J,4,0)*H1357</f>
        <v/>
      </c>
      <c r="O1357" s="55">
        <f>L1357/1.1</f>
        <v/>
      </c>
      <c r="P1357" s="39">
        <f>F1357&amp;E1357&amp;I1357&amp;J1357</f>
        <v/>
      </c>
    </row>
    <row r="1358">
      <c r="B1358" s="51" t="n">
        <v>44024</v>
      </c>
      <c r="C1358" s="39" t="inlineStr">
        <is>
          <t>일</t>
        </is>
      </c>
      <c r="E1358" s="39" t="inlineStr">
        <is>
          <t>고체향수</t>
        </is>
      </c>
      <c r="F1358" s="39" t="inlineStr">
        <is>
          <t>카페24</t>
        </is>
      </c>
      <c r="H1358" s="39" t="n">
        <v>65</v>
      </c>
      <c r="I1358" s="39" t="inlineStr">
        <is>
          <t>스테이포에버</t>
        </is>
      </c>
      <c r="J1358" s="20" t="n">
        <v>200622</v>
      </c>
      <c r="L1358" s="39">
        <f>VLOOKUP($P1358,매칭테이블!$G:$J,2,0)*H1358</f>
        <v/>
      </c>
      <c r="M1358" s="39">
        <f>L1358-L1358*VLOOKUP($P1358,매칭테이블!$G:$J,3,0)</f>
        <v/>
      </c>
      <c r="N1358" s="39">
        <f>VLOOKUP($P1358,매칭테이블!$G:$J,4,0)*H1358</f>
        <v/>
      </c>
      <c r="O1358" s="55">
        <f>L1358/1.1</f>
        <v/>
      </c>
      <c r="P1358" s="39">
        <f>F1358&amp;E1358&amp;I1358&amp;J1358</f>
        <v/>
      </c>
    </row>
    <row r="1359">
      <c r="B1359" s="51" t="n">
        <v>44025</v>
      </c>
      <c r="C1359" s="39" t="inlineStr">
        <is>
          <t>월</t>
        </is>
      </c>
      <c r="E1359" s="39" t="inlineStr">
        <is>
          <t>고체향수</t>
        </is>
      </c>
      <c r="F1359" s="39" t="inlineStr">
        <is>
          <t>카페24</t>
        </is>
      </c>
      <c r="H1359" s="39" t="n">
        <v>2</v>
      </c>
      <c r="I1359" s="39" t="inlineStr">
        <is>
          <t>이그나이트 + 스테이포에버</t>
        </is>
      </c>
      <c r="J1359" s="20" t="n">
        <v>200622</v>
      </c>
      <c r="L1359" s="39">
        <f>VLOOKUP($P1359,매칭테이블!$G:$J,2,0)*H1359</f>
        <v/>
      </c>
      <c r="M1359" s="39">
        <f>L1359-L1359*VLOOKUP($P1359,매칭테이블!$G:$J,3,0)</f>
        <v/>
      </c>
      <c r="N1359" s="39">
        <f>VLOOKUP($P1359,매칭테이블!$G:$J,4,0)*H1359</f>
        <v/>
      </c>
      <c r="O1359" s="55">
        <f>L1359/1.1</f>
        <v/>
      </c>
      <c r="P1359" s="39">
        <f>F1359&amp;E1359&amp;I1359&amp;J1359</f>
        <v/>
      </c>
    </row>
    <row r="1360">
      <c r="B1360" s="51" t="n">
        <v>44025</v>
      </c>
      <c r="C1360" s="39" t="inlineStr">
        <is>
          <t>월</t>
        </is>
      </c>
      <c r="E1360" s="39" t="inlineStr">
        <is>
          <t>고체향수</t>
        </is>
      </c>
      <c r="F1360" s="39" t="inlineStr">
        <is>
          <t>카페24</t>
        </is>
      </c>
      <c r="H1360" s="39" t="n">
        <v>2</v>
      </c>
      <c r="I1360" s="39" t="inlineStr">
        <is>
          <t>이그나이트</t>
        </is>
      </c>
      <c r="J1360" s="20" t="n">
        <v>200622</v>
      </c>
      <c r="L1360" s="39">
        <f>VLOOKUP($P1360,매칭테이블!$G:$J,2,0)*H1360</f>
        <v/>
      </c>
      <c r="M1360" s="39">
        <f>L1360-L1360*VLOOKUP($P1360,매칭테이블!$G:$J,3,0)</f>
        <v/>
      </c>
      <c r="N1360" s="39">
        <f>VLOOKUP($P1360,매칭테이블!$G:$J,4,0)*H1360</f>
        <v/>
      </c>
      <c r="O1360" s="55">
        <f>L1360/1.1</f>
        <v/>
      </c>
      <c r="P1360" s="39">
        <f>F1360&amp;E1360&amp;I1360&amp;J1360</f>
        <v/>
      </c>
    </row>
    <row r="1361">
      <c r="B1361" s="51" t="n">
        <v>44025</v>
      </c>
      <c r="C1361" s="39" t="inlineStr">
        <is>
          <t>월</t>
        </is>
      </c>
      <c r="E1361" s="39" t="inlineStr">
        <is>
          <t>고체향수</t>
        </is>
      </c>
      <c r="F1361" s="39" t="inlineStr">
        <is>
          <t>카페24</t>
        </is>
      </c>
      <c r="H1361" s="39" t="n">
        <v>46</v>
      </c>
      <c r="I1361" s="39" t="inlineStr">
        <is>
          <t>스테이포에버</t>
        </is>
      </c>
      <c r="J1361" s="20" t="n">
        <v>200622</v>
      </c>
      <c r="L1361" s="39">
        <f>VLOOKUP($P1361,매칭테이블!$G:$J,2,0)*H1361</f>
        <v/>
      </c>
      <c r="M1361" s="39">
        <f>L1361-L1361*VLOOKUP($P1361,매칭테이블!$G:$J,3,0)</f>
        <v/>
      </c>
      <c r="N1361" s="39">
        <f>VLOOKUP($P1361,매칭테이블!$G:$J,4,0)*H1361</f>
        <v/>
      </c>
      <c r="O1361" s="55">
        <f>L1361/1.1</f>
        <v/>
      </c>
      <c r="P1361" s="39">
        <f>F1361&amp;E1361&amp;I1361&amp;J1361</f>
        <v/>
      </c>
    </row>
    <row r="1362">
      <c r="B1362" s="51" t="n">
        <v>44026</v>
      </c>
      <c r="C1362" s="39" t="inlineStr">
        <is>
          <t>화</t>
        </is>
      </c>
      <c r="E1362" s="39" t="inlineStr">
        <is>
          <t>고체향수</t>
        </is>
      </c>
      <c r="F1362" s="39" t="inlineStr">
        <is>
          <t>카페24</t>
        </is>
      </c>
      <c r="H1362" s="39" t="n">
        <v>3</v>
      </c>
      <c r="I1362" s="39" t="inlineStr">
        <is>
          <t>이그나이트 + 스테이포에버</t>
        </is>
      </c>
      <c r="J1362" s="20" t="n">
        <v>200622</v>
      </c>
      <c r="L1362" s="39">
        <f>VLOOKUP($P1362,매칭테이블!$G:$J,2,0)*H1362</f>
        <v/>
      </c>
      <c r="M1362" s="39">
        <f>L1362-L1362*VLOOKUP($P1362,매칭테이블!$G:$J,3,0)</f>
        <v/>
      </c>
      <c r="N1362" s="39">
        <f>VLOOKUP($P1362,매칭테이블!$G:$J,4,0)*H1362</f>
        <v/>
      </c>
      <c r="O1362" s="55">
        <f>L1362/1.1</f>
        <v/>
      </c>
      <c r="P1362" s="39">
        <f>F1362&amp;E1362&amp;I1362&amp;J1362</f>
        <v/>
      </c>
    </row>
    <row r="1363">
      <c r="B1363" s="51" t="n">
        <v>44026</v>
      </c>
      <c r="C1363" s="39" t="inlineStr">
        <is>
          <t>화</t>
        </is>
      </c>
      <c r="E1363" s="39" t="inlineStr">
        <is>
          <t>고체향수</t>
        </is>
      </c>
      <c r="F1363" s="39" t="inlineStr">
        <is>
          <t>카페24</t>
        </is>
      </c>
      <c r="H1363" s="39" t="n">
        <v>77</v>
      </c>
      <c r="I1363" s="39" t="inlineStr">
        <is>
          <t>스테이포에버</t>
        </is>
      </c>
      <c r="J1363" s="20" t="n">
        <v>200622</v>
      </c>
      <c r="L1363" s="39">
        <f>VLOOKUP($P1363,매칭테이블!$G:$J,2,0)*H1363</f>
        <v/>
      </c>
      <c r="M1363" s="39">
        <f>L1363-L1363*VLOOKUP($P1363,매칭테이블!$G:$J,3,0)</f>
        <v/>
      </c>
      <c r="N1363" s="39">
        <f>VLOOKUP($P1363,매칭테이블!$G:$J,4,0)*H1363</f>
        <v/>
      </c>
      <c r="O1363" s="55">
        <f>L1363/1.1</f>
        <v/>
      </c>
      <c r="P1363" s="39">
        <f>F1363&amp;E1363&amp;I1363&amp;J1363</f>
        <v/>
      </c>
    </row>
    <row r="1364">
      <c r="B1364" s="51" t="n">
        <v>44026</v>
      </c>
      <c r="C1364" s="39" t="inlineStr">
        <is>
          <t>화</t>
        </is>
      </c>
      <c r="E1364" s="39" t="inlineStr">
        <is>
          <t>쇼핑백</t>
        </is>
      </c>
      <c r="F1364" s="39" t="inlineStr">
        <is>
          <t>카페24</t>
        </is>
      </c>
      <c r="H1364" s="39" t="n">
        <v>3</v>
      </c>
      <c r="I1364" s="39" t="inlineStr">
        <is>
          <t>유즈쇼핑백</t>
        </is>
      </c>
      <c r="J1364" s="20" t="n">
        <v>200622</v>
      </c>
      <c r="L1364" s="39">
        <f>VLOOKUP($P1364,매칭테이블!$G:$J,2,0)*H1364</f>
        <v/>
      </c>
      <c r="M1364" s="39">
        <f>L1364-L1364*VLOOKUP($P1364,매칭테이블!$G:$J,3,0)</f>
        <v/>
      </c>
      <c r="N1364" s="39">
        <f>VLOOKUP($P1364,매칭테이블!$G:$J,4,0)*H1364</f>
        <v/>
      </c>
      <c r="O1364" s="55">
        <f>L1364/1.1</f>
        <v/>
      </c>
      <c r="P1364" s="39">
        <f>F1364&amp;E1364&amp;I1364&amp;J1364</f>
        <v/>
      </c>
    </row>
    <row r="1365">
      <c r="B1365" s="51" t="n">
        <v>44026</v>
      </c>
      <c r="C1365" s="39" t="inlineStr">
        <is>
          <t>화</t>
        </is>
      </c>
      <c r="E1365" s="39" t="inlineStr">
        <is>
          <t>고체향수</t>
        </is>
      </c>
      <c r="F1365" s="39" t="inlineStr">
        <is>
          <t>카페24</t>
        </is>
      </c>
      <c r="H1365" s="39" t="n">
        <v>2</v>
      </c>
      <c r="I1365" s="39" t="inlineStr">
        <is>
          <t>이그나이트</t>
        </is>
      </c>
      <c r="J1365" s="20" t="n">
        <v>200622</v>
      </c>
      <c r="L1365" s="39">
        <f>VLOOKUP($P1365,매칭테이블!$G:$J,2,0)*H1365</f>
        <v/>
      </c>
      <c r="M1365" s="39">
        <f>L1365-L1365*VLOOKUP($P1365,매칭테이블!$G:$J,3,0)</f>
        <v/>
      </c>
      <c r="N1365" s="39">
        <f>VLOOKUP($P1365,매칭테이블!$G:$J,4,0)*H1365</f>
        <v/>
      </c>
      <c r="O1365" s="55">
        <f>L1365/1.1</f>
        <v/>
      </c>
      <c r="P1365" s="39">
        <f>F1365&amp;E1365&amp;I1365&amp;J1365</f>
        <v/>
      </c>
    </row>
    <row r="1366">
      <c r="B1366" s="51" t="n">
        <v>44027</v>
      </c>
      <c r="C1366" s="39" t="inlineStr">
        <is>
          <t>수</t>
        </is>
      </c>
      <c r="E1366" s="39" t="inlineStr">
        <is>
          <t>고체향수</t>
        </is>
      </c>
      <c r="F1366" s="39" t="inlineStr">
        <is>
          <t>카페24</t>
        </is>
      </c>
      <c r="H1366" s="39" t="n">
        <v>1</v>
      </c>
      <c r="I1366" s="39" t="inlineStr">
        <is>
          <t>이그나이트 + 스테이포에버</t>
        </is>
      </c>
      <c r="J1366" s="20" t="n">
        <v>200622</v>
      </c>
      <c r="L1366" s="39">
        <f>VLOOKUP($P1366,매칭테이블!$G:$J,2,0)*H1366</f>
        <v/>
      </c>
      <c r="M1366" s="39">
        <f>L1366-L1366*VLOOKUP($P1366,매칭테이블!$G:$J,3,0)</f>
        <v/>
      </c>
      <c r="N1366" s="39">
        <f>VLOOKUP($P1366,매칭테이블!$G:$J,4,0)*H1366</f>
        <v/>
      </c>
      <c r="O1366" s="55">
        <f>L1366/1.1</f>
        <v/>
      </c>
      <c r="P1366" s="39">
        <f>F1366&amp;E1366&amp;I1366&amp;J1366</f>
        <v/>
      </c>
    </row>
    <row r="1367">
      <c r="B1367" s="51" t="n">
        <v>44027</v>
      </c>
      <c r="C1367" s="39" t="inlineStr">
        <is>
          <t>수</t>
        </is>
      </c>
      <c r="E1367" s="39" t="inlineStr">
        <is>
          <t>고체향수</t>
        </is>
      </c>
      <c r="F1367" s="39" t="inlineStr">
        <is>
          <t>카페24</t>
        </is>
      </c>
      <c r="H1367" s="39" t="n">
        <v>112</v>
      </c>
      <c r="I1367" s="39" t="inlineStr">
        <is>
          <t>스테이포에버</t>
        </is>
      </c>
      <c r="J1367" s="20" t="n">
        <v>200622</v>
      </c>
      <c r="L1367" s="39">
        <f>VLOOKUP($P1367,매칭테이블!$G:$J,2,0)*H1367</f>
        <v/>
      </c>
      <c r="M1367" s="39">
        <f>L1367-L1367*VLOOKUP($P1367,매칭테이블!$G:$J,3,0)</f>
        <v/>
      </c>
      <c r="N1367" s="39">
        <f>VLOOKUP($P1367,매칭테이블!$G:$J,4,0)*H1367</f>
        <v/>
      </c>
      <c r="O1367" s="55">
        <f>L1367/1.1</f>
        <v/>
      </c>
      <c r="P1367" s="39">
        <f>F1367&amp;E1367&amp;I1367&amp;J1367</f>
        <v/>
      </c>
    </row>
    <row r="1368">
      <c r="B1368" s="51" t="n">
        <v>44027</v>
      </c>
      <c r="C1368" s="39" t="inlineStr">
        <is>
          <t>수</t>
        </is>
      </c>
      <c r="E1368" s="39" t="inlineStr">
        <is>
          <t>쇼핑백</t>
        </is>
      </c>
      <c r="F1368" s="39" t="inlineStr">
        <is>
          <t>카페24</t>
        </is>
      </c>
      <c r="H1368" s="39" t="n">
        <v>1</v>
      </c>
      <c r="I1368" s="39" t="inlineStr">
        <is>
          <t>유즈쇼핑백</t>
        </is>
      </c>
      <c r="J1368" s="20" t="n">
        <v>200622</v>
      </c>
      <c r="L1368" s="39">
        <f>VLOOKUP($P1368,매칭테이블!$G:$J,2,0)*H1368</f>
        <v/>
      </c>
      <c r="M1368" s="39">
        <f>L1368-L1368*VLOOKUP($P1368,매칭테이블!$G:$J,3,0)</f>
        <v/>
      </c>
      <c r="N1368" s="39">
        <f>VLOOKUP($P1368,매칭테이블!$G:$J,4,0)*H1368</f>
        <v/>
      </c>
      <c r="O1368" s="55">
        <f>L1368/1.1</f>
        <v/>
      </c>
      <c r="P1368" s="39">
        <f>F1368&amp;E1368&amp;I1368&amp;J1368</f>
        <v/>
      </c>
    </row>
    <row r="1369">
      <c r="B1369" s="51" t="n">
        <v>44027</v>
      </c>
      <c r="C1369" s="39" t="inlineStr">
        <is>
          <t>수</t>
        </is>
      </c>
      <c r="E1369" s="39" t="inlineStr">
        <is>
          <t>고체향수</t>
        </is>
      </c>
      <c r="F1369" s="39" t="inlineStr">
        <is>
          <t>카페24</t>
        </is>
      </c>
      <c r="H1369" s="39" t="n">
        <v>3</v>
      </c>
      <c r="I1369" s="39" t="inlineStr">
        <is>
          <t>이그나이트</t>
        </is>
      </c>
      <c r="J1369" s="20" t="n">
        <v>200622</v>
      </c>
      <c r="L1369" s="39">
        <f>VLOOKUP($P1369,매칭테이블!$G:$J,2,0)*H1369</f>
        <v/>
      </c>
      <c r="M1369" s="39">
        <f>L1369-L1369*VLOOKUP($P1369,매칭테이블!$G:$J,3,0)</f>
        <v/>
      </c>
      <c r="N1369" s="39">
        <f>VLOOKUP($P1369,매칭테이블!$G:$J,4,0)*H1369</f>
        <v/>
      </c>
      <c r="O1369" s="55">
        <f>L1369/1.1</f>
        <v/>
      </c>
      <c r="P1369" s="39">
        <f>F1369&amp;E1369&amp;I1369&amp;J1369</f>
        <v/>
      </c>
    </row>
    <row r="1370">
      <c r="B1370" s="51" t="n">
        <v>44028</v>
      </c>
      <c r="C1370" s="39" t="inlineStr">
        <is>
          <t>목</t>
        </is>
      </c>
      <c r="E1370" s="39" t="inlineStr">
        <is>
          <t>고체향수</t>
        </is>
      </c>
      <c r="F1370" s="39" t="inlineStr">
        <is>
          <t>유즈 CS</t>
        </is>
      </c>
      <c r="G1370" s="39" t="n"/>
      <c r="H1370" s="39" t="n">
        <v>1</v>
      </c>
      <c r="I1370" s="39" t="inlineStr">
        <is>
          <t>이그나이트</t>
        </is>
      </c>
      <c r="J1370" s="39" t="n">
        <v>200520</v>
      </c>
      <c r="L1370" s="39">
        <f>VLOOKUP($P1370,매칭테이블!$G:$J,2,0)*H1370</f>
        <v/>
      </c>
      <c r="M1370" s="39">
        <f>L1370-L1370*VLOOKUP($P1370,매칭테이블!$G:$J,3,0)</f>
        <v/>
      </c>
      <c r="N1370" s="39">
        <f>VLOOKUP($P1370,매칭테이블!$G:$J,4,0)*H1370</f>
        <v/>
      </c>
      <c r="O1370" s="55">
        <f>L1370/1.1</f>
        <v/>
      </c>
      <c r="P1370" s="39">
        <f>F1370&amp;E1370&amp;I1370&amp;J1370</f>
        <v/>
      </c>
    </row>
    <row r="1371">
      <c r="B1371" s="51" t="n">
        <v>44028</v>
      </c>
      <c r="C1371" s="39" t="inlineStr">
        <is>
          <t>목</t>
        </is>
      </c>
      <c r="E1371" s="39" t="inlineStr">
        <is>
          <t>쇼핑백</t>
        </is>
      </c>
      <c r="F1371" s="39" t="inlineStr">
        <is>
          <t>유즈 CS</t>
        </is>
      </c>
      <c r="G1371" s="39" t="n"/>
      <c r="H1371" s="39" t="n">
        <v>1</v>
      </c>
      <c r="I1371" s="39" t="inlineStr">
        <is>
          <t>유즈쇼핑백</t>
        </is>
      </c>
      <c r="J1371" s="39" t="n">
        <v>200520</v>
      </c>
      <c r="L1371" s="39">
        <f>VLOOKUP($P1371,매칭테이블!$G:$J,2,0)*H1371</f>
        <v/>
      </c>
      <c r="M1371" s="39">
        <f>L1371-L1371*VLOOKUP($P1371,매칭테이블!$G:$J,3,0)</f>
        <v/>
      </c>
      <c r="N1371" s="39">
        <f>VLOOKUP($P1371,매칭테이블!$G:$J,4,0)*H1371</f>
        <v/>
      </c>
      <c r="O1371" s="55">
        <f>L1371/1.1</f>
        <v/>
      </c>
      <c r="P1371" s="39">
        <f>F1371&amp;E1371&amp;I1371&amp;J1371</f>
        <v/>
      </c>
    </row>
    <row r="1372">
      <c r="B1372" s="51" t="n">
        <v>44028</v>
      </c>
      <c r="C1372" s="39" t="inlineStr">
        <is>
          <t>목</t>
        </is>
      </c>
      <c r="E1372" s="39" t="inlineStr">
        <is>
          <t>고체향수</t>
        </is>
      </c>
      <c r="F1372" s="39" t="inlineStr">
        <is>
          <t>카페24</t>
        </is>
      </c>
      <c r="H1372" s="39" t="n">
        <v>51</v>
      </c>
      <c r="I1372" s="39" t="inlineStr">
        <is>
          <t>스테이포에버</t>
        </is>
      </c>
      <c r="J1372" s="20" t="n">
        <v>200622</v>
      </c>
      <c r="L1372" s="39">
        <f>VLOOKUP($P1372,매칭테이블!$G:$J,2,0)*H1372</f>
        <v/>
      </c>
      <c r="M1372" s="39">
        <f>L1372-L1372*VLOOKUP($P1372,매칭테이블!$G:$J,3,0)</f>
        <v/>
      </c>
      <c r="N1372" s="39">
        <f>VLOOKUP($P1372,매칭테이블!$G:$J,4,0)*H1372</f>
        <v/>
      </c>
      <c r="O1372" s="55">
        <f>L1372/1.1</f>
        <v/>
      </c>
      <c r="P1372" s="39">
        <f>F1372&amp;E1372&amp;I1372&amp;J1372</f>
        <v/>
      </c>
    </row>
    <row r="1373">
      <c r="B1373" s="51" t="n">
        <v>44029</v>
      </c>
      <c r="C1373" s="39" t="inlineStr">
        <is>
          <t>금</t>
        </is>
      </c>
      <c r="E1373" s="39" t="inlineStr">
        <is>
          <t>고체향수</t>
        </is>
      </c>
      <c r="F1373" s="39" t="inlineStr">
        <is>
          <t>카페24</t>
        </is>
      </c>
      <c r="H1373" s="39" t="n">
        <v>86</v>
      </c>
      <c r="I1373" s="39" t="inlineStr">
        <is>
          <t>스테이포에버</t>
        </is>
      </c>
      <c r="J1373" s="20" t="n">
        <v>200622</v>
      </c>
      <c r="L1373" s="39">
        <f>VLOOKUP($P1373,매칭테이블!$G:$J,2,0)*H1373</f>
        <v/>
      </c>
      <c r="M1373" s="39">
        <f>L1373-L1373*VLOOKUP($P1373,매칭테이블!$G:$J,3,0)</f>
        <v/>
      </c>
      <c r="N1373" s="39">
        <f>VLOOKUP($P1373,매칭테이블!$G:$J,4,0)*H1373</f>
        <v/>
      </c>
      <c r="O1373" s="55">
        <f>L1373/1.1</f>
        <v/>
      </c>
      <c r="P1373" s="39">
        <f>F1373&amp;E1373&amp;I1373&amp;J1373</f>
        <v/>
      </c>
    </row>
    <row r="1374">
      <c r="B1374" s="51" t="n">
        <v>44029</v>
      </c>
      <c r="C1374" s="39" t="inlineStr">
        <is>
          <t>금</t>
        </is>
      </c>
      <c r="E1374" s="39" t="inlineStr">
        <is>
          <t>쇼핑백</t>
        </is>
      </c>
      <c r="F1374" s="39" t="inlineStr">
        <is>
          <t>카페24</t>
        </is>
      </c>
      <c r="H1374" s="39" t="n">
        <v>2</v>
      </c>
      <c r="I1374" s="39" t="inlineStr">
        <is>
          <t>유즈쇼핑백</t>
        </is>
      </c>
      <c r="J1374" s="20" t="n">
        <v>200622</v>
      </c>
      <c r="L1374" s="39">
        <f>VLOOKUP($P1374,매칭테이블!$G:$J,2,0)*H1374</f>
        <v/>
      </c>
      <c r="M1374" s="39">
        <f>L1374-L1374*VLOOKUP($P1374,매칭테이블!$G:$J,3,0)</f>
        <v/>
      </c>
      <c r="N1374" s="39">
        <f>VLOOKUP($P1374,매칭테이블!$G:$J,4,0)*H1374</f>
        <v/>
      </c>
      <c r="O1374" s="55">
        <f>L1374/1.1</f>
        <v/>
      </c>
      <c r="P1374" s="39">
        <f>F1374&amp;E1374&amp;I1374&amp;J1374</f>
        <v/>
      </c>
    </row>
    <row r="1375">
      <c r="B1375" s="51" t="n">
        <v>44029</v>
      </c>
      <c r="C1375" s="39" t="inlineStr">
        <is>
          <t>금</t>
        </is>
      </c>
      <c r="E1375" s="39" t="inlineStr">
        <is>
          <t>고체향수</t>
        </is>
      </c>
      <c r="F1375" s="39" t="inlineStr">
        <is>
          <t>카페24</t>
        </is>
      </c>
      <c r="H1375" s="39" t="n">
        <v>3</v>
      </c>
      <c r="I1375" s="39" t="inlineStr">
        <is>
          <t>이그나이트</t>
        </is>
      </c>
      <c r="J1375" s="20" t="n">
        <v>200622</v>
      </c>
      <c r="L1375" s="39">
        <f>VLOOKUP($P1375,매칭테이블!$G:$J,2,0)*H1375</f>
        <v/>
      </c>
      <c r="M1375" s="39">
        <f>L1375-L1375*VLOOKUP($P1375,매칭테이블!$G:$J,3,0)</f>
        <v/>
      </c>
      <c r="N1375" s="39">
        <f>VLOOKUP($P1375,매칭테이블!$G:$J,4,0)*H1375</f>
        <v/>
      </c>
      <c r="O1375" s="55">
        <f>L1375/1.1</f>
        <v/>
      </c>
      <c r="P1375" s="39">
        <f>F1375&amp;E1375&amp;I1375&amp;J1375</f>
        <v/>
      </c>
    </row>
    <row r="1376">
      <c r="B1376" s="51" t="n">
        <v>44030</v>
      </c>
      <c r="C1376" s="39" t="inlineStr">
        <is>
          <t>토</t>
        </is>
      </c>
      <c r="E1376" s="39" t="inlineStr">
        <is>
          <t>고체향수</t>
        </is>
      </c>
      <c r="F1376" s="39" t="inlineStr">
        <is>
          <t>카페24</t>
        </is>
      </c>
      <c r="H1376" s="39" t="n">
        <v>41</v>
      </c>
      <c r="I1376" s="39" t="inlineStr">
        <is>
          <t>스테이포에버</t>
        </is>
      </c>
      <c r="J1376" s="20" t="n">
        <v>200622</v>
      </c>
      <c r="L1376" s="39">
        <f>VLOOKUP($P1376,매칭테이블!$G:$J,2,0)*H1376</f>
        <v/>
      </c>
      <c r="M1376" s="39">
        <f>L1376-L1376*VLOOKUP($P1376,매칭테이블!$G:$J,3,0)</f>
        <v/>
      </c>
      <c r="N1376" s="39">
        <f>VLOOKUP($P1376,매칭테이블!$G:$J,4,0)*H1376</f>
        <v/>
      </c>
      <c r="O1376" s="55">
        <f>L1376/1.1</f>
        <v/>
      </c>
      <c r="P1376" s="39">
        <f>F1376&amp;E1376&amp;I1376&amp;J1376</f>
        <v/>
      </c>
    </row>
    <row r="1377">
      <c r="B1377" s="51" t="n">
        <v>44030</v>
      </c>
      <c r="C1377" s="39" t="inlineStr">
        <is>
          <t>토</t>
        </is>
      </c>
      <c r="E1377" s="39" t="inlineStr">
        <is>
          <t>고체향수</t>
        </is>
      </c>
      <c r="F1377" s="39" t="inlineStr">
        <is>
          <t>카페24</t>
        </is>
      </c>
      <c r="H1377" s="39" t="n">
        <v>1</v>
      </c>
      <c r="I1377" s="39" t="inlineStr">
        <is>
          <t>이그나이트</t>
        </is>
      </c>
      <c r="J1377" s="20" t="n">
        <v>200622</v>
      </c>
      <c r="L1377" s="39">
        <f>VLOOKUP($P1377,매칭테이블!$G:$J,2,0)*H1377</f>
        <v/>
      </c>
      <c r="M1377" s="39">
        <f>L1377-L1377*VLOOKUP($P1377,매칭테이블!$G:$J,3,0)</f>
        <v/>
      </c>
      <c r="N1377" s="39">
        <f>VLOOKUP($P1377,매칭테이블!$G:$J,4,0)*H1377</f>
        <v/>
      </c>
      <c r="O1377" s="55">
        <f>L1377/1.1</f>
        <v/>
      </c>
      <c r="P1377" s="39">
        <f>F1377&amp;E1377&amp;I1377&amp;J1377</f>
        <v/>
      </c>
    </row>
    <row r="1378">
      <c r="B1378" s="51" t="n">
        <v>44031</v>
      </c>
      <c r="C1378" s="39" t="inlineStr">
        <is>
          <t>일</t>
        </is>
      </c>
      <c r="E1378" s="39" t="inlineStr">
        <is>
          <t>고체향수</t>
        </is>
      </c>
      <c r="F1378" s="39" t="inlineStr">
        <is>
          <t>카페24</t>
        </is>
      </c>
      <c r="H1378" s="39" t="n">
        <v>46</v>
      </c>
      <c r="I1378" s="39" t="inlineStr">
        <is>
          <t>스테이포에버</t>
        </is>
      </c>
      <c r="J1378" s="20" t="n">
        <v>200622</v>
      </c>
      <c r="L1378" s="39">
        <f>VLOOKUP($P1378,매칭테이블!$G:$J,2,0)*H1378</f>
        <v/>
      </c>
      <c r="M1378" s="39">
        <f>L1378-L1378*VLOOKUP($P1378,매칭테이블!$G:$J,3,0)</f>
        <v/>
      </c>
      <c r="N1378" s="39">
        <f>VLOOKUP($P1378,매칭테이블!$G:$J,4,0)*H1378</f>
        <v/>
      </c>
      <c r="O1378" s="55">
        <f>L1378/1.1</f>
        <v/>
      </c>
      <c r="P1378" s="39">
        <f>F1378&amp;E1378&amp;I1378&amp;J1378</f>
        <v/>
      </c>
    </row>
    <row r="1379">
      <c r="B1379" s="51" t="n">
        <v>44031</v>
      </c>
      <c r="C1379" s="39" t="inlineStr">
        <is>
          <t>일</t>
        </is>
      </c>
      <c r="E1379" s="39" t="inlineStr">
        <is>
          <t>쇼핑백</t>
        </is>
      </c>
      <c r="F1379" s="39" t="inlineStr">
        <is>
          <t>카페24</t>
        </is>
      </c>
      <c r="H1379" s="39" t="n">
        <v>1</v>
      </c>
      <c r="I1379" s="39" t="inlineStr">
        <is>
          <t>유즈쇼핑백</t>
        </is>
      </c>
      <c r="J1379" s="20" t="n">
        <v>200622</v>
      </c>
      <c r="L1379" s="39">
        <f>VLOOKUP($P1379,매칭테이블!$G:$J,2,0)*H1379</f>
        <v/>
      </c>
      <c r="M1379" s="39">
        <f>L1379-L1379*VLOOKUP($P1379,매칭테이블!$G:$J,3,0)</f>
        <v/>
      </c>
      <c r="N1379" s="39">
        <f>VLOOKUP($P1379,매칭테이블!$G:$J,4,0)*H1379</f>
        <v/>
      </c>
      <c r="O1379" s="55">
        <f>L1379/1.1</f>
        <v/>
      </c>
      <c r="P1379" s="39">
        <f>F1379&amp;E1379&amp;I1379&amp;J1379</f>
        <v/>
      </c>
    </row>
    <row r="1380">
      <c r="B1380" s="51" t="n">
        <v>44032</v>
      </c>
      <c r="C1380" s="39" t="inlineStr">
        <is>
          <t>월</t>
        </is>
      </c>
      <c r="E1380" s="39" t="inlineStr">
        <is>
          <t>고체향수</t>
        </is>
      </c>
      <c r="F1380" s="39" t="inlineStr">
        <is>
          <t>카페24</t>
        </is>
      </c>
      <c r="H1380" s="39" t="n">
        <v>1</v>
      </c>
      <c r="I1380" s="39" t="inlineStr">
        <is>
          <t>이그나이트 + 스테이포에버</t>
        </is>
      </c>
      <c r="J1380" s="20" t="n">
        <v>200622</v>
      </c>
      <c r="L1380" s="39">
        <f>VLOOKUP($P1380,매칭테이블!$G:$J,2,0)*H1380</f>
        <v/>
      </c>
      <c r="M1380" s="39">
        <f>L1380-L1380*VLOOKUP($P1380,매칭테이블!$G:$J,3,0)</f>
        <v/>
      </c>
      <c r="N1380" s="39">
        <f>VLOOKUP($P1380,매칭테이블!$G:$J,4,0)*H1380</f>
        <v/>
      </c>
      <c r="O1380" s="55">
        <f>L1380/1.1</f>
        <v/>
      </c>
      <c r="P1380" s="39">
        <f>F1380&amp;E1380&amp;I1380&amp;J1380</f>
        <v/>
      </c>
    </row>
    <row r="1381">
      <c r="B1381" s="51" t="n">
        <v>44032</v>
      </c>
      <c r="C1381" s="39" t="inlineStr">
        <is>
          <t>월</t>
        </is>
      </c>
      <c r="E1381" s="39" t="inlineStr">
        <is>
          <t>고체향수</t>
        </is>
      </c>
      <c r="F1381" s="39" t="inlineStr">
        <is>
          <t>카페24</t>
        </is>
      </c>
      <c r="H1381" s="39" t="n">
        <v>3</v>
      </c>
      <c r="I1381" s="39" t="inlineStr">
        <is>
          <t>이그나이트</t>
        </is>
      </c>
      <c r="J1381" s="20" t="n">
        <v>200622</v>
      </c>
      <c r="L1381" s="39">
        <f>VLOOKUP($P1381,매칭테이블!$G:$J,2,0)*H1381</f>
        <v/>
      </c>
      <c r="M1381" s="39">
        <f>L1381-L1381*VLOOKUP($P1381,매칭테이블!$G:$J,3,0)</f>
        <v/>
      </c>
      <c r="N1381" s="39">
        <f>VLOOKUP($P1381,매칭테이블!$G:$J,4,0)*H1381</f>
        <v/>
      </c>
      <c r="O1381" s="55">
        <f>L1381/1.1</f>
        <v/>
      </c>
      <c r="P1381" s="39">
        <f>F1381&amp;E1381&amp;I1381&amp;J1381</f>
        <v/>
      </c>
    </row>
    <row r="1382">
      <c r="B1382" s="51" t="n">
        <v>44032</v>
      </c>
      <c r="C1382" s="39" t="inlineStr">
        <is>
          <t>월</t>
        </is>
      </c>
      <c r="E1382" s="39" t="inlineStr">
        <is>
          <t>고체향수</t>
        </is>
      </c>
      <c r="F1382" s="39" t="inlineStr">
        <is>
          <t>카페24</t>
        </is>
      </c>
      <c r="H1382" s="39" t="n">
        <v>59</v>
      </c>
      <c r="I1382" s="39" t="inlineStr">
        <is>
          <t>스테이포에버</t>
        </is>
      </c>
      <c r="J1382" s="20" t="n">
        <v>200622</v>
      </c>
      <c r="L1382" s="39">
        <f>VLOOKUP($P1382,매칭테이블!$G:$J,2,0)*H1382</f>
        <v/>
      </c>
      <c r="M1382" s="39">
        <f>L1382-L1382*VLOOKUP($P1382,매칭테이블!$G:$J,3,0)</f>
        <v/>
      </c>
      <c r="N1382" s="39">
        <f>VLOOKUP($P1382,매칭테이블!$G:$J,4,0)*H1382</f>
        <v/>
      </c>
      <c r="O1382" s="55">
        <f>L1382/1.1</f>
        <v/>
      </c>
      <c r="P1382" s="39">
        <f>F1382&amp;E1382&amp;I1382&amp;J1382</f>
        <v/>
      </c>
    </row>
    <row r="1383">
      <c r="B1383" s="51" t="n">
        <v>44032</v>
      </c>
      <c r="C1383" s="39" t="inlineStr">
        <is>
          <t>월</t>
        </is>
      </c>
      <c r="E1383" s="39" t="inlineStr">
        <is>
          <t>고체향수</t>
        </is>
      </c>
      <c r="F1383" s="39" t="inlineStr">
        <is>
          <t>카페24</t>
        </is>
      </c>
      <c r="G1383" s="39" t="n"/>
      <c r="H1383" s="39" t="n">
        <v>4</v>
      </c>
      <c r="I1383" s="39" t="inlineStr">
        <is>
          <t>스테이포에버 2set</t>
        </is>
      </c>
      <c r="J1383" s="20" t="n">
        <v>200622</v>
      </c>
      <c r="L1383" s="39">
        <f>VLOOKUP($P1383,매칭테이블!$G:$J,2,0)*H1383</f>
        <v/>
      </c>
      <c r="M1383" s="39">
        <f>L1383-L1383*VLOOKUP($P1383,매칭테이블!$G:$J,3,0)</f>
        <v/>
      </c>
      <c r="N1383" s="39">
        <f>VLOOKUP($P1383,매칭테이블!$G:$J,4,0)*H1383</f>
        <v/>
      </c>
      <c r="O1383" s="55">
        <f>L1383/1.1</f>
        <v/>
      </c>
      <c r="P1383" s="39">
        <f>F1383&amp;E1383&amp;I1383&amp;J1383</f>
        <v/>
      </c>
    </row>
    <row r="1384">
      <c r="B1384" s="51" t="n">
        <v>44033</v>
      </c>
      <c r="C1384" s="39" t="inlineStr">
        <is>
          <t>화</t>
        </is>
      </c>
      <c r="E1384" s="39" t="inlineStr">
        <is>
          <t>고체향수</t>
        </is>
      </c>
      <c r="F1384" s="39" t="inlineStr">
        <is>
          <t>카페24</t>
        </is>
      </c>
      <c r="H1384" s="39" t="n">
        <v>2</v>
      </c>
      <c r="I1384" s="39" t="inlineStr">
        <is>
          <t>이그나이트 + 스테이포에버</t>
        </is>
      </c>
      <c r="J1384" s="20" t="n">
        <v>200622</v>
      </c>
      <c r="L1384" s="39">
        <f>VLOOKUP($P1384,매칭테이블!$G:$J,2,0)*H1384</f>
        <v/>
      </c>
      <c r="M1384" s="39">
        <f>L1384-L1384*VLOOKUP($P1384,매칭테이블!$G:$J,3,0)</f>
        <v/>
      </c>
      <c r="N1384" s="39">
        <f>VLOOKUP($P1384,매칭테이블!$G:$J,4,0)*H1384</f>
        <v/>
      </c>
      <c r="O1384" s="55">
        <f>L1384/1.1</f>
        <v/>
      </c>
      <c r="P1384" s="39">
        <f>F1384&amp;E1384&amp;I1384&amp;J1384</f>
        <v/>
      </c>
    </row>
    <row r="1385">
      <c r="B1385" s="51" t="n">
        <v>44033</v>
      </c>
      <c r="C1385" s="39" t="inlineStr">
        <is>
          <t>화</t>
        </is>
      </c>
      <c r="E1385" s="39" t="inlineStr">
        <is>
          <t>고체향수</t>
        </is>
      </c>
      <c r="F1385" s="39" t="inlineStr">
        <is>
          <t>카페24</t>
        </is>
      </c>
      <c r="H1385" s="39" t="n">
        <v>9</v>
      </c>
      <c r="I1385" s="39" t="inlineStr">
        <is>
          <t>이그나이트</t>
        </is>
      </c>
      <c r="J1385" s="20" t="n">
        <v>200622</v>
      </c>
      <c r="L1385" s="39">
        <f>VLOOKUP($P1385,매칭테이블!$G:$J,2,0)*H1385</f>
        <v/>
      </c>
      <c r="M1385" s="39">
        <f>L1385-L1385*VLOOKUP($P1385,매칭테이블!$G:$J,3,0)</f>
        <v/>
      </c>
      <c r="N1385" s="39">
        <f>VLOOKUP($P1385,매칭테이블!$G:$J,4,0)*H1385</f>
        <v/>
      </c>
      <c r="O1385" s="55">
        <f>L1385/1.1</f>
        <v/>
      </c>
      <c r="P1385" s="39">
        <f>F1385&amp;E1385&amp;I1385&amp;J1385</f>
        <v/>
      </c>
    </row>
    <row r="1386">
      <c r="B1386" s="51" t="n">
        <v>44033</v>
      </c>
      <c r="C1386" s="39" t="inlineStr">
        <is>
          <t>화</t>
        </is>
      </c>
      <c r="E1386" s="39" t="inlineStr">
        <is>
          <t>고체향수</t>
        </is>
      </c>
      <c r="F1386" s="39" t="inlineStr">
        <is>
          <t>카페24</t>
        </is>
      </c>
      <c r="H1386" s="39" t="n">
        <v>77</v>
      </c>
      <c r="I1386" s="39" t="inlineStr">
        <is>
          <t>스테이포에버</t>
        </is>
      </c>
      <c r="J1386" s="20" t="n">
        <v>200622</v>
      </c>
      <c r="L1386" s="39">
        <f>VLOOKUP($P1386,매칭테이블!$G:$J,2,0)*H1386</f>
        <v/>
      </c>
      <c r="M1386" s="39">
        <f>L1386-L1386*VLOOKUP($P1386,매칭테이블!$G:$J,3,0)</f>
        <v/>
      </c>
      <c r="N1386" s="39">
        <f>VLOOKUP($P1386,매칭테이블!$G:$J,4,0)*H1386</f>
        <v/>
      </c>
      <c r="O1386" s="55">
        <f>L1386/1.1</f>
        <v/>
      </c>
      <c r="P1386" s="39">
        <f>F1386&amp;E1386&amp;I1386&amp;J1386</f>
        <v/>
      </c>
    </row>
    <row r="1387">
      <c r="B1387" s="51" t="n">
        <v>44033</v>
      </c>
      <c r="C1387" s="39" t="inlineStr">
        <is>
          <t>화</t>
        </is>
      </c>
      <c r="E1387" s="39" t="inlineStr">
        <is>
          <t>고체향수</t>
        </is>
      </c>
      <c r="F1387" s="39" t="inlineStr">
        <is>
          <t>카페24</t>
        </is>
      </c>
      <c r="G1387" s="39" t="n"/>
      <c r="H1387" s="39" t="n">
        <v>8</v>
      </c>
      <c r="I1387" s="39" t="inlineStr">
        <is>
          <t>스테이포에버 2set</t>
        </is>
      </c>
      <c r="J1387" s="20" t="n">
        <v>200622</v>
      </c>
      <c r="L1387" s="39">
        <f>VLOOKUP($P1387,매칭테이블!$G:$J,2,0)*H1387</f>
        <v/>
      </c>
      <c r="M1387" s="39">
        <f>L1387-L1387*VLOOKUP($P1387,매칭테이블!$G:$J,3,0)</f>
        <v/>
      </c>
      <c r="N1387" s="39">
        <f>VLOOKUP($P1387,매칭테이블!$G:$J,4,0)*H1387</f>
        <v/>
      </c>
      <c r="O1387" s="55">
        <f>L1387/1.1</f>
        <v/>
      </c>
      <c r="P1387" s="39">
        <f>F1387&amp;E1387&amp;I1387&amp;J1387</f>
        <v/>
      </c>
    </row>
    <row r="1388">
      <c r="B1388" s="51" t="n">
        <v>44033</v>
      </c>
      <c r="C1388" s="39" t="inlineStr">
        <is>
          <t>화</t>
        </is>
      </c>
      <c r="E1388" s="39" t="inlineStr">
        <is>
          <t>고체향수</t>
        </is>
      </c>
      <c r="F1388" s="39" t="inlineStr">
        <is>
          <t>카페24</t>
        </is>
      </c>
      <c r="G1388" s="39" t="n"/>
      <c r="H1388" s="39" t="n">
        <v>2</v>
      </c>
      <c r="I1388" s="39" t="inlineStr">
        <is>
          <t>이그나이트 2set</t>
        </is>
      </c>
      <c r="J1388" s="20" t="n">
        <v>200622</v>
      </c>
      <c r="L1388" s="39">
        <f>VLOOKUP($P1388,매칭테이블!$G:$J,2,0)*H1388</f>
        <v/>
      </c>
      <c r="M1388" s="39">
        <f>L1388-L1388*VLOOKUP($P1388,매칭테이블!$G:$J,3,0)</f>
        <v/>
      </c>
      <c r="N1388" s="39">
        <f>VLOOKUP($P1388,매칭테이블!$G:$J,4,0)*H1388</f>
        <v/>
      </c>
      <c r="O1388" s="55">
        <f>L1388/1.1</f>
        <v/>
      </c>
      <c r="P1388" s="39">
        <f>F1388&amp;E1388&amp;I1388&amp;J1388</f>
        <v/>
      </c>
    </row>
    <row r="1389">
      <c r="B1389" s="51" t="n">
        <v>44033</v>
      </c>
      <c r="C1389" s="39" t="inlineStr">
        <is>
          <t>화</t>
        </is>
      </c>
      <c r="E1389" s="39" t="inlineStr">
        <is>
          <t>쇼핑백</t>
        </is>
      </c>
      <c r="F1389" s="39" t="inlineStr">
        <is>
          <t>카페24</t>
        </is>
      </c>
      <c r="H1389" s="39" t="n">
        <v>1</v>
      </c>
      <c r="I1389" s="39" t="inlineStr">
        <is>
          <t>유즈쇼핑백</t>
        </is>
      </c>
      <c r="J1389" s="20" t="n">
        <v>200622</v>
      </c>
      <c r="L1389" s="39">
        <f>VLOOKUP($P1389,매칭테이블!$G:$J,2,0)*H1389</f>
        <v/>
      </c>
      <c r="M1389" s="39">
        <f>L1389-L1389*VLOOKUP($P1389,매칭테이블!$G:$J,3,0)</f>
        <v/>
      </c>
      <c r="N1389" s="39">
        <f>VLOOKUP($P1389,매칭테이블!$G:$J,4,0)*H1389</f>
        <v/>
      </c>
      <c r="O1389" s="55">
        <f>L1389/1.1</f>
        <v/>
      </c>
      <c r="P1389" s="39">
        <f>F1389&amp;E1389&amp;I1389&amp;J1389</f>
        <v/>
      </c>
    </row>
    <row r="1390">
      <c r="B1390" s="51" t="n">
        <v>44034</v>
      </c>
      <c r="C1390" s="39" t="inlineStr">
        <is>
          <t>수</t>
        </is>
      </c>
      <c r="E1390" s="39" t="inlineStr">
        <is>
          <t>고체향수</t>
        </is>
      </c>
      <c r="F1390" s="39" t="inlineStr">
        <is>
          <t>카페24</t>
        </is>
      </c>
      <c r="H1390" s="39" t="n">
        <v>4</v>
      </c>
      <c r="I1390" s="39" t="inlineStr">
        <is>
          <t>이그나이트 + 스테이포에버</t>
        </is>
      </c>
      <c r="J1390" s="20" t="n">
        <v>200622</v>
      </c>
      <c r="L1390" s="39">
        <f>VLOOKUP($P1390,매칭테이블!$G:$J,2,0)*H1390</f>
        <v/>
      </c>
      <c r="M1390" s="39">
        <f>L1390-L1390*VLOOKUP($P1390,매칭테이블!$G:$J,3,0)</f>
        <v/>
      </c>
      <c r="N1390" s="39">
        <f>VLOOKUP($P1390,매칭테이블!$G:$J,4,0)*H1390</f>
        <v/>
      </c>
      <c r="O1390" s="55">
        <f>L1390/1.1</f>
        <v/>
      </c>
      <c r="P1390" s="39">
        <f>F1390&amp;E1390&amp;I1390&amp;J1390</f>
        <v/>
      </c>
    </row>
    <row r="1391">
      <c r="B1391" s="51" t="n">
        <v>44034</v>
      </c>
      <c r="C1391" s="39" t="inlineStr">
        <is>
          <t>수</t>
        </is>
      </c>
      <c r="E1391" s="39" t="inlineStr">
        <is>
          <t>고체향수</t>
        </is>
      </c>
      <c r="F1391" s="39" t="inlineStr">
        <is>
          <t>카페24</t>
        </is>
      </c>
      <c r="H1391" s="39" t="n">
        <v>90</v>
      </c>
      <c r="I1391" s="39" t="inlineStr">
        <is>
          <t>스테이포에버</t>
        </is>
      </c>
      <c r="J1391" s="20" t="n">
        <v>200622</v>
      </c>
      <c r="L1391" s="39">
        <f>VLOOKUP($P1391,매칭테이블!$G:$J,2,0)*H1391</f>
        <v/>
      </c>
      <c r="M1391" s="39">
        <f>L1391-L1391*VLOOKUP($P1391,매칭테이블!$G:$J,3,0)</f>
        <v/>
      </c>
      <c r="N1391" s="39">
        <f>VLOOKUP($P1391,매칭테이블!$G:$J,4,0)*H1391</f>
        <v/>
      </c>
      <c r="O1391" s="55">
        <f>L1391/1.1</f>
        <v/>
      </c>
      <c r="P1391" s="39">
        <f>F1391&amp;E1391&amp;I1391&amp;J1391</f>
        <v/>
      </c>
    </row>
    <row r="1392">
      <c r="B1392" s="51" t="n">
        <v>44034</v>
      </c>
      <c r="C1392" s="39" t="inlineStr">
        <is>
          <t>수</t>
        </is>
      </c>
      <c r="E1392" s="39" t="inlineStr">
        <is>
          <t>고체향수</t>
        </is>
      </c>
      <c r="F1392" s="39" t="inlineStr">
        <is>
          <t>카페24</t>
        </is>
      </c>
      <c r="G1392" s="39" t="n"/>
      <c r="H1392" s="39" t="n">
        <v>10</v>
      </c>
      <c r="I1392" s="39" t="inlineStr">
        <is>
          <t>스테이포에버 2set</t>
        </is>
      </c>
      <c r="J1392" s="20" t="n">
        <v>200622</v>
      </c>
      <c r="L1392" s="39">
        <f>VLOOKUP($P1392,매칭테이블!$G:$J,2,0)*H1392</f>
        <v/>
      </c>
      <c r="M1392" s="39">
        <f>L1392-L1392*VLOOKUP($P1392,매칭테이블!$G:$J,3,0)</f>
        <v/>
      </c>
      <c r="N1392" s="39">
        <f>VLOOKUP($P1392,매칭테이블!$G:$J,4,0)*H1392</f>
        <v/>
      </c>
      <c r="O1392" s="55">
        <f>L1392/1.1</f>
        <v/>
      </c>
      <c r="P1392" s="39">
        <f>F1392&amp;E1392&amp;I1392&amp;J1392</f>
        <v/>
      </c>
    </row>
    <row r="1393">
      <c r="B1393" s="51" t="n">
        <v>44034</v>
      </c>
      <c r="C1393" s="39" t="inlineStr">
        <is>
          <t>수</t>
        </is>
      </c>
      <c r="E1393" s="39" t="inlineStr">
        <is>
          <t>쇼핑백</t>
        </is>
      </c>
      <c r="F1393" s="39" t="inlineStr">
        <is>
          <t>카페24</t>
        </is>
      </c>
      <c r="H1393" s="39" t="n">
        <v>1</v>
      </c>
      <c r="I1393" s="39" t="inlineStr">
        <is>
          <t>유즈쇼핑백</t>
        </is>
      </c>
      <c r="J1393" s="20" t="n">
        <v>200622</v>
      </c>
      <c r="L1393" s="39">
        <f>VLOOKUP($P1393,매칭테이블!$G:$J,2,0)*H1393</f>
        <v/>
      </c>
      <c r="M1393" s="39">
        <f>L1393-L1393*VLOOKUP($P1393,매칭테이블!$G:$J,3,0)</f>
        <v/>
      </c>
      <c r="N1393" s="39">
        <f>VLOOKUP($P1393,매칭테이블!$G:$J,4,0)*H1393</f>
        <v/>
      </c>
      <c r="O1393" s="55">
        <f>L1393/1.1</f>
        <v/>
      </c>
      <c r="P1393" s="39">
        <f>F1393&amp;E1393&amp;I1393&amp;J1393</f>
        <v/>
      </c>
    </row>
    <row r="1394">
      <c r="B1394" s="51" t="n">
        <v>44034</v>
      </c>
      <c r="C1394" s="39" t="inlineStr">
        <is>
          <t>수</t>
        </is>
      </c>
      <c r="E1394" s="39" t="inlineStr">
        <is>
          <t>고체향수</t>
        </is>
      </c>
      <c r="F1394" s="39" t="inlineStr">
        <is>
          <t>카페24</t>
        </is>
      </c>
      <c r="H1394" s="39" t="n">
        <v>1</v>
      </c>
      <c r="I1394" s="39" t="inlineStr">
        <is>
          <t>이그나이트</t>
        </is>
      </c>
      <c r="J1394" s="20" t="n">
        <v>200622</v>
      </c>
      <c r="L1394" s="39">
        <f>VLOOKUP($P1394,매칭테이블!$G:$J,2,0)*H1394</f>
        <v/>
      </c>
      <c r="M1394" s="39">
        <f>L1394-L1394*VLOOKUP($P1394,매칭테이블!$G:$J,3,0)</f>
        <v/>
      </c>
      <c r="N1394" s="39">
        <f>VLOOKUP($P1394,매칭테이블!$G:$J,4,0)*H1394</f>
        <v/>
      </c>
      <c r="O1394" s="55">
        <f>L1394/1.1</f>
        <v/>
      </c>
      <c r="P1394" s="39">
        <f>F1394&amp;E1394&amp;I1394&amp;J1394</f>
        <v/>
      </c>
    </row>
    <row r="1395">
      <c r="B1395" s="51" t="n">
        <v>44035</v>
      </c>
      <c r="C1395" s="39" t="inlineStr">
        <is>
          <t>목</t>
        </is>
      </c>
      <c r="E1395" s="39" t="inlineStr">
        <is>
          <t>고체향수</t>
        </is>
      </c>
      <c r="F1395" s="39" t="inlineStr">
        <is>
          <t>카페24</t>
        </is>
      </c>
      <c r="H1395" s="39" t="n">
        <v>1</v>
      </c>
      <c r="I1395" s="39" t="inlineStr">
        <is>
          <t>이그나이트 + 스테이포에버</t>
        </is>
      </c>
      <c r="J1395" s="20" t="n">
        <v>200622</v>
      </c>
      <c r="L1395" s="39">
        <f>VLOOKUP($P1395,매칭테이블!$G:$J,2,0)*H1395</f>
        <v/>
      </c>
      <c r="M1395" s="39">
        <f>L1395-L1395*VLOOKUP($P1395,매칭테이블!$G:$J,3,0)</f>
        <v/>
      </c>
      <c r="N1395" s="39">
        <f>VLOOKUP($P1395,매칭테이블!$G:$J,4,0)*H1395</f>
        <v/>
      </c>
      <c r="O1395" s="55">
        <f>L1395/1.1</f>
        <v/>
      </c>
      <c r="P1395" s="39">
        <f>F1395&amp;E1395&amp;I1395&amp;J1395</f>
        <v/>
      </c>
    </row>
    <row r="1396">
      <c r="B1396" s="51" t="n">
        <v>44035</v>
      </c>
      <c r="C1396" s="39" t="inlineStr">
        <is>
          <t>목</t>
        </is>
      </c>
      <c r="E1396" s="39" t="inlineStr">
        <is>
          <t>고체향수</t>
        </is>
      </c>
      <c r="F1396" s="39" t="inlineStr">
        <is>
          <t>카페24</t>
        </is>
      </c>
      <c r="H1396" s="39" t="n">
        <v>2</v>
      </c>
      <c r="I1396" s="39" t="inlineStr">
        <is>
          <t>이그나이트</t>
        </is>
      </c>
      <c r="J1396" s="20" t="n">
        <v>200622</v>
      </c>
      <c r="L1396" s="39">
        <f>VLOOKUP($P1396,매칭테이블!$G:$J,2,0)*H1396</f>
        <v/>
      </c>
      <c r="M1396" s="39">
        <f>L1396-L1396*VLOOKUP($P1396,매칭테이블!$G:$J,3,0)</f>
        <v/>
      </c>
      <c r="N1396" s="39">
        <f>VLOOKUP($P1396,매칭테이블!$G:$J,4,0)*H1396</f>
        <v/>
      </c>
      <c r="O1396" s="55">
        <f>L1396/1.1</f>
        <v/>
      </c>
      <c r="P1396" s="39">
        <f>F1396&amp;E1396&amp;I1396&amp;J1396</f>
        <v/>
      </c>
    </row>
    <row r="1397">
      <c r="B1397" s="51" t="n">
        <v>44035</v>
      </c>
      <c r="C1397" s="39" t="inlineStr">
        <is>
          <t>목</t>
        </is>
      </c>
      <c r="E1397" s="39" t="inlineStr">
        <is>
          <t>고체향수</t>
        </is>
      </c>
      <c r="F1397" s="39" t="inlineStr">
        <is>
          <t>카페24</t>
        </is>
      </c>
      <c r="G1397" s="39" t="n"/>
      <c r="H1397" s="39" t="n">
        <v>16</v>
      </c>
      <c r="I1397" s="39" t="inlineStr">
        <is>
          <t>스테이포에버 2set</t>
        </is>
      </c>
      <c r="J1397" s="20" t="n">
        <v>200622</v>
      </c>
      <c r="L1397" s="39">
        <f>VLOOKUP($P1397,매칭테이블!$G:$J,2,0)*H1397</f>
        <v/>
      </c>
      <c r="M1397" s="39">
        <f>L1397-L1397*VLOOKUP($P1397,매칭테이블!$G:$J,3,0)</f>
        <v/>
      </c>
      <c r="N1397" s="39">
        <f>VLOOKUP($P1397,매칭테이블!$G:$J,4,0)*H1397</f>
        <v/>
      </c>
      <c r="O1397" s="55">
        <f>L1397/1.1</f>
        <v/>
      </c>
      <c r="P1397" s="39">
        <f>F1397&amp;E1397&amp;I1397&amp;J1397</f>
        <v/>
      </c>
    </row>
    <row r="1398">
      <c r="B1398" s="51" t="n">
        <v>44035</v>
      </c>
      <c r="C1398" s="39" t="inlineStr">
        <is>
          <t>목</t>
        </is>
      </c>
      <c r="E1398" s="39" t="inlineStr">
        <is>
          <t>고체향수</t>
        </is>
      </c>
      <c r="F1398" s="39" t="inlineStr">
        <is>
          <t>카페24</t>
        </is>
      </c>
      <c r="H1398" s="39" t="n">
        <v>97</v>
      </c>
      <c r="I1398" s="39" t="inlineStr">
        <is>
          <t>스테이포에버</t>
        </is>
      </c>
      <c r="J1398" s="20" t="n">
        <v>200622</v>
      </c>
      <c r="L1398" s="39">
        <f>VLOOKUP($P1398,매칭테이블!$G:$J,2,0)*H1398</f>
        <v/>
      </c>
      <c r="M1398" s="39">
        <f>L1398-L1398*VLOOKUP($P1398,매칭테이블!$G:$J,3,0)</f>
        <v/>
      </c>
      <c r="N1398" s="39">
        <f>VLOOKUP($P1398,매칭테이블!$G:$J,4,0)*H1398</f>
        <v/>
      </c>
      <c r="O1398" s="55">
        <f>L1398/1.1</f>
        <v/>
      </c>
      <c r="P1398" s="39">
        <f>F1398&amp;E1398&amp;I1398&amp;J1398</f>
        <v/>
      </c>
    </row>
    <row r="1399">
      <c r="B1399" s="51" t="n">
        <v>44035</v>
      </c>
      <c r="C1399" s="39" t="inlineStr">
        <is>
          <t>목</t>
        </is>
      </c>
      <c r="E1399" s="39" t="inlineStr">
        <is>
          <t>쇼핑백</t>
        </is>
      </c>
      <c r="F1399" s="39" t="inlineStr">
        <is>
          <t>카페24</t>
        </is>
      </c>
      <c r="H1399" s="39" t="n">
        <v>3</v>
      </c>
      <c r="I1399" s="39" t="inlineStr">
        <is>
          <t>유즈쇼핑백</t>
        </is>
      </c>
      <c r="J1399" s="20" t="n">
        <v>200622</v>
      </c>
      <c r="L1399" s="39">
        <f>VLOOKUP($P1399,매칭테이블!$G:$J,2,0)*H1399</f>
        <v/>
      </c>
      <c r="M1399" s="39">
        <f>L1399-L1399*VLOOKUP($P1399,매칭테이블!$G:$J,3,0)</f>
        <v/>
      </c>
      <c r="N1399" s="39">
        <f>VLOOKUP($P1399,매칭테이블!$G:$J,4,0)*H1399</f>
        <v/>
      </c>
      <c r="O1399" s="55">
        <f>L1399/1.1</f>
        <v/>
      </c>
      <c r="P1399" s="39">
        <f>F1399&amp;E1399&amp;I1399&amp;J1399</f>
        <v/>
      </c>
    </row>
    <row r="1400">
      <c r="B1400" s="51" t="n">
        <v>44036</v>
      </c>
      <c r="C1400" s="39" t="inlineStr">
        <is>
          <t>금</t>
        </is>
      </c>
      <c r="E1400" s="39" t="inlineStr">
        <is>
          <t>고체향수</t>
        </is>
      </c>
      <c r="F1400" s="39" t="inlineStr">
        <is>
          <t>카페24</t>
        </is>
      </c>
      <c r="H1400" s="39" t="n">
        <v>2</v>
      </c>
      <c r="I1400" s="39" t="inlineStr">
        <is>
          <t>이그나이트 + 스테이포에버</t>
        </is>
      </c>
      <c r="J1400" s="20" t="n">
        <v>200622</v>
      </c>
      <c r="L1400" s="39">
        <f>VLOOKUP($P1400,매칭테이블!$G:$J,2,0)*H1400</f>
        <v/>
      </c>
      <c r="M1400" s="39">
        <f>L1400-L1400*VLOOKUP($P1400,매칭테이블!$G:$J,3,0)</f>
        <v/>
      </c>
      <c r="N1400" s="39">
        <f>VLOOKUP($P1400,매칭테이블!$G:$J,4,0)*H1400</f>
        <v/>
      </c>
      <c r="O1400" s="55">
        <f>L1400/1.1</f>
        <v/>
      </c>
      <c r="P1400" s="39">
        <f>F1400&amp;E1400&amp;I1400&amp;J1400</f>
        <v/>
      </c>
    </row>
    <row r="1401">
      <c r="B1401" s="51" t="n">
        <v>44036</v>
      </c>
      <c r="C1401" s="39" t="inlineStr">
        <is>
          <t>금</t>
        </is>
      </c>
      <c r="E1401" s="39" t="inlineStr">
        <is>
          <t>고체향수</t>
        </is>
      </c>
      <c r="F1401" s="39" t="inlineStr">
        <is>
          <t>카페24</t>
        </is>
      </c>
      <c r="H1401" s="39" t="n">
        <v>108</v>
      </c>
      <c r="I1401" s="39" t="inlineStr">
        <is>
          <t>스테이포에버</t>
        </is>
      </c>
      <c r="J1401" s="20" t="n">
        <v>200622</v>
      </c>
      <c r="L1401" s="39">
        <f>VLOOKUP($P1401,매칭테이블!$G:$J,2,0)*H1401</f>
        <v/>
      </c>
      <c r="M1401" s="39">
        <f>L1401-L1401*VLOOKUP($P1401,매칭테이블!$G:$J,3,0)</f>
        <v/>
      </c>
      <c r="N1401" s="39">
        <f>VLOOKUP($P1401,매칭테이블!$G:$J,4,0)*H1401</f>
        <v/>
      </c>
      <c r="O1401" s="55">
        <f>L1401/1.1</f>
        <v/>
      </c>
      <c r="P1401" s="39">
        <f>F1401&amp;E1401&amp;I1401&amp;J1401</f>
        <v/>
      </c>
    </row>
    <row r="1402">
      <c r="B1402" s="51" t="n">
        <v>44036</v>
      </c>
      <c r="C1402" s="39" t="inlineStr">
        <is>
          <t>금</t>
        </is>
      </c>
      <c r="E1402" s="39" t="inlineStr">
        <is>
          <t>고체향수</t>
        </is>
      </c>
      <c r="F1402" s="39" t="inlineStr">
        <is>
          <t>카페24</t>
        </is>
      </c>
      <c r="G1402" s="39" t="n"/>
      <c r="H1402" s="39" t="n">
        <v>12</v>
      </c>
      <c r="I1402" s="39" t="inlineStr">
        <is>
          <t>스테이포에버 2set</t>
        </is>
      </c>
      <c r="J1402" s="20" t="n">
        <v>200622</v>
      </c>
      <c r="L1402" s="39">
        <f>VLOOKUP($P1402,매칭테이블!$G:$J,2,0)*H1402</f>
        <v/>
      </c>
      <c r="M1402" s="39">
        <f>L1402-L1402*VLOOKUP($P1402,매칭테이블!$G:$J,3,0)</f>
        <v/>
      </c>
      <c r="N1402" s="39">
        <f>VLOOKUP($P1402,매칭테이블!$G:$J,4,0)*H1402</f>
        <v/>
      </c>
      <c r="O1402" s="55">
        <f>L1402/1.1</f>
        <v/>
      </c>
      <c r="P1402" s="39">
        <f>F1402&amp;E1402&amp;I1402&amp;J1402</f>
        <v/>
      </c>
    </row>
    <row r="1403">
      <c r="B1403" s="51" t="n">
        <v>44036</v>
      </c>
      <c r="C1403" s="39" t="inlineStr">
        <is>
          <t>금</t>
        </is>
      </c>
      <c r="E1403" s="39" t="inlineStr">
        <is>
          <t>쇼핑백</t>
        </is>
      </c>
      <c r="F1403" s="39" t="inlineStr">
        <is>
          <t>카페24</t>
        </is>
      </c>
      <c r="H1403" s="39" t="n">
        <v>2</v>
      </c>
      <c r="I1403" s="39" t="inlineStr">
        <is>
          <t>유즈쇼핑백</t>
        </is>
      </c>
      <c r="J1403" s="20" t="n">
        <v>200622</v>
      </c>
      <c r="L1403" s="39">
        <f>VLOOKUP($P1403,매칭테이블!$G:$J,2,0)*H1403</f>
        <v/>
      </c>
      <c r="M1403" s="39">
        <f>L1403-L1403*VLOOKUP($P1403,매칭테이블!$G:$J,3,0)</f>
        <v/>
      </c>
      <c r="N1403" s="39">
        <f>VLOOKUP($P1403,매칭테이블!$G:$J,4,0)*H1403</f>
        <v/>
      </c>
      <c r="O1403" s="55">
        <f>L1403/1.1</f>
        <v/>
      </c>
      <c r="P1403" s="39">
        <f>F1403&amp;E1403&amp;I1403&amp;J1403</f>
        <v/>
      </c>
    </row>
    <row r="1404">
      <c r="B1404" s="51" t="n">
        <v>44036</v>
      </c>
      <c r="C1404" s="39" t="inlineStr">
        <is>
          <t>금</t>
        </is>
      </c>
      <c r="E1404" s="39" t="inlineStr">
        <is>
          <t>고체향수</t>
        </is>
      </c>
      <c r="F1404" s="39" t="inlineStr">
        <is>
          <t>카페24</t>
        </is>
      </c>
      <c r="H1404" s="39" t="n">
        <v>5</v>
      </c>
      <c r="I1404" s="39" t="inlineStr">
        <is>
          <t>이그나이트</t>
        </is>
      </c>
      <c r="J1404" s="20" t="n">
        <v>200622</v>
      </c>
      <c r="L1404" s="39">
        <f>VLOOKUP($P1404,매칭테이블!$G:$J,2,0)*H1404</f>
        <v/>
      </c>
      <c r="M1404" s="39">
        <f>L1404-L1404*VLOOKUP($P1404,매칭테이블!$G:$J,3,0)</f>
        <v/>
      </c>
      <c r="N1404" s="39">
        <f>VLOOKUP($P1404,매칭테이블!$G:$J,4,0)*H1404</f>
        <v/>
      </c>
      <c r="O1404" s="55">
        <f>L1404/1.1</f>
        <v/>
      </c>
      <c r="P1404" s="39">
        <f>F1404&amp;E1404&amp;I1404&amp;J1404</f>
        <v/>
      </c>
    </row>
    <row r="1405">
      <c r="B1405" s="51" t="n">
        <v>44037</v>
      </c>
      <c r="C1405" s="39" t="inlineStr">
        <is>
          <t>토</t>
        </is>
      </c>
      <c r="E1405" s="39" t="inlineStr">
        <is>
          <t>고체향수</t>
        </is>
      </c>
      <c r="F1405" s="39" t="inlineStr">
        <is>
          <t>카페24</t>
        </is>
      </c>
      <c r="H1405" s="39" t="n">
        <v>3</v>
      </c>
      <c r="I1405" s="39" t="inlineStr">
        <is>
          <t>이그나이트 + 스테이포에버</t>
        </is>
      </c>
      <c r="J1405" s="20" t="n">
        <v>200622</v>
      </c>
      <c r="L1405" s="39">
        <f>VLOOKUP($P1405,매칭테이블!$G:$J,2,0)*H1405</f>
        <v/>
      </c>
      <c r="M1405" s="39">
        <f>L1405-L1405*VLOOKUP($P1405,매칭테이블!$G:$J,3,0)</f>
        <v/>
      </c>
      <c r="N1405" s="39">
        <f>VLOOKUP($P1405,매칭테이블!$G:$J,4,0)*H1405</f>
        <v/>
      </c>
      <c r="O1405" s="55">
        <f>L1405/1.1</f>
        <v/>
      </c>
      <c r="P1405" s="39">
        <f>F1405&amp;E1405&amp;I1405&amp;J1405</f>
        <v/>
      </c>
    </row>
    <row r="1406">
      <c r="B1406" s="51" t="n">
        <v>44037</v>
      </c>
      <c r="C1406" s="39" t="inlineStr">
        <is>
          <t>토</t>
        </is>
      </c>
      <c r="E1406" s="39" t="inlineStr">
        <is>
          <t>고체향수</t>
        </is>
      </c>
      <c r="F1406" s="39" t="inlineStr">
        <is>
          <t>카페24</t>
        </is>
      </c>
      <c r="H1406" s="39" t="n">
        <v>88</v>
      </c>
      <c r="I1406" s="39" t="inlineStr">
        <is>
          <t>스테이포에버</t>
        </is>
      </c>
      <c r="J1406" s="20" t="n">
        <v>200622</v>
      </c>
      <c r="L1406" s="39">
        <f>VLOOKUP($P1406,매칭테이블!$G:$J,2,0)*H1406</f>
        <v/>
      </c>
      <c r="M1406" s="39">
        <f>L1406-L1406*VLOOKUP($P1406,매칭테이블!$G:$J,3,0)</f>
        <v/>
      </c>
      <c r="N1406" s="39">
        <f>VLOOKUP($P1406,매칭테이블!$G:$J,4,0)*H1406</f>
        <v/>
      </c>
      <c r="O1406" s="55">
        <f>L1406/1.1</f>
        <v/>
      </c>
      <c r="P1406" s="39">
        <f>F1406&amp;E1406&amp;I1406&amp;J1406</f>
        <v/>
      </c>
    </row>
    <row r="1407">
      <c r="B1407" s="51" t="n">
        <v>44037</v>
      </c>
      <c r="C1407" s="39" t="inlineStr">
        <is>
          <t>토</t>
        </is>
      </c>
      <c r="E1407" s="39" t="inlineStr">
        <is>
          <t>고체향수</t>
        </is>
      </c>
      <c r="F1407" s="39" t="inlineStr">
        <is>
          <t>카페24</t>
        </is>
      </c>
      <c r="G1407" s="39" t="n"/>
      <c r="H1407" s="39" t="n">
        <v>15</v>
      </c>
      <c r="I1407" s="39" t="inlineStr">
        <is>
          <t>스테이포에버 2set</t>
        </is>
      </c>
      <c r="J1407" s="20" t="n">
        <v>200622</v>
      </c>
      <c r="L1407" s="39">
        <f>VLOOKUP($P1407,매칭테이블!$G:$J,2,0)*H1407</f>
        <v/>
      </c>
      <c r="M1407" s="39">
        <f>L1407-L1407*VLOOKUP($P1407,매칭테이블!$G:$J,3,0)</f>
        <v/>
      </c>
      <c r="N1407" s="39">
        <f>VLOOKUP($P1407,매칭테이블!$G:$J,4,0)*H1407</f>
        <v/>
      </c>
      <c r="O1407" s="55">
        <f>L1407/1.1</f>
        <v/>
      </c>
      <c r="P1407" s="39">
        <f>F1407&amp;E1407&amp;I1407&amp;J1407</f>
        <v/>
      </c>
    </row>
    <row r="1408">
      <c r="B1408" s="51" t="n">
        <v>44037</v>
      </c>
      <c r="C1408" s="39" t="inlineStr">
        <is>
          <t>토</t>
        </is>
      </c>
      <c r="E1408" s="39" t="inlineStr">
        <is>
          <t>쇼핑백</t>
        </is>
      </c>
      <c r="F1408" s="39" t="inlineStr">
        <is>
          <t>카페24</t>
        </is>
      </c>
      <c r="H1408" s="39" t="n">
        <v>2</v>
      </c>
      <c r="I1408" s="39" t="inlineStr">
        <is>
          <t>유즈쇼핑백</t>
        </is>
      </c>
      <c r="J1408" s="20" t="n">
        <v>200622</v>
      </c>
      <c r="L1408" s="39">
        <f>VLOOKUP($P1408,매칭테이블!$G:$J,2,0)*H1408</f>
        <v/>
      </c>
      <c r="M1408" s="39">
        <f>L1408-L1408*VLOOKUP($P1408,매칭테이블!$G:$J,3,0)</f>
        <v/>
      </c>
      <c r="N1408" s="39">
        <f>VLOOKUP($P1408,매칭테이블!$G:$J,4,0)*H1408</f>
        <v/>
      </c>
      <c r="O1408" s="55">
        <f>L1408/1.1</f>
        <v/>
      </c>
      <c r="P1408" s="39">
        <f>F1408&amp;E1408&amp;I1408&amp;J1408</f>
        <v/>
      </c>
    </row>
    <row r="1409">
      <c r="B1409" s="51" t="n">
        <v>44037</v>
      </c>
      <c r="C1409" s="39" t="inlineStr">
        <is>
          <t>토</t>
        </is>
      </c>
      <c r="E1409" s="39" t="inlineStr">
        <is>
          <t>고체향수</t>
        </is>
      </c>
      <c r="F1409" s="39" t="inlineStr">
        <is>
          <t>카페24</t>
        </is>
      </c>
      <c r="H1409" s="39" t="n">
        <v>1</v>
      </c>
      <c r="I1409" s="39" t="inlineStr">
        <is>
          <t>이그나이트</t>
        </is>
      </c>
      <c r="J1409" s="20" t="n">
        <v>200622</v>
      </c>
      <c r="L1409" s="39">
        <f>VLOOKUP($P1409,매칭테이블!$G:$J,2,0)*H1409</f>
        <v/>
      </c>
      <c r="M1409" s="39">
        <f>L1409-L1409*VLOOKUP($P1409,매칭테이블!$G:$J,3,0)</f>
        <v/>
      </c>
      <c r="N1409" s="39">
        <f>VLOOKUP($P1409,매칭테이블!$G:$J,4,0)*H1409</f>
        <v/>
      </c>
      <c r="O1409" s="55">
        <f>L1409/1.1</f>
        <v/>
      </c>
      <c r="P1409" s="39">
        <f>F1409&amp;E1409&amp;I1409&amp;J1409</f>
        <v/>
      </c>
    </row>
    <row r="1410">
      <c r="B1410" s="51" t="n">
        <v>44038</v>
      </c>
      <c r="C1410" s="39" t="inlineStr">
        <is>
          <t>일</t>
        </is>
      </c>
      <c r="E1410" s="39" t="inlineStr">
        <is>
          <t>고체향수</t>
        </is>
      </c>
      <c r="F1410" s="39" t="inlineStr">
        <is>
          <t>카페24</t>
        </is>
      </c>
      <c r="H1410" s="39" t="n">
        <v>3</v>
      </c>
      <c r="I1410" s="39" t="inlineStr">
        <is>
          <t>이그나이트 + 스테이포에버</t>
        </is>
      </c>
      <c r="J1410" s="20" t="n">
        <v>200622</v>
      </c>
      <c r="L1410" s="39">
        <f>VLOOKUP($P1410,매칭테이블!$G:$J,2,0)*H1410</f>
        <v/>
      </c>
      <c r="M1410" s="39">
        <f>L1410-L1410*VLOOKUP($P1410,매칭테이블!$G:$J,3,0)</f>
        <v/>
      </c>
      <c r="N1410" s="39">
        <f>VLOOKUP($P1410,매칭테이블!$G:$J,4,0)*H1410</f>
        <v/>
      </c>
      <c r="O1410" s="55">
        <f>L1410/1.1</f>
        <v/>
      </c>
      <c r="P1410" s="39">
        <f>F1410&amp;E1410&amp;I1410&amp;J1410</f>
        <v/>
      </c>
    </row>
    <row r="1411">
      <c r="B1411" s="51" t="n">
        <v>44038</v>
      </c>
      <c r="C1411" s="39" t="inlineStr">
        <is>
          <t>일</t>
        </is>
      </c>
      <c r="E1411" s="39" t="inlineStr">
        <is>
          <t>고체향수</t>
        </is>
      </c>
      <c r="F1411" s="39" t="inlineStr">
        <is>
          <t>카페24</t>
        </is>
      </c>
      <c r="H1411" s="39" t="n">
        <v>124</v>
      </c>
      <c r="I1411" s="39" t="inlineStr">
        <is>
          <t>스테이포에버</t>
        </is>
      </c>
      <c r="J1411" s="20" t="n">
        <v>200622</v>
      </c>
      <c r="L1411" s="39">
        <f>VLOOKUP($P1411,매칭테이블!$G:$J,2,0)*H1411</f>
        <v/>
      </c>
      <c r="M1411" s="39">
        <f>L1411-L1411*VLOOKUP($P1411,매칭테이블!$G:$J,3,0)</f>
        <v/>
      </c>
      <c r="N1411" s="39">
        <f>VLOOKUP($P1411,매칭테이블!$G:$J,4,0)*H1411</f>
        <v/>
      </c>
      <c r="O1411" s="55">
        <f>L1411/1.1</f>
        <v/>
      </c>
      <c r="P1411" s="39">
        <f>F1411&amp;E1411&amp;I1411&amp;J1411</f>
        <v/>
      </c>
    </row>
    <row r="1412">
      <c r="B1412" s="51" t="n">
        <v>44038</v>
      </c>
      <c r="C1412" s="39" t="inlineStr">
        <is>
          <t>일</t>
        </is>
      </c>
      <c r="E1412" s="39" t="inlineStr">
        <is>
          <t>고체향수</t>
        </is>
      </c>
      <c r="F1412" s="39" t="inlineStr">
        <is>
          <t>카페24</t>
        </is>
      </c>
      <c r="G1412" s="39" t="n"/>
      <c r="H1412" s="39" t="n">
        <v>21</v>
      </c>
      <c r="I1412" s="39" t="inlineStr">
        <is>
          <t>스테이포에버 2set</t>
        </is>
      </c>
      <c r="J1412" s="20" t="n">
        <v>200622</v>
      </c>
      <c r="L1412" s="39">
        <f>VLOOKUP($P1412,매칭테이블!$G:$J,2,0)*H1412</f>
        <v/>
      </c>
      <c r="M1412" s="39">
        <f>L1412-L1412*VLOOKUP($P1412,매칭테이블!$G:$J,3,0)</f>
        <v/>
      </c>
      <c r="N1412" s="39">
        <f>VLOOKUP($P1412,매칭테이블!$G:$J,4,0)*H1412</f>
        <v/>
      </c>
      <c r="O1412" s="55">
        <f>L1412/1.1</f>
        <v/>
      </c>
      <c r="P1412" s="39">
        <f>F1412&amp;E1412&amp;I1412&amp;J1412</f>
        <v/>
      </c>
    </row>
    <row r="1413">
      <c r="B1413" s="51" t="n">
        <v>44038</v>
      </c>
      <c r="C1413" s="39" t="inlineStr">
        <is>
          <t>일</t>
        </is>
      </c>
      <c r="E1413" s="39" t="inlineStr">
        <is>
          <t>쇼핑백</t>
        </is>
      </c>
      <c r="F1413" s="39" t="inlineStr">
        <is>
          <t>카페24</t>
        </is>
      </c>
      <c r="H1413" s="39" t="n">
        <v>1</v>
      </c>
      <c r="I1413" s="39" t="inlineStr">
        <is>
          <t>유즈쇼핑백</t>
        </is>
      </c>
      <c r="J1413" s="20" t="n">
        <v>200622</v>
      </c>
      <c r="L1413" s="39">
        <f>VLOOKUP($P1413,매칭테이블!$G:$J,2,0)*H1413</f>
        <v/>
      </c>
      <c r="M1413" s="39">
        <f>L1413-L1413*VLOOKUP($P1413,매칭테이블!$G:$J,3,0)</f>
        <v/>
      </c>
      <c r="N1413" s="39">
        <f>VLOOKUP($P1413,매칭테이블!$G:$J,4,0)*H1413</f>
        <v/>
      </c>
      <c r="O1413" s="55">
        <f>L1413/1.1</f>
        <v/>
      </c>
      <c r="P1413" s="39">
        <f>F1413&amp;E1413&amp;I1413&amp;J1413</f>
        <v/>
      </c>
    </row>
    <row r="1414">
      <c r="B1414" s="51" t="n">
        <v>44038</v>
      </c>
      <c r="C1414" s="39" t="inlineStr">
        <is>
          <t>일</t>
        </is>
      </c>
      <c r="E1414" s="39" t="inlineStr">
        <is>
          <t>고체향수</t>
        </is>
      </c>
      <c r="F1414" s="39" t="inlineStr">
        <is>
          <t>카페24</t>
        </is>
      </c>
      <c r="H1414" s="39" t="n">
        <v>4</v>
      </c>
      <c r="I1414" s="39" t="inlineStr">
        <is>
          <t>이그나이트</t>
        </is>
      </c>
      <c r="J1414" s="20" t="n">
        <v>200622</v>
      </c>
      <c r="L1414" s="39">
        <f>VLOOKUP($P1414,매칭테이블!$G:$J,2,0)*H1414</f>
        <v/>
      </c>
      <c r="M1414" s="39">
        <f>L1414-L1414*VLOOKUP($P1414,매칭테이블!$G:$J,3,0)</f>
        <v/>
      </c>
      <c r="N1414" s="39">
        <f>VLOOKUP($P1414,매칭테이블!$G:$J,4,0)*H1414</f>
        <v/>
      </c>
      <c r="O1414" s="55">
        <f>L1414/1.1</f>
        <v/>
      </c>
      <c r="P1414" s="39">
        <f>F1414&amp;E1414&amp;I1414&amp;J1414</f>
        <v/>
      </c>
    </row>
    <row r="1415">
      <c r="B1415" s="51" t="n">
        <v>44039</v>
      </c>
      <c r="C1415" s="39" t="inlineStr">
        <is>
          <t>월</t>
        </is>
      </c>
      <c r="E1415" s="39" t="inlineStr">
        <is>
          <t>고체향수</t>
        </is>
      </c>
      <c r="F1415" s="39" t="inlineStr">
        <is>
          <t>카페24</t>
        </is>
      </c>
      <c r="H1415" s="39" t="n">
        <v>3</v>
      </c>
      <c r="I1415" s="39" t="inlineStr">
        <is>
          <t>이그나이트 + 스테이포에버</t>
        </is>
      </c>
      <c r="J1415" s="20" t="n">
        <v>200622</v>
      </c>
      <c r="L1415" s="39">
        <f>VLOOKUP($P1415,매칭테이블!$G:$J,2,0)*H1415</f>
        <v/>
      </c>
      <c r="M1415" s="39">
        <f>L1415-L1415*VLOOKUP($P1415,매칭테이블!$G:$J,3,0)</f>
        <v/>
      </c>
      <c r="N1415" s="39">
        <f>VLOOKUP($P1415,매칭테이블!$G:$J,4,0)*H1415</f>
        <v/>
      </c>
      <c r="O1415" s="55">
        <f>L1415/1.1</f>
        <v/>
      </c>
      <c r="P1415" s="39">
        <f>F1415&amp;E1415&amp;I1415&amp;J1415</f>
        <v/>
      </c>
    </row>
    <row r="1416">
      <c r="B1416" s="51" t="n">
        <v>44039</v>
      </c>
      <c r="C1416" s="39" t="inlineStr">
        <is>
          <t>월</t>
        </is>
      </c>
      <c r="E1416" s="39" t="inlineStr">
        <is>
          <t>고체향수</t>
        </is>
      </c>
      <c r="F1416" s="39" t="inlineStr">
        <is>
          <t>카페24</t>
        </is>
      </c>
      <c r="H1416" s="39" t="n">
        <v>84</v>
      </c>
      <c r="I1416" s="39" t="inlineStr">
        <is>
          <t>스테이포에버</t>
        </is>
      </c>
      <c r="J1416" s="20" t="n">
        <v>200622</v>
      </c>
      <c r="L1416" s="39">
        <f>VLOOKUP($P1416,매칭테이블!$G:$J,2,0)*H1416</f>
        <v/>
      </c>
      <c r="M1416" s="39">
        <f>L1416-L1416*VLOOKUP($P1416,매칭테이블!$G:$J,3,0)</f>
        <v/>
      </c>
      <c r="N1416" s="39">
        <f>VLOOKUP($P1416,매칭테이블!$G:$J,4,0)*H1416</f>
        <v/>
      </c>
      <c r="O1416" s="55">
        <f>L1416/1.1</f>
        <v/>
      </c>
      <c r="P1416" s="39">
        <f>F1416&amp;E1416&amp;I1416&amp;J1416</f>
        <v/>
      </c>
    </row>
    <row r="1417">
      <c r="B1417" s="51" t="n">
        <v>44039</v>
      </c>
      <c r="C1417" s="39" t="inlineStr">
        <is>
          <t>월</t>
        </is>
      </c>
      <c r="E1417" s="39" t="inlineStr">
        <is>
          <t>고체향수</t>
        </is>
      </c>
      <c r="F1417" s="39" t="inlineStr">
        <is>
          <t>카페24</t>
        </is>
      </c>
      <c r="G1417" s="39" t="n"/>
      <c r="H1417" s="39" t="n">
        <v>17</v>
      </c>
      <c r="I1417" s="39" t="inlineStr">
        <is>
          <t>스테이포에버 2set</t>
        </is>
      </c>
      <c r="J1417" s="20" t="n">
        <v>200622</v>
      </c>
      <c r="L1417" s="39">
        <f>VLOOKUP($P1417,매칭테이블!$G:$J,2,0)*H1417</f>
        <v/>
      </c>
      <c r="M1417" s="39">
        <f>L1417-L1417*VLOOKUP($P1417,매칭테이블!$G:$J,3,0)</f>
        <v/>
      </c>
      <c r="N1417" s="39">
        <f>VLOOKUP($P1417,매칭테이블!$G:$J,4,0)*H1417</f>
        <v/>
      </c>
      <c r="O1417" s="55">
        <f>L1417/1.1</f>
        <v/>
      </c>
      <c r="P1417" s="39">
        <f>F1417&amp;E1417&amp;I1417&amp;J1417</f>
        <v/>
      </c>
    </row>
    <row r="1418">
      <c r="B1418" s="51" t="n">
        <v>44039</v>
      </c>
      <c r="C1418" s="39" t="inlineStr">
        <is>
          <t>월</t>
        </is>
      </c>
      <c r="E1418" s="39" t="inlineStr">
        <is>
          <t>쇼핑백</t>
        </is>
      </c>
      <c r="F1418" s="39" t="inlineStr">
        <is>
          <t>카페24</t>
        </is>
      </c>
      <c r="H1418" s="39" t="n">
        <v>1</v>
      </c>
      <c r="I1418" s="39" t="inlineStr">
        <is>
          <t>유즈쇼핑백</t>
        </is>
      </c>
      <c r="J1418" s="20" t="n">
        <v>200622</v>
      </c>
      <c r="L1418" s="39">
        <f>VLOOKUP($P1418,매칭테이블!$G:$J,2,0)*H1418</f>
        <v/>
      </c>
      <c r="M1418" s="39">
        <f>L1418-L1418*VLOOKUP($P1418,매칭테이블!$G:$J,3,0)</f>
        <v/>
      </c>
      <c r="N1418" s="39">
        <f>VLOOKUP($P1418,매칭테이블!$G:$J,4,0)*H1418</f>
        <v/>
      </c>
      <c r="O1418" s="55">
        <f>L1418/1.1</f>
        <v/>
      </c>
      <c r="P1418" s="39">
        <f>F1418&amp;E1418&amp;I1418&amp;J1418</f>
        <v/>
      </c>
    </row>
    <row r="1419">
      <c r="B1419" s="51" t="n">
        <v>44039</v>
      </c>
      <c r="C1419" s="39" t="inlineStr">
        <is>
          <t>월</t>
        </is>
      </c>
      <c r="E1419" s="39" t="inlineStr">
        <is>
          <t>고체향수</t>
        </is>
      </c>
      <c r="F1419" s="39" t="inlineStr">
        <is>
          <t>카페24</t>
        </is>
      </c>
      <c r="H1419" s="39" t="n">
        <v>6</v>
      </c>
      <c r="I1419" s="39" t="inlineStr">
        <is>
          <t>이그나이트</t>
        </is>
      </c>
      <c r="J1419" s="20" t="n">
        <v>200622</v>
      </c>
      <c r="L1419" s="39">
        <f>VLOOKUP($P1419,매칭테이블!$G:$J,2,0)*H1419</f>
        <v/>
      </c>
      <c r="M1419" s="39">
        <f>L1419-L1419*VLOOKUP($P1419,매칭테이블!$G:$J,3,0)</f>
        <v/>
      </c>
      <c r="N1419" s="39">
        <f>VLOOKUP($P1419,매칭테이블!$G:$J,4,0)*H1419</f>
        <v/>
      </c>
      <c r="O1419" s="55">
        <f>L1419/1.1</f>
        <v/>
      </c>
      <c r="P1419" s="39">
        <f>F1419&amp;E1419&amp;I1419&amp;J1419</f>
        <v/>
      </c>
    </row>
    <row r="1420">
      <c r="B1420" s="51" t="n">
        <v>44040</v>
      </c>
      <c r="C1420" s="39" t="inlineStr">
        <is>
          <t>화</t>
        </is>
      </c>
      <c r="E1420" s="39" t="inlineStr">
        <is>
          <t>고체향수</t>
        </is>
      </c>
      <c r="F1420" s="39" t="inlineStr">
        <is>
          <t>카페24</t>
        </is>
      </c>
      <c r="H1420" s="39" t="n">
        <v>103</v>
      </c>
      <c r="I1420" s="39" t="inlineStr">
        <is>
          <t>스테이포에버</t>
        </is>
      </c>
      <c r="J1420" s="20" t="n">
        <v>200622</v>
      </c>
      <c r="L1420" s="39">
        <f>VLOOKUP($P1420,매칭테이블!$G:$J,2,0)*H1420</f>
        <v/>
      </c>
      <c r="M1420" s="39">
        <f>L1420-L1420*VLOOKUP($P1420,매칭테이블!$G:$J,3,0)</f>
        <v/>
      </c>
      <c r="N1420" s="39">
        <f>VLOOKUP($P1420,매칭테이블!$G:$J,4,0)*H1420</f>
        <v/>
      </c>
      <c r="O1420" s="55">
        <f>L1420/1.1</f>
        <v/>
      </c>
      <c r="P1420" s="39">
        <f>F1420&amp;E1420&amp;I1420&amp;J1420</f>
        <v/>
      </c>
    </row>
    <row r="1421">
      <c r="B1421" s="51" t="n">
        <v>44040</v>
      </c>
      <c r="C1421" s="39" t="inlineStr">
        <is>
          <t>화</t>
        </is>
      </c>
      <c r="E1421" s="39" t="inlineStr">
        <is>
          <t>고체향수</t>
        </is>
      </c>
      <c r="F1421" s="39" t="inlineStr">
        <is>
          <t>카페24</t>
        </is>
      </c>
      <c r="G1421" s="39" t="n"/>
      <c r="H1421" s="39" t="n">
        <v>17</v>
      </c>
      <c r="I1421" s="39" t="inlineStr">
        <is>
          <t>스테이포에버 2set</t>
        </is>
      </c>
      <c r="J1421" s="20" t="n">
        <v>200622</v>
      </c>
      <c r="L1421" s="39">
        <f>VLOOKUP($P1421,매칭테이블!$G:$J,2,0)*H1421</f>
        <v/>
      </c>
      <c r="M1421" s="39">
        <f>L1421-L1421*VLOOKUP($P1421,매칭테이블!$G:$J,3,0)</f>
        <v/>
      </c>
      <c r="N1421" s="39">
        <f>VLOOKUP($P1421,매칭테이블!$G:$J,4,0)*H1421</f>
        <v/>
      </c>
      <c r="O1421" s="55">
        <f>L1421/1.1</f>
        <v/>
      </c>
      <c r="P1421" s="39">
        <f>F1421&amp;E1421&amp;I1421&amp;J1421</f>
        <v/>
      </c>
    </row>
    <row r="1422">
      <c r="B1422" s="51" t="n">
        <v>44040</v>
      </c>
      <c r="C1422" s="39" t="inlineStr">
        <is>
          <t>화</t>
        </is>
      </c>
      <c r="E1422" s="39" t="inlineStr">
        <is>
          <t>고체향수</t>
        </is>
      </c>
      <c r="F1422" s="39" t="inlineStr">
        <is>
          <t>카페24</t>
        </is>
      </c>
      <c r="H1422" s="39" t="n">
        <v>5</v>
      </c>
      <c r="I1422" s="39" t="inlineStr">
        <is>
          <t>이그나이트</t>
        </is>
      </c>
      <c r="J1422" s="20" t="n">
        <v>200622</v>
      </c>
      <c r="L1422" s="39">
        <f>VLOOKUP($P1422,매칭테이블!$G:$J,2,0)*H1422</f>
        <v/>
      </c>
      <c r="M1422" s="39">
        <f>L1422-L1422*VLOOKUP($P1422,매칭테이블!$G:$J,3,0)</f>
        <v/>
      </c>
      <c r="N1422" s="39">
        <f>VLOOKUP($P1422,매칭테이블!$G:$J,4,0)*H1422</f>
        <v/>
      </c>
      <c r="O1422" s="55">
        <f>L1422/1.1</f>
        <v/>
      </c>
      <c r="P1422" s="39">
        <f>F1422&amp;E1422&amp;I1422&amp;J1422</f>
        <v/>
      </c>
    </row>
    <row r="1423">
      <c r="B1423" s="51" t="n">
        <v>44040</v>
      </c>
      <c r="C1423" s="39" t="inlineStr">
        <is>
          <t>화</t>
        </is>
      </c>
      <c r="E1423" s="39" t="inlineStr">
        <is>
          <t>고체향수</t>
        </is>
      </c>
      <c r="F1423" s="39" t="inlineStr">
        <is>
          <t>카페24</t>
        </is>
      </c>
      <c r="G1423" s="39" t="n"/>
      <c r="H1423" s="39" t="n">
        <v>1</v>
      </c>
      <c r="I1423" s="39" t="inlineStr">
        <is>
          <t>이그나이트 2set</t>
        </is>
      </c>
      <c r="J1423" s="20" t="n">
        <v>200622</v>
      </c>
      <c r="L1423" s="39">
        <f>VLOOKUP($P1423,매칭테이블!$G:$J,2,0)*H1423</f>
        <v/>
      </c>
      <c r="M1423" s="39">
        <f>L1423-L1423*VLOOKUP($P1423,매칭테이블!$G:$J,3,0)</f>
        <v/>
      </c>
      <c r="N1423" s="39">
        <f>VLOOKUP($P1423,매칭테이블!$G:$J,4,0)*H1423</f>
        <v/>
      </c>
      <c r="O1423" s="55">
        <f>L1423/1.1</f>
        <v/>
      </c>
      <c r="P1423" s="39">
        <f>F1423&amp;E1423&amp;I1423&amp;J1423</f>
        <v/>
      </c>
    </row>
    <row r="1424">
      <c r="B1424" s="51" t="n">
        <v>44040</v>
      </c>
      <c r="C1424" s="39" t="inlineStr">
        <is>
          <t>화</t>
        </is>
      </c>
      <c r="E1424" s="39" t="inlineStr">
        <is>
          <t>쇼핑백</t>
        </is>
      </c>
      <c r="F1424" s="39" t="inlineStr">
        <is>
          <t>카페24</t>
        </is>
      </c>
      <c r="H1424" s="39" t="n">
        <v>2</v>
      </c>
      <c r="I1424" s="39" t="inlineStr">
        <is>
          <t>유즈쇼핑백</t>
        </is>
      </c>
      <c r="J1424" s="20" t="n">
        <v>200622</v>
      </c>
      <c r="L1424" s="39">
        <f>VLOOKUP($P1424,매칭테이블!$G:$J,2,0)*H1424</f>
        <v/>
      </c>
      <c r="M1424" s="39">
        <f>L1424-L1424*VLOOKUP($P1424,매칭테이블!$G:$J,3,0)</f>
        <v/>
      </c>
      <c r="N1424" s="39">
        <f>VLOOKUP($P1424,매칭테이블!$G:$J,4,0)*H1424</f>
        <v/>
      </c>
      <c r="O1424" s="55">
        <f>L1424/1.1</f>
        <v/>
      </c>
      <c r="P1424" s="39">
        <f>F1424&amp;E1424&amp;I1424&amp;J1424</f>
        <v/>
      </c>
    </row>
    <row r="1425">
      <c r="B1425" s="51" t="n">
        <v>44041</v>
      </c>
      <c r="C1425" s="39" t="inlineStr">
        <is>
          <t>수</t>
        </is>
      </c>
      <c r="E1425" s="39" t="inlineStr">
        <is>
          <t>고체향수</t>
        </is>
      </c>
      <c r="F1425" s="39" t="inlineStr">
        <is>
          <t>카페24</t>
        </is>
      </c>
      <c r="H1425" s="39" t="n">
        <v>3</v>
      </c>
      <c r="I1425" s="39" t="inlineStr">
        <is>
          <t>이그나이트 + 스테이포에버</t>
        </is>
      </c>
      <c r="J1425" s="20" t="n">
        <v>200622</v>
      </c>
      <c r="L1425" s="39">
        <f>VLOOKUP($P1425,매칭테이블!$G:$J,2,0)*H1425</f>
        <v/>
      </c>
      <c r="M1425" s="39">
        <f>L1425-L1425*VLOOKUP($P1425,매칭테이블!$G:$J,3,0)</f>
        <v/>
      </c>
      <c r="N1425" s="39">
        <f>VLOOKUP($P1425,매칭테이블!$G:$J,4,0)*H1425</f>
        <v/>
      </c>
      <c r="O1425" s="55">
        <f>L1425/1.1</f>
        <v/>
      </c>
      <c r="P1425" s="39">
        <f>F1425&amp;E1425&amp;I1425&amp;J1425</f>
        <v/>
      </c>
    </row>
    <row r="1426">
      <c r="B1426" s="51" t="n">
        <v>44041</v>
      </c>
      <c r="C1426" s="39" t="inlineStr">
        <is>
          <t>수</t>
        </is>
      </c>
      <c r="E1426" s="39" t="inlineStr">
        <is>
          <t>고체향수</t>
        </is>
      </c>
      <c r="F1426" s="39" t="inlineStr">
        <is>
          <t>카페24</t>
        </is>
      </c>
      <c r="H1426" s="39" t="n">
        <v>85</v>
      </c>
      <c r="I1426" s="39" t="inlineStr">
        <is>
          <t>스테이포에버</t>
        </is>
      </c>
      <c r="J1426" s="20" t="n">
        <v>200622</v>
      </c>
      <c r="L1426" s="39">
        <f>VLOOKUP($P1426,매칭테이블!$G:$J,2,0)*H1426</f>
        <v/>
      </c>
      <c r="M1426" s="39">
        <f>L1426-L1426*VLOOKUP($P1426,매칭테이블!$G:$J,3,0)</f>
        <v/>
      </c>
      <c r="N1426" s="39">
        <f>VLOOKUP($P1426,매칭테이블!$G:$J,4,0)*H1426</f>
        <v/>
      </c>
      <c r="O1426" s="55">
        <f>L1426/1.1</f>
        <v/>
      </c>
      <c r="P1426" s="39">
        <f>F1426&amp;E1426&amp;I1426&amp;J1426</f>
        <v/>
      </c>
    </row>
    <row r="1427">
      <c r="B1427" s="51" t="n">
        <v>44041</v>
      </c>
      <c r="C1427" s="39" t="inlineStr">
        <is>
          <t>수</t>
        </is>
      </c>
      <c r="E1427" s="39" t="inlineStr">
        <is>
          <t>고체향수</t>
        </is>
      </c>
      <c r="F1427" s="39" t="inlineStr">
        <is>
          <t>카페24</t>
        </is>
      </c>
      <c r="G1427" s="39" t="n"/>
      <c r="H1427" s="39" t="n">
        <v>11</v>
      </c>
      <c r="I1427" s="39" t="inlineStr">
        <is>
          <t>스테이포에버 2set</t>
        </is>
      </c>
      <c r="J1427" s="20" t="n">
        <v>200622</v>
      </c>
      <c r="L1427" s="39">
        <f>VLOOKUP($P1427,매칭테이블!$G:$J,2,0)*H1427</f>
        <v/>
      </c>
      <c r="M1427" s="39">
        <f>L1427-L1427*VLOOKUP($P1427,매칭테이블!$G:$J,3,0)</f>
        <v/>
      </c>
      <c r="N1427" s="39">
        <f>VLOOKUP($P1427,매칭테이블!$G:$J,4,0)*H1427</f>
        <v/>
      </c>
      <c r="O1427" s="55">
        <f>L1427/1.1</f>
        <v/>
      </c>
      <c r="P1427" s="39">
        <f>F1427&amp;E1427&amp;I1427&amp;J1427</f>
        <v/>
      </c>
    </row>
    <row r="1428">
      <c r="B1428" s="51" t="n">
        <v>44041</v>
      </c>
      <c r="C1428" s="39" t="inlineStr">
        <is>
          <t>수</t>
        </is>
      </c>
      <c r="E1428" s="39" t="inlineStr">
        <is>
          <t>고체향수</t>
        </is>
      </c>
      <c r="F1428" s="39" t="inlineStr">
        <is>
          <t>카페24</t>
        </is>
      </c>
      <c r="H1428" s="39" t="n">
        <v>4</v>
      </c>
      <c r="I1428" s="39" t="inlineStr">
        <is>
          <t>이그나이트</t>
        </is>
      </c>
      <c r="J1428" s="20" t="n">
        <v>200622</v>
      </c>
      <c r="L1428" s="39">
        <f>VLOOKUP($P1428,매칭테이블!$G:$J,2,0)*H1428</f>
        <v/>
      </c>
      <c r="M1428" s="39">
        <f>L1428-L1428*VLOOKUP($P1428,매칭테이블!$G:$J,3,0)</f>
        <v/>
      </c>
      <c r="N1428" s="39">
        <f>VLOOKUP($P1428,매칭테이블!$G:$J,4,0)*H1428</f>
        <v/>
      </c>
      <c r="O1428" s="55">
        <f>L1428/1.1</f>
        <v/>
      </c>
      <c r="P1428" s="39">
        <f>F1428&amp;E1428&amp;I1428&amp;J1428</f>
        <v/>
      </c>
    </row>
    <row r="1429">
      <c r="B1429" s="51" t="n">
        <v>44041</v>
      </c>
      <c r="C1429" s="39" t="inlineStr">
        <is>
          <t>수</t>
        </is>
      </c>
      <c r="E1429" s="39" t="inlineStr">
        <is>
          <t>쇼핑백</t>
        </is>
      </c>
      <c r="F1429" s="39" t="inlineStr">
        <is>
          <t>카페24</t>
        </is>
      </c>
      <c r="H1429" s="39" t="n">
        <v>1</v>
      </c>
      <c r="I1429" s="39" t="inlineStr">
        <is>
          <t>유즈쇼핑백</t>
        </is>
      </c>
      <c r="J1429" s="20" t="n">
        <v>200622</v>
      </c>
      <c r="L1429" s="39">
        <f>VLOOKUP($P1429,매칭테이블!$G:$J,2,0)*H1429</f>
        <v/>
      </c>
      <c r="M1429" s="39">
        <f>L1429-L1429*VLOOKUP($P1429,매칭테이블!$G:$J,3,0)</f>
        <v/>
      </c>
      <c r="N1429" s="39">
        <f>VLOOKUP($P1429,매칭테이블!$G:$J,4,0)*H1429</f>
        <v/>
      </c>
      <c r="O1429" s="55">
        <f>L1429/1.1</f>
        <v/>
      </c>
      <c r="P1429" s="39">
        <f>F1429&amp;E1429&amp;I1429&amp;J1429</f>
        <v/>
      </c>
    </row>
    <row r="1430">
      <c r="B1430" s="51" t="n">
        <v>44042</v>
      </c>
      <c r="C1430" s="39" t="inlineStr">
        <is>
          <t>목</t>
        </is>
      </c>
      <c r="E1430" s="39" t="inlineStr">
        <is>
          <t>고체향수</t>
        </is>
      </c>
      <c r="F1430" s="39" t="inlineStr">
        <is>
          <t>카페24</t>
        </is>
      </c>
      <c r="H1430" s="39" t="n">
        <v>2</v>
      </c>
      <c r="I1430" s="39" t="inlineStr">
        <is>
          <t>이그나이트 + 스테이포에버</t>
        </is>
      </c>
      <c r="J1430" s="20" t="n">
        <v>200622</v>
      </c>
      <c r="L1430" s="39">
        <f>VLOOKUP($P1430,매칭테이블!$G:$J,2,0)*H1430</f>
        <v/>
      </c>
      <c r="M1430" s="39">
        <f>L1430-L1430*VLOOKUP($P1430,매칭테이블!$G:$J,3,0)</f>
        <v/>
      </c>
      <c r="N1430" s="39">
        <f>VLOOKUP($P1430,매칭테이블!$G:$J,4,0)*H1430</f>
        <v/>
      </c>
      <c r="O1430" s="55">
        <f>L1430/1.1</f>
        <v/>
      </c>
      <c r="P1430" s="39">
        <f>F1430&amp;E1430&amp;I1430&amp;J1430</f>
        <v/>
      </c>
    </row>
    <row r="1431">
      <c r="B1431" s="51" t="n">
        <v>44042</v>
      </c>
      <c r="C1431" s="39" t="inlineStr">
        <is>
          <t>목</t>
        </is>
      </c>
      <c r="E1431" s="39" t="inlineStr">
        <is>
          <t>고체향수</t>
        </is>
      </c>
      <c r="F1431" s="39" t="inlineStr">
        <is>
          <t>카페24</t>
        </is>
      </c>
      <c r="H1431" s="39" t="n">
        <v>49</v>
      </c>
      <c r="I1431" s="39" t="inlineStr">
        <is>
          <t>스테이포에버</t>
        </is>
      </c>
      <c r="J1431" s="20" t="n">
        <v>200622</v>
      </c>
      <c r="L1431" s="39">
        <f>VLOOKUP($P1431,매칭테이블!$G:$J,2,0)*H1431</f>
        <v/>
      </c>
      <c r="M1431" s="39">
        <f>L1431-L1431*VLOOKUP($P1431,매칭테이블!$G:$J,3,0)</f>
        <v/>
      </c>
      <c r="N1431" s="39">
        <f>VLOOKUP($P1431,매칭테이블!$G:$J,4,0)*H1431</f>
        <v/>
      </c>
      <c r="O1431" s="55">
        <f>L1431/1.1</f>
        <v/>
      </c>
      <c r="P1431" s="39">
        <f>F1431&amp;E1431&amp;I1431&amp;J1431</f>
        <v/>
      </c>
    </row>
    <row r="1432">
      <c r="B1432" s="51" t="n">
        <v>44042</v>
      </c>
      <c r="C1432" s="39" t="inlineStr">
        <is>
          <t>목</t>
        </is>
      </c>
      <c r="E1432" s="39" t="inlineStr">
        <is>
          <t>고체향수</t>
        </is>
      </c>
      <c r="F1432" s="39" t="inlineStr">
        <is>
          <t>카페24</t>
        </is>
      </c>
      <c r="G1432" s="39" t="n"/>
      <c r="H1432" s="39" t="n">
        <v>9</v>
      </c>
      <c r="I1432" s="39" t="inlineStr">
        <is>
          <t>스테이포에버 2set</t>
        </is>
      </c>
      <c r="J1432" s="20" t="n">
        <v>200622</v>
      </c>
      <c r="L1432" s="39">
        <f>VLOOKUP($P1432,매칭테이블!$G:$J,2,0)*H1432</f>
        <v/>
      </c>
      <c r="M1432" s="39">
        <f>L1432-L1432*VLOOKUP($P1432,매칭테이블!$G:$J,3,0)</f>
        <v/>
      </c>
      <c r="N1432" s="39">
        <f>VLOOKUP($P1432,매칭테이블!$G:$J,4,0)*H1432</f>
        <v/>
      </c>
      <c r="O1432" s="55">
        <f>L1432/1.1</f>
        <v/>
      </c>
      <c r="P1432" s="39">
        <f>F1432&amp;E1432&amp;I1432&amp;J1432</f>
        <v/>
      </c>
    </row>
    <row r="1433">
      <c r="B1433" s="51" t="n">
        <v>44042</v>
      </c>
      <c r="C1433" s="39" t="inlineStr">
        <is>
          <t>목</t>
        </is>
      </c>
      <c r="E1433" s="39" t="inlineStr">
        <is>
          <t>고체향수</t>
        </is>
      </c>
      <c r="F1433" s="39" t="inlineStr">
        <is>
          <t>카페24</t>
        </is>
      </c>
      <c r="H1433" s="39" t="n">
        <v>5</v>
      </c>
      <c r="I1433" s="39" t="inlineStr">
        <is>
          <t>이그나이트</t>
        </is>
      </c>
      <c r="J1433" s="20" t="n">
        <v>200622</v>
      </c>
      <c r="L1433" s="39">
        <f>VLOOKUP($P1433,매칭테이블!$G:$J,2,0)*H1433</f>
        <v/>
      </c>
      <c r="M1433" s="39">
        <f>L1433-L1433*VLOOKUP($P1433,매칭테이블!$G:$J,3,0)</f>
        <v/>
      </c>
      <c r="N1433" s="39">
        <f>VLOOKUP($P1433,매칭테이블!$G:$J,4,0)*H1433</f>
        <v/>
      </c>
      <c r="O1433" s="55">
        <f>L1433/1.1</f>
        <v/>
      </c>
      <c r="P1433" s="39">
        <f>F1433&amp;E1433&amp;I1433&amp;J1433</f>
        <v/>
      </c>
    </row>
    <row r="1434">
      <c r="B1434" s="51" t="n">
        <v>44042</v>
      </c>
      <c r="C1434" s="39" t="inlineStr">
        <is>
          <t>목</t>
        </is>
      </c>
      <c r="E1434" s="39" t="inlineStr">
        <is>
          <t>고체향수</t>
        </is>
      </c>
      <c r="F1434" s="39" t="inlineStr">
        <is>
          <t>카페24</t>
        </is>
      </c>
      <c r="G1434" s="39" t="n"/>
      <c r="H1434" s="39" t="n">
        <v>1</v>
      </c>
      <c r="I1434" s="39" t="inlineStr">
        <is>
          <t>이그나이트 2set</t>
        </is>
      </c>
      <c r="J1434" s="20" t="n">
        <v>200622</v>
      </c>
      <c r="L1434" s="39">
        <f>VLOOKUP($P1434,매칭테이블!$G:$J,2,0)*H1434</f>
        <v/>
      </c>
      <c r="M1434" s="39">
        <f>L1434-L1434*VLOOKUP($P1434,매칭테이블!$G:$J,3,0)</f>
        <v/>
      </c>
      <c r="N1434" s="39">
        <f>VLOOKUP($P1434,매칭테이블!$G:$J,4,0)*H1434</f>
        <v/>
      </c>
      <c r="O1434" s="55">
        <f>L1434/1.1</f>
        <v/>
      </c>
      <c r="P1434" s="39">
        <f>F1434&amp;E1434&amp;I1434&amp;J1434</f>
        <v/>
      </c>
    </row>
    <row r="1435">
      <c r="B1435" s="51" t="n">
        <v>44043</v>
      </c>
      <c r="C1435" s="39" t="inlineStr">
        <is>
          <t>금</t>
        </is>
      </c>
      <c r="E1435" s="39" t="inlineStr">
        <is>
          <t>고체향수</t>
        </is>
      </c>
      <c r="F1435" s="39" t="inlineStr">
        <is>
          <t>카페24</t>
        </is>
      </c>
      <c r="H1435" s="39" t="n">
        <v>52</v>
      </c>
      <c r="I1435" s="39" t="inlineStr">
        <is>
          <t>스테이포에버</t>
        </is>
      </c>
      <c r="J1435" s="20" t="n">
        <v>200622</v>
      </c>
      <c r="L1435" s="39">
        <f>VLOOKUP($P1435,매칭테이블!$G:$J,2,0)*H1435</f>
        <v/>
      </c>
      <c r="M1435" s="39">
        <f>L1435-L1435*VLOOKUP($P1435,매칭테이블!$G:$J,3,0)</f>
        <v/>
      </c>
      <c r="N1435" s="39">
        <f>VLOOKUP($P1435,매칭테이블!$G:$J,4,0)*H1435</f>
        <v/>
      </c>
      <c r="O1435" s="55">
        <f>L1435/1.1</f>
        <v/>
      </c>
      <c r="P1435" s="39">
        <f>F1435&amp;E1435&amp;I1435&amp;J1435</f>
        <v/>
      </c>
    </row>
    <row r="1436">
      <c r="B1436" s="51" t="n">
        <v>44043</v>
      </c>
      <c r="C1436" s="39" t="inlineStr">
        <is>
          <t>금</t>
        </is>
      </c>
      <c r="E1436" s="39" t="inlineStr">
        <is>
          <t>고체향수</t>
        </is>
      </c>
      <c r="F1436" s="39" t="inlineStr">
        <is>
          <t>카페24</t>
        </is>
      </c>
      <c r="G1436" s="39" t="n"/>
      <c r="H1436" s="39" t="n">
        <v>8</v>
      </c>
      <c r="I1436" s="39" t="inlineStr">
        <is>
          <t>스테이포에버 2set</t>
        </is>
      </c>
      <c r="J1436" s="20" t="n">
        <v>200622</v>
      </c>
      <c r="L1436" s="39">
        <f>VLOOKUP($P1436,매칭테이블!$G:$J,2,0)*H1436</f>
        <v/>
      </c>
      <c r="M1436" s="39">
        <f>L1436-L1436*VLOOKUP($P1436,매칭테이블!$G:$J,3,0)</f>
        <v/>
      </c>
      <c r="N1436" s="39">
        <f>VLOOKUP($P1436,매칭테이블!$G:$J,4,0)*H1436</f>
        <v/>
      </c>
      <c r="O1436" s="55">
        <f>L1436/1.1</f>
        <v/>
      </c>
      <c r="P1436" s="39">
        <f>F1436&amp;E1436&amp;I1436&amp;J1436</f>
        <v/>
      </c>
    </row>
    <row r="1437">
      <c r="B1437" s="51" t="n">
        <v>44043</v>
      </c>
      <c r="C1437" s="39" t="inlineStr">
        <is>
          <t>금</t>
        </is>
      </c>
      <c r="E1437" s="39" t="inlineStr">
        <is>
          <t>고체향수</t>
        </is>
      </c>
      <c r="F1437" s="39" t="inlineStr">
        <is>
          <t>카페24</t>
        </is>
      </c>
      <c r="H1437" s="39" t="n">
        <v>3</v>
      </c>
      <c r="I1437" s="39" t="inlineStr">
        <is>
          <t>이그나이트</t>
        </is>
      </c>
      <c r="J1437" s="20" t="n">
        <v>200622</v>
      </c>
      <c r="L1437" s="39">
        <f>VLOOKUP($P1437,매칭테이블!$G:$J,2,0)*H1437</f>
        <v/>
      </c>
      <c r="M1437" s="39">
        <f>L1437-L1437*VLOOKUP($P1437,매칭테이블!$G:$J,3,0)</f>
        <v/>
      </c>
      <c r="N1437" s="39">
        <f>VLOOKUP($P1437,매칭테이블!$G:$J,4,0)*H1437</f>
        <v/>
      </c>
      <c r="O1437" s="55">
        <f>L1437/1.1</f>
        <v/>
      </c>
      <c r="P1437" s="39">
        <f>F1437&amp;E1437&amp;I1437&amp;J1437</f>
        <v/>
      </c>
    </row>
    <row r="1438">
      <c r="B1438" s="51" t="n">
        <v>44044</v>
      </c>
      <c r="C1438" s="39" t="inlineStr">
        <is>
          <t>토</t>
        </is>
      </c>
      <c r="E1438" s="39" t="inlineStr">
        <is>
          <t>고체향수</t>
        </is>
      </c>
      <c r="F1438" s="39" t="inlineStr">
        <is>
          <t>카페24</t>
        </is>
      </c>
      <c r="H1438" s="39" t="n">
        <v>50</v>
      </c>
      <c r="I1438" s="39" t="inlineStr">
        <is>
          <t>스테이포에버</t>
        </is>
      </c>
      <c r="J1438" s="20" t="n">
        <v>200720</v>
      </c>
      <c r="L1438" s="39">
        <f>VLOOKUP($P1438,매칭테이블!$G:$J,2,0)*H1438</f>
        <v/>
      </c>
      <c r="M1438" s="39">
        <f>L1438-L1438*VLOOKUP($P1438,매칭테이블!$G:$J,3,0)</f>
        <v/>
      </c>
      <c r="N1438" s="39">
        <f>VLOOKUP($P1438,매칭테이블!$G:$J,4,0)*H1438</f>
        <v/>
      </c>
      <c r="O1438" s="55">
        <f>L1438/1.1</f>
        <v/>
      </c>
      <c r="P1438" s="39">
        <f>F1438&amp;E1438&amp;I1438&amp;J1438</f>
        <v/>
      </c>
    </row>
    <row r="1439">
      <c r="B1439" s="51" t="n">
        <v>44044</v>
      </c>
      <c r="C1439" s="39" t="inlineStr">
        <is>
          <t>토</t>
        </is>
      </c>
      <c r="E1439" s="39" t="inlineStr">
        <is>
          <t>고체향수</t>
        </is>
      </c>
      <c r="F1439" s="39" t="inlineStr">
        <is>
          <t>카페24</t>
        </is>
      </c>
      <c r="G1439" s="39" t="n"/>
      <c r="H1439" s="39" t="n">
        <v>11</v>
      </c>
      <c r="I1439" s="39" t="inlineStr">
        <is>
          <t>스테이포에버 2set</t>
        </is>
      </c>
      <c r="J1439" s="20" t="n">
        <v>200720</v>
      </c>
      <c r="L1439" s="39">
        <f>VLOOKUP($P1439,매칭테이블!$G:$J,2,0)*H1439</f>
        <v/>
      </c>
      <c r="M1439" s="39">
        <f>L1439-L1439*VLOOKUP($P1439,매칭테이블!$G:$J,3,0)</f>
        <v/>
      </c>
      <c r="N1439" s="39">
        <f>VLOOKUP($P1439,매칭테이블!$G:$J,4,0)*H1439</f>
        <v/>
      </c>
      <c r="O1439" s="55">
        <f>L1439/1.1</f>
        <v/>
      </c>
      <c r="P1439" s="39">
        <f>F1439&amp;E1439&amp;I1439&amp;J1439</f>
        <v/>
      </c>
    </row>
    <row r="1440">
      <c r="B1440" s="51" t="n">
        <v>44044</v>
      </c>
      <c r="C1440" s="39" t="inlineStr">
        <is>
          <t>토</t>
        </is>
      </c>
      <c r="E1440" s="39" t="inlineStr">
        <is>
          <t>고체향수</t>
        </is>
      </c>
      <c r="F1440" s="39" t="inlineStr">
        <is>
          <t>카페24</t>
        </is>
      </c>
      <c r="H1440" s="39" t="n">
        <v>2</v>
      </c>
      <c r="I1440" s="39" t="inlineStr">
        <is>
          <t>이그나이트</t>
        </is>
      </c>
      <c r="J1440" s="20" t="n">
        <v>200720</v>
      </c>
      <c r="L1440" s="39">
        <f>VLOOKUP($P1440,매칭테이블!$G:$J,2,0)*H1440</f>
        <v/>
      </c>
      <c r="M1440" s="39">
        <f>L1440-L1440*VLOOKUP($P1440,매칭테이블!$G:$J,3,0)</f>
        <v/>
      </c>
      <c r="N1440" s="39">
        <f>VLOOKUP($P1440,매칭테이블!$G:$J,4,0)*H1440</f>
        <v/>
      </c>
      <c r="O1440" s="55">
        <f>L1440/1.1</f>
        <v/>
      </c>
      <c r="P1440" s="39">
        <f>F1440&amp;E1440&amp;I1440&amp;J1440</f>
        <v/>
      </c>
    </row>
    <row r="1441">
      <c r="B1441" s="51" t="n">
        <v>44044</v>
      </c>
      <c r="C1441" s="39" t="inlineStr">
        <is>
          <t>토</t>
        </is>
      </c>
      <c r="E1441" s="39" t="inlineStr">
        <is>
          <t>고체향수</t>
        </is>
      </c>
      <c r="F1441" s="39" t="inlineStr">
        <is>
          <t>카페24</t>
        </is>
      </c>
      <c r="G1441" s="39" t="n"/>
      <c r="H1441" s="39" t="n">
        <v>2</v>
      </c>
      <c r="I1441" s="39" t="inlineStr">
        <is>
          <t>이그나이트 2set</t>
        </is>
      </c>
      <c r="J1441" s="20" t="n">
        <v>200720</v>
      </c>
      <c r="L1441" s="39">
        <f>VLOOKUP($P1441,매칭테이블!$G:$J,2,0)*H1441</f>
        <v/>
      </c>
      <c r="M1441" s="39">
        <f>L1441-L1441*VLOOKUP($P1441,매칭테이블!$G:$J,3,0)</f>
        <v/>
      </c>
      <c r="N1441" s="39">
        <f>VLOOKUP($P1441,매칭테이블!$G:$J,4,0)*H1441</f>
        <v/>
      </c>
      <c r="O1441" s="55">
        <f>L1441/1.1</f>
        <v/>
      </c>
      <c r="P1441" s="39">
        <f>F1441&amp;E1441&amp;I1441&amp;J1441</f>
        <v/>
      </c>
    </row>
    <row r="1442">
      <c r="B1442" s="51" t="n">
        <v>44045</v>
      </c>
      <c r="C1442" s="39" t="inlineStr">
        <is>
          <t>일</t>
        </is>
      </c>
      <c r="E1442" s="39" t="inlineStr">
        <is>
          <t>고체향수</t>
        </is>
      </c>
      <c r="F1442" s="39" t="inlineStr">
        <is>
          <t>카페24</t>
        </is>
      </c>
      <c r="H1442" s="39" t="n">
        <v>55</v>
      </c>
      <c r="I1442" s="39" t="inlineStr">
        <is>
          <t>스테이포에버</t>
        </is>
      </c>
      <c r="J1442" s="20" t="n">
        <v>200720</v>
      </c>
      <c r="L1442" s="39">
        <f>VLOOKUP($P1442,매칭테이블!$G:$J,2,0)*H1442</f>
        <v/>
      </c>
      <c r="M1442" s="39">
        <f>L1442-L1442*VLOOKUP($P1442,매칭테이블!$G:$J,3,0)</f>
        <v/>
      </c>
      <c r="N1442" s="39">
        <f>VLOOKUP($P1442,매칭테이블!$G:$J,4,0)*H1442</f>
        <v/>
      </c>
      <c r="O1442" s="55">
        <f>L1442/1.1</f>
        <v/>
      </c>
      <c r="P1442" s="39">
        <f>F1442&amp;E1442&amp;I1442&amp;J1442</f>
        <v/>
      </c>
    </row>
    <row r="1443">
      <c r="B1443" s="51" t="n">
        <v>44045</v>
      </c>
      <c r="C1443" s="39" t="inlineStr">
        <is>
          <t>일</t>
        </is>
      </c>
      <c r="E1443" s="39" t="inlineStr">
        <is>
          <t>고체향수</t>
        </is>
      </c>
      <c r="F1443" s="39" t="inlineStr">
        <is>
          <t>카페24</t>
        </is>
      </c>
      <c r="G1443" s="39" t="n"/>
      <c r="H1443" s="39" t="n">
        <v>9</v>
      </c>
      <c r="I1443" s="39" t="inlineStr">
        <is>
          <t>스테이포에버 2set</t>
        </is>
      </c>
      <c r="J1443" s="20" t="n">
        <v>200720</v>
      </c>
      <c r="L1443" s="39">
        <f>VLOOKUP($P1443,매칭테이블!$G:$J,2,0)*H1443</f>
        <v/>
      </c>
      <c r="M1443" s="39">
        <f>L1443-L1443*VLOOKUP($P1443,매칭테이블!$G:$J,3,0)</f>
        <v/>
      </c>
      <c r="N1443" s="39">
        <f>VLOOKUP($P1443,매칭테이블!$G:$J,4,0)*H1443</f>
        <v/>
      </c>
      <c r="O1443" s="55">
        <f>L1443/1.1</f>
        <v/>
      </c>
      <c r="P1443" s="39">
        <f>F1443&amp;E1443&amp;I1443&amp;J1443</f>
        <v/>
      </c>
    </row>
    <row r="1444">
      <c r="B1444" s="51" t="n">
        <v>44045</v>
      </c>
      <c r="C1444" s="39" t="inlineStr">
        <is>
          <t>일</t>
        </is>
      </c>
      <c r="E1444" s="39" t="inlineStr">
        <is>
          <t>고체향수</t>
        </is>
      </c>
      <c r="F1444" s="39" t="inlineStr">
        <is>
          <t>카페24</t>
        </is>
      </c>
      <c r="H1444" s="39" t="n">
        <v>2</v>
      </c>
      <c r="I1444" s="39" t="inlineStr">
        <is>
          <t>이그나이트</t>
        </is>
      </c>
      <c r="J1444" s="20" t="n">
        <v>200720</v>
      </c>
      <c r="L1444" s="39">
        <f>VLOOKUP($P1444,매칭테이블!$G:$J,2,0)*H1444</f>
        <v/>
      </c>
      <c r="M1444" s="39">
        <f>L1444-L1444*VLOOKUP($P1444,매칭테이블!$G:$J,3,0)</f>
        <v/>
      </c>
      <c r="N1444" s="39">
        <f>VLOOKUP($P1444,매칭테이블!$G:$J,4,0)*H1444</f>
        <v/>
      </c>
      <c r="O1444" s="55">
        <f>L1444/1.1</f>
        <v/>
      </c>
      <c r="P1444" s="39">
        <f>F1444&amp;E1444&amp;I1444&amp;J1444</f>
        <v/>
      </c>
    </row>
    <row r="1445">
      <c r="B1445" s="51" t="n">
        <v>44045</v>
      </c>
      <c r="C1445" s="39" t="inlineStr">
        <is>
          <t>일</t>
        </is>
      </c>
      <c r="E1445" s="39" t="inlineStr">
        <is>
          <t>쇼핑백</t>
        </is>
      </c>
      <c r="F1445" s="39" t="inlineStr">
        <is>
          <t>카페24</t>
        </is>
      </c>
      <c r="H1445" s="39" t="n">
        <v>1</v>
      </c>
      <c r="I1445" s="39" t="inlineStr">
        <is>
          <t>유즈쇼핑백</t>
        </is>
      </c>
      <c r="J1445" s="20" t="n">
        <v>200720</v>
      </c>
      <c r="L1445" s="39">
        <f>VLOOKUP($P1445,매칭테이블!$G:$J,2,0)*H1445</f>
        <v/>
      </c>
      <c r="M1445" s="39">
        <f>L1445-L1445*VLOOKUP($P1445,매칭테이블!$G:$J,3,0)</f>
        <v/>
      </c>
      <c r="N1445" s="39">
        <f>VLOOKUP($P1445,매칭테이블!$G:$J,4,0)*H1445</f>
        <v/>
      </c>
      <c r="O1445" s="55">
        <f>L1445/1.1</f>
        <v/>
      </c>
      <c r="P1445" s="39">
        <f>F1445&amp;E1445&amp;I1445&amp;J1445</f>
        <v/>
      </c>
    </row>
    <row r="1446">
      <c r="B1446" s="51" t="n">
        <v>44046</v>
      </c>
      <c r="C1446" s="39" t="inlineStr">
        <is>
          <t>월</t>
        </is>
      </c>
      <c r="E1446" s="39" t="inlineStr">
        <is>
          <t>고체향수</t>
        </is>
      </c>
      <c r="F1446" s="39" t="inlineStr">
        <is>
          <t>카페24</t>
        </is>
      </c>
      <c r="H1446" s="39" t="n">
        <v>2</v>
      </c>
      <c r="I1446" s="39" t="inlineStr">
        <is>
          <t>이그나이트 + 스테이포에버</t>
        </is>
      </c>
      <c r="J1446" s="20" t="n">
        <v>200720</v>
      </c>
      <c r="L1446" s="39">
        <f>VLOOKUP($P1446,매칭테이블!$G:$J,2,0)*H1446</f>
        <v/>
      </c>
      <c r="M1446" s="39">
        <f>L1446-L1446*VLOOKUP($P1446,매칭테이블!$G:$J,3,0)</f>
        <v/>
      </c>
      <c r="N1446" s="39">
        <f>VLOOKUP($P1446,매칭테이블!$G:$J,4,0)*H1446</f>
        <v/>
      </c>
      <c r="O1446" s="55">
        <f>L1446/1.1</f>
        <v/>
      </c>
      <c r="P1446" s="39">
        <f>F1446&amp;E1446&amp;I1446&amp;J1446</f>
        <v/>
      </c>
    </row>
    <row r="1447">
      <c r="B1447" s="51" t="n">
        <v>44046</v>
      </c>
      <c r="C1447" s="39" t="inlineStr">
        <is>
          <t>월</t>
        </is>
      </c>
      <c r="E1447" s="39" t="inlineStr">
        <is>
          <t>고체향수</t>
        </is>
      </c>
      <c r="F1447" s="39" t="inlineStr">
        <is>
          <t>카페24</t>
        </is>
      </c>
      <c r="H1447" s="39" t="n">
        <v>61</v>
      </c>
      <c r="I1447" s="39" t="inlineStr">
        <is>
          <t>스테이포에버</t>
        </is>
      </c>
      <c r="J1447" s="20" t="n">
        <v>200720</v>
      </c>
      <c r="L1447" s="39">
        <f>VLOOKUP($P1447,매칭테이블!$G:$J,2,0)*H1447</f>
        <v/>
      </c>
      <c r="M1447" s="39">
        <f>L1447-L1447*VLOOKUP($P1447,매칭테이블!$G:$J,3,0)</f>
        <v/>
      </c>
      <c r="N1447" s="39">
        <f>VLOOKUP($P1447,매칭테이블!$G:$J,4,0)*H1447</f>
        <v/>
      </c>
      <c r="O1447" s="55">
        <f>L1447/1.1</f>
        <v/>
      </c>
      <c r="P1447" s="39">
        <f>F1447&amp;E1447&amp;I1447&amp;J1447</f>
        <v/>
      </c>
    </row>
    <row r="1448">
      <c r="B1448" s="51" t="n">
        <v>44046</v>
      </c>
      <c r="C1448" s="39" t="inlineStr">
        <is>
          <t>월</t>
        </is>
      </c>
      <c r="E1448" s="39" t="inlineStr">
        <is>
          <t>고체향수</t>
        </is>
      </c>
      <c r="F1448" s="39" t="inlineStr">
        <is>
          <t>카페24</t>
        </is>
      </c>
      <c r="G1448" s="39" t="n"/>
      <c r="H1448" s="39" t="n">
        <v>14</v>
      </c>
      <c r="I1448" s="39" t="inlineStr">
        <is>
          <t>스테이포에버 2set</t>
        </is>
      </c>
      <c r="J1448" s="20" t="n">
        <v>200720</v>
      </c>
      <c r="L1448" s="39">
        <f>VLOOKUP($P1448,매칭테이블!$G:$J,2,0)*H1448</f>
        <v/>
      </c>
      <c r="M1448" s="39">
        <f>L1448-L1448*VLOOKUP($P1448,매칭테이블!$G:$J,3,0)</f>
        <v/>
      </c>
      <c r="N1448" s="39">
        <f>VLOOKUP($P1448,매칭테이블!$G:$J,4,0)*H1448</f>
        <v/>
      </c>
      <c r="O1448" s="55">
        <f>L1448/1.1</f>
        <v/>
      </c>
      <c r="P1448" s="39">
        <f>F1448&amp;E1448&amp;I1448&amp;J1448</f>
        <v/>
      </c>
    </row>
    <row r="1449">
      <c r="B1449" s="51" t="n">
        <v>44046</v>
      </c>
      <c r="C1449" s="39" t="inlineStr">
        <is>
          <t>월</t>
        </is>
      </c>
      <c r="E1449" s="39" t="inlineStr">
        <is>
          <t>고체향수</t>
        </is>
      </c>
      <c r="F1449" s="39" t="inlineStr">
        <is>
          <t>카페24</t>
        </is>
      </c>
      <c r="H1449" s="39" t="n">
        <v>5</v>
      </c>
      <c r="I1449" s="39" t="inlineStr">
        <is>
          <t>이그나이트</t>
        </is>
      </c>
      <c r="J1449" s="20" t="n">
        <v>200720</v>
      </c>
      <c r="L1449" s="39">
        <f>VLOOKUP($P1449,매칭테이블!$G:$J,2,0)*H1449</f>
        <v/>
      </c>
      <c r="M1449" s="39">
        <f>L1449-L1449*VLOOKUP($P1449,매칭테이블!$G:$J,3,0)</f>
        <v/>
      </c>
      <c r="N1449" s="39">
        <f>VLOOKUP($P1449,매칭테이블!$G:$J,4,0)*H1449</f>
        <v/>
      </c>
      <c r="O1449" s="55">
        <f>L1449/1.1</f>
        <v/>
      </c>
      <c r="P1449" s="39">
        <f>F1449&amp;E1449&amp;I1449&amp;J1449</f>
        <v/>
      </c>
    </row>
    <row r="1450">
      <c r="B1450" s="51" t="n">
        <v>44047</v>
      </c>
      <c r="C1450" s="39" t="inlineStr">
        <is>
          <t>화</t>
        </is>
      </c>
      <c r="E1450" s="39" t="inlineStr">
        <is>
          <t>고체향수</t>
        </is>
      </c>
      <c r="F1450" s="39" t="inlineStr">
        <is>
          <t>카페24</t>
        </is>
      </c>
      <c r="H1450" s="39" t="n">
        <v>4</v>
      </c>
      <c r="I1450" s="39" t="inlineStr">
        <is>
          <t>이그나이트 + 스테이포에버</t>
        </is>
      </c>
      <c r="J1450" s="20" t="n">
        <v>200720</v>
      </c>
      <c r="L1450" s="39">
        <f>VLOOKUP($P1450,매칭테이블!$G:$J,2,0)*H1450</f>
        <v/>
      </c>
      <c r="M1450" s="39">
        <f>L1450-L1450*VLOOKUP($P1450,매칭테이블!$G:$J,3,0)</f>
        <v/>
      </c>
      <c r="N1450" s="39">
        <f>VLOOKUP($P1450,매칭테이블!$G:$J,4,0)*H1450</f>
        <v/>
      </c>
      <c r="O1450" s="55">
        <f>L1450/1.1</f>
        <v/>
      </c>
      <c r="P1450" s="39">
        <f>F1450&amp;E1450&amp;I1450&amp;J1450</f>
        <v/>
      </c>
    </row>
    <row r="1451">
      <c r="B1451" s="51" t="n">
        <v>44047</v>
      </c>
      <c r="C1451" s="39" t="inlineStr">
        <is>
          <t>화</t>
        </is>
      </c>
      <c r="E1451" s="39" t="inlineStr">
        <is>
          <t>고체향수</t>
        </is>
      </c>
      <c r="F1451" s="39" t="inlineStr">
        <is>
          <t>카페24</t>
        </is>
      </c>
      <c r="H1451" s="39" t="n">
        <v>69</v>
      </c>
      <c r="I1451" s="39" t="inlineStr">
        <is>
          <t>스테이포에버</t>
        </is>
      </c>
      <c r="J1451" s="20" t="n">
        <v>200720</v>
      </c>
      <c r="L1451" s="39">
        <f>VLOOKUP($P1451,매칭테이블!$G:$J,2,0)*H1451</f>
        <v/>
      </c>
      <c r="M1451" s="39">
        <f>L1451-L1451*VLOOKUP($P1451,매칭테이블!$G:$J,3,0)</f>
        <v/>
      </c>
      <c r="N1451" s="39">
        <f>VLOOKUP($P1451,매칭테이블!$G:$J,4,0)*H1451</f>
        <v/>
      </c>
      <c r="O1451" s="55">
        <f>L1451/1.1</f>
        <v/>
      </c>
      <c r="P1451" s="39">
        <f>F1451&amp;E1451&amp;I1451&amp;J1451</f>
        <v/>
      </c>
    </row>
    <row r="1452">
      <c r="B1452" s="51" t="n">
        <v>44047</v>
      </c>
      <c r="C1452" s="39" t="inlineStr">
        <is>
          <t>화</t>
        </is>
      </c>
      <c r="E1452" s="39" t="inlineStr">
        <is>
          <t>고체향수</t>
        </is>
      </c>
      <c r="F1452" s="39" t="inlineStr">
        <is>
          <t>카페24</t>
        </is>
      </c>
      <c r="G1452" s="39" t="n"/>
      <c r="H1452" s="39" t="n">
        <v>12</v>
      </c>
      <c r="I1452" s="39" t="inlineStr">
        <is>
          <t>스테이포에버 2set</t>
        </is>
      </c>
      <c r="J1452" s="20" t="n">
        <v>200720</v>
      </c>
      <c r="L1452" s="39">
        <f>VLOOKUP($P1452,매칭테이블!$G:$J,2,0)*H1452</f>
        <v/>
      </c>
      <c r="M1452" s="39">
        <f>L1452-L1452*VLOOKUP($P1452,매칭테이블!$G:$J,3,0)</f>
        <v/>
      </c>
      <c r="N1452" s="39">
        <f>VLOOKUP($P1452,매칭테이블!$G:$J,4,0)*H1452</f>
        <v/>
      </c>
      <c r="O1452" s="55">
        <f>L1452/1.1</f>
        <v/>
      </c>
      <c r="P1452" s="39">
        <f>F1452&amp;E1452&amp;I1452&amp;J1452</f>
        <v/>
      </c>
    </row>
    <row r="1453">
      <c r="B1453" s="51" t="n">
        <v>44047</v>
      </c>
      <c r="C1453" s="39" t="inlineStr">
        <is>
          <t>화</t>
        </is>
      </c>
      <c r="E1453" s="39" t="inlineStr">
        <is>
          <t>고체향수</t>
        </is>
      </c>
      <c r="F1453" s="39" t="inlineStr">
        <is>
          <t>카페24</t>
        </is>
      </c>
      <c r="H1453" s="39" t="n">
        <v>1</v>
      </c>
      <c r="I1453" s="39" t="inlineStr">
        <is>
          <t>이그나이트</t>
        </is>
      </c>
      <c r="J1453" s="20" t="n">
        <v>200720</v>
      </c>
      <c r="L1453" s="39">
        <f>VLOOKUP($P1453,매칭테이블!$G:$J,2,0)*H1453</f>
        <v/>
      </c>
      <c r="M1453" s="39">
        <f>L1453-L1453*VLOOKUP($P1453,매칭테이블!$G:$J,3,0)</f>
        <v/>
      </c>
      <c r="N1453" s="39">
        <f>VLOOKUP($P1453,매칭테이블!$G:$J,4,0)*H1453</f>
        <v/>
      </c>
      <c r="O1453" s="55">
        <f>L1453/1.1</f>
        <v/>
      </c>
      <c r="P1453" s="39">
        <f>F1453&amp;E1453&amp;I1453&amp;J1453</f>
        <v/>
      </c>
    </row>
    <row r="1454">
      <c r="B1454" s="51" t="n">
        <v>44047</v>
      </c>
      <c r="C1454" s="39" t="inlineStr">
        <is>
          <t>화</t>
        </is>
      </c>
      <c r="E1454" s="39" t="inlineStr">
        <is>
          <t>쇼핑백</t>
        </is>
      </c>
      <c r="F1454" s="39" t="inlineStr">
        <is>
          <t>카페24</t>
        </is>
      </c>
      <c r="H1454" s="39" t="n">
        <v>1</v>
      </c>
      <c r="I1454" s="39" t="inlineStr">
        <is>
          <t>유즈쇼핑백</t>
        </is>
      </c>
      <c r="J1454" s="20" t="n">
        <v>200720</v>
      </c>
      <c r="L1454" s="39">
        <f>VLOOKUP($P1454,매칭테이블!$G:$J,2,0)*H1454</f>
        <v/>
      </c>
      <c r="M1454" s="39">
        <f>L1454-L1454*VLOOKUP($P1454,매칭테이블!$G:$J,3,0)</f>
        <v/>
      </c>
      <c r="N1454" s="39">
        <f>VLOOKUP($P1454,매칭테이블!$G:$J,4,0)*H1454</f>
        <v/>
      </c>
      <c r="O1454" s="55">
        <f>L1454/1.1</f>
        <v/>
      </c>
      <c r="P1454" s="39">
        <f>F1454&amp;E1454&amp;I1454&amp;J1454</f>
        <v/>
      </c>
    </row>
    <row r="1455">
      <c r="B1455" s="51" t="n">
        <v>44048</v>
      </c>
      <c r="C1455" s="39" t="inlineStr">
        <is>
          <t>수</t>
        </is>
      </c>
      <c r="E1455" s="39" t="inlineStr">
        <is>
          <t>고체향수</t>
        </is>
      </c>
      <c r="F1455" s="39" t="inlineStr">
        <is>
          <t>카페24</t>
        </is>
      </c>
      <c r="H1455" s="39" t="n">
        <v>2</v>
      </c>
      <c r="I1455" s="39" t="inlineStr">
        <is>
          <t>이그나이트 + 스테이포에버</t>
        </is>
      </c>
      <c r="J1455" s="20" t="n">
        <v>200720</v>
      </c>
      <c r="L1455" s="39">
        <f>VLOOKUP($P1455,매칭테이블!$G:$J,2,0)*H1455</f>
        <v/>
      </c>
      <c r="M1455" s="39">
        <f>L1455-L1455*VLOOKUP($P1455,매칭테이블!$G:$J,3,0)</f>
        <v/>
      </c>
      <c r="N1455" s="39">
        <f>VLOOKUP($P1455,매칭테이블!$G:$J,4,0)*H1455</f>
        <v/>
      </c>
      <c r="O1455" s="55">
        <f>L1455/1.1</f>
        <v/>
      </c>
      <c r="P1455" s="39">
        <f>F1455&amp;E1455&amp;I1455&amp;J1455</f>
        <v/>
      </c>
    </row>
    <row r="1456">
      <c r="B1456" s="51" t="n">
        <v>44048</v>
      </c>
      <c r="C1456" s="39" t="inlineStr">
        <is>
          <t>수</t>
        </is>
      </c>
      <c r="E1456" s="39" t="inlineStr">
        <is>
          <t>고체향수</t>
        </is>
      </c>
      <c r="F1456" s="39" t="inlineStr">
        <is>
          <t>카페24</t>
        </is>
      </c>
      <c r="H1456" s="39" t="n">
        <v>70</v>
      </c>
      <c r="I1456" s="39" t="inlineStr">
        <is>
          <t>스테이포에버</t>
        </is>
      </c>
      <c r="J1456" s="20" t="n">
        <v>200720</v>
      </c>
      <c r="L1456" s="39">
        <f>VLOOKUP($P1456,매칭테이블!$G:$J,2,0)*H1456</f>
        <v/>
      </c>
      <c r="M1456" s="39">
        <f>L1456-L1456*VLOOKUP($P1456,매칭테이블!$G:$J,3,0)</f>
        <v/>
      </c>
      <c r="N1456" s="39">
        <f>VLOOKUP($P1456,매칭테이블!$G:$J,4,0)*H1456</f>
        <v/>
      </c>
      <c r="O1456" s="55">
        <f>L1456/1.1</f>
        <v/>
      </c>
      <c r="P1456" s="39">
        <f>F1456&amp;E1456&amp;I1456&amp;J1456</f>
        <v/>
      </c>
    </row>
    <row r="1457">
      <c r="B1457" s="51" t="n">
        <v>44048</v>
      </c>
      <c r="C1457" s="39" t="inlineStr">
        <is>
          <t>수</t>
        </is>
      </c>
      <c r="E1457" s="39" t="inlineStr">
        <is>
          <t>고체향수</t>
        </is>
      </c>
      <c r="F1457" s="39" t="inlineStr">
        <is>
          <t>카페24</t>
        </is>
      </c>
      <c r="G1457" s="39" t="n"/>
      <c r="H1457" s="39" t="n">
        <v>6</v>
      </c>
      <c r="I1457" s="39" t="inlineStr">
        <is>
          <t>스테이포에버 2set</t>
        </is>
      </c>
      <c r="J1457" s="20" t="n">
        <v>200720</v>
      </c>
      <c r="L1457" s="39">
        <f>VLOOKUP($P1457,매칭테이블!$G:$J,2,0)*H1457</f>
        <v/>
      </c>
      <c r="M1457" s="39">
        <f>L1457-L1457*VLOOKUP($P1457,매칭테이블!$G:$J,3,0)</f>
        <v/>
      </c>
      <c r="N1457" s="39">
        <f>VLOOKUP($P1457,매칭테이블!$G:$J,4,0)*H1457</f>
        <v/>
      </c>
      <c r="O1457" s="55">
        <f>L1457/1.1</f>
        <v/>
      </c>
      <c r="P1457" s="39">
        <f>F1457&amp;E1457&amp;I1457&amp;J1457</f>
        <v/>
      </c>
    </row>
    <row r="1458">
      <c r="B1458" s="51" t="n">
        <v>44048</v>
      </c>
      <c r="C1458" s="39" t="inlineStr">
        <is>
          <t>수</t>
        </is>
      </c>
      <c r="E1458" s="39" t="inlineStr">
        <is>
          <t>고체향수</t>
        </is>
      </c>
      <c r="F1458" s="39" t="inlineStr">
        <is>
          <t>카페24</t>
        </is>
      </c>
      <c r="H1458" s="39" t="n">
        <v>2</v>
      </c>
      <c r="I1458" s="39" t="inlineStr">
        <is>
          <t>이그나이트</t>
        </is>
      </c>
      <c r="J1458" s="20" t="n">
        <v>200720</v>
      </c>
      <c r="L1458" s="39">
        <f>VLOOKUP($P1458,매칭테이블!$G:$J,2,0)*H1458</f>
        <v/>
      </c>
      <c r="M1458" s="39">
        <f>L1458-L1458*VLOOKUP($P1458,매칭테이블!$G:$J,3,0)</f>
        <v/>
      </c>
      <c r="N1458" s="39">
        <f>VLOOKUP($P1458,매칭테이블!$G:$J,4,0)*H1458</f>
        <v/>
      </c>
      <c r="O1458" s="55">
        <f>L1458/1.1</f>
        <v/>
      </c>
      <c r="P1458" s="39">
        <f>F1458&amp;E1458&amp;I1458&amp;J1458</f>
        <v/>
      </c>
    </row>
    <row r="1459">
      <c r="B1459" s="51" t="n">
        <v>44048</v>
      </c>
      <c r="C1459" s="39" t="inlineStr">
        <is>
          <t>수</t>
        </is>
      </c>
      <c r="E1459" s="39" t="inlineStr">
        <is>
          <t>쇼핑백</t>
        </is>
      </c>
      <c r="F1459" s="39" t="inlineStr">
        <is>
          <t>카페24</t>
        </is>
      </c>
      <c r="H1459" s="39" t="n">
        <v>3</v>
      </c>
      <c r="I1459" s="39" t="inlineStr">
        <is>
          <t>유즈쇼핑백</t>
        </is>
      </c>
      <c r="J1459" s="20" t="n">
        <v>200720</v>
      </c>
      <c r="L1459" s="39">
        <f>VLOOKUP($P1459,매칭테이블!$G:$J,2,0)*H1459</f>
        <v/>
      </c>
      <c r="M1459" s="39">
        <f>L1459-L1459*VLOOKUP($P1459,매칭테이블!$G:$J,3,0)</f>
        <v/>
      </c>
      <c r="N1459" s="39">
        <f>VLOOKUP($P1459,매칭테이블!$G:$J,4,0)*H1459</f>
        <v/>
      </c>
      <c r="O1459" s="55">
        <f>L1459/1.1</f>
        <v/>
      </c>
      <c r="P1459" s="39">
        <f>F1459&amp;E1459&amp;I1459&amp;J1459</f>
        <v/>
      </c>
    </row>
    <row r="1460">
      <c r="B1460" s="51" t="n">
        <v>44049</v>
      </c>
      <c r="C1460" s="39" t="inlineStr">
        <is>
          <t>목</t>
        </is>
      </c>
      <c r="E1460" s="39" t="inlineStr">
        <is>
          <t>고체향수</t>
        </is>
      </c>
      <c r="F1460" s="39" t="inlineStr">
        <is>
          <t>카페24</t>
        </is>
      </c>
      <c r="H1460" s="39" t="n">
        <v>2</v>
      </c>
      <c r="I1460" s="39" t="inlineStr">
        <is>
          <t>이그나이트 + 스테이포에버</t>
        </is>
      </c>
      <c r="J1460" s="20" t="n">
        <v>200720</v>
      </c>
      <c r="L1460" s="39">
        <f>VLOOKUP($P1460,매칭테이블!$G:$J,2,0)*H1460</f>
        <v/>
      </c>
      <c r="M1460" s="39">
        <f>L1460-L1460*VLOOKUP($P1460,매칭테이블!$G:$J,3,0)</f>
        <v/>
      </c>
      <c r="N1460" s="39">
        <f>VLOOKUP($P1460,매칭테이블!$G:$J,4,0)*H1460</f>
        <v/>
      </c>
      <c r="O1460" s="55">
        <f>L1460/1.1</f>
        <v/>
      </c>
      <c r="P1460" s="39">
        <f>F1460&amp;E1460&amp;I1460&amp;J1460</f>
        <v/>
      </c>
    </row>
    <row r="1461">
      <c r="B1461" s="51" t="n">
        <v>44049</v>
      </c>
      <c r="C1461" s="39" t="inlineStr">
        <is>
          <t>목</t>
        </is>
      </c>
      <c r="E1461" s="39" t="inlineStr">
        <is>
          <t>고체향수</t>
        </is>
      </c>
      <c r="F1461" s="39" t="inlineStr">
        <is>
          <t>카페24</t>
        </is>
      </c>
      <c r="H1461" s="39" t="n">
        <v>54</v>
      </c>
      <c r="I1461" s="39" t="inlineStr">
        <is>
          <t>스테이포에버</t>
        </is>
      </c>
      <c r="J1461" s="20" t="n">
        <v>200720</v>
      </c>
      <c r="L1461" s="39">
        <f>VLOOKUP($P1461,매칭테이블!$G:$J,2,0)*H1461</f>
        <v/>
      </c>
      <c r="M1461" s="39">
        <f>L1461-L1461*VLOOKUP($P1461,매칭테이블!$G:$J,3,0)</f>
        <v/>
      </c>
      <c r="N1461" s="39">
        <f>VLOOKUP($P1461,매칭테이블!$G:$J,4,0)*H1461</f>
        <v/>
      </c>
      <c r="O1461" s="55">
        <f>L1461/1.1</f>
        <v/>
      </c>
      <c r="P1461" s="39">
        <f>F1461&amp;E1461&amp;I1461&amp;J1461</f>
        <v/>
      </c>
    </row>
    <row r="1462">
      <c r="B1462" s="51" t="n">
        <v>44049</v>
      </c>
      <c r="C1462" s="39" t="inlineStr">
        <is>
          <t>목</t>
        </is>
      </c>
      <c r="E1462" s="39" t="inlineStr">
        <is>
          <t>고체향수</t>
        </is>
      </c>
      <c r="F1462" s="39" t="inlineStr">
        <is>
          <t>카페24</t>
        </is>
      </c>
      <c r="G1462" s="39" t="n"/>
      <c r="H1462" s="39" t="n">
        <v>11</v>
      </c>
      <c r="I1462" s="39" t="inlineStr">
        <is>
          <t>스테이포에버 2set</t>
        </is>
      </c>
      <c r="J1462" s="20" t="n">
        <v>200720</v>
      </c>
      <c r="L1462" s="39">
        <f>VLOOKUP($P1462,매칭테이블!$G:$J,2,0)*H1462</f>
        <v/>
      </c>
      <c r="M1462" s="39">
        <f>L1462-L1462*VLOOKUP($P1462,매칭테이블!$G:$J,3,0)</f>
        <v/>
      </c>
      <c r="N1462" s="39">
        <f>VLOOKUP($P1462,매칭테이블!$G:$J,4,0)*H1462</f>
        <v/>
      </c>
      <c r="O1462" s="55">
        <f>L1462/1.1</f>
        <v/>
      </c>
      <c r="P1462" s="39">
        <f>F1462&amp;E1462&amp;I1462&amp;J1462</f>
        <v/>
      </c>
    </row>
    <row r="1463">
      <c r="B1463" s="51" t="n">
        <v>44049</v>
      </c>
      <c r="C1463" s="39" t="inlineStr">
        <is>
          <t>목</t>
        </is>
      </c>
      <c r="E1463" s="39" t="inlineStr">
        <is>
          <t>쇼핑백</t>
        </is>
      </c>
      <c r="F1463" s="39" t="inlineStr">
        <is>
          <t>카페24</t>
        </is>
      </c>
      <c r="H1463" s="39" t="n">
        <v>2</v>
      </c>
      <c r="I1463" s="39" t="inlineStr">
        <is>
          <t>유즈쇼핑백</t>
        </is>
      </c>
      <c r="J1463" s="20" t="n">
        <v>200720</v>
      </c>
      <c r="L1463" s="39">
        <f>VLOOKUP($P1463,매칭테이블!$G:$J,2,0)*H1463</f>
        <v/>
      </c>
      <c r="M1463" s="39">
        <f>L1463-L1463*VLOOKUP($P1463,매칭테이블!$G:$J,3,0)</f>
        <v/>
      </c>
      <c r="N1463" s="39">
        <f>VLOOKUP($P1463,매칭테이블!$G:$J,4,0)*H1463</f>
        <v/>
      </c>
      <c r="O1463" s="55">
        <f>L1463/1.1</f>
        <v/>
      </c>
      <c r="P1463" s="39">
        <f>F1463&amp;E1463&amp;I1463&amp;J1463</f>
        <v/>
      </c>
    </row>
    <row r="1464">
      <c r="B1464" s="51" t="n">
        <v>44050</v>
      </c>
      <c r="C1464" s="39" t="inlineStr">
        <is>
          <t>금</t>
        </is>
      </c>
      <c r="E1464" s="39" t="inlineStr">
        <is>
          <t>고체향수</t>
        </is>
      </c>
      <c r="F1464" s="39" t="inlineStr">
        <is>
          <t>카페24</t>
        </is>
      </c>
      <c r="H1464" s="39" t="n">
        <v>2</v>
      </c>
      <c r="I1464" s="39" t="inlineStr">
        <is>
          <t>이그나이트 + 스테이포에버</t>
        </is>
      </c>
      <c r="J1464" s="20" t="n">
        <v>200720</v>
      </c>
      <c r="L1464" s="39">
        <f>VLOOKUP($P1464,매칭테이블!$G:$J,2,0)*H1464</f>
        <v/>
      </c>
      <c r="M1464" s="39">
        <f>L1464-L1464*VLOOKUP($P1464,매칭테이블!$G:$J,3,0)</f>
        <v/>
      </c>
      <c r="N1464" s="39">
        <f>VLOOKUP($P1464,매칭테이블!$G:$J,4,0)*H1464</f>
        <v/>
      </c>
      <c r="O1464" s="55">
        <f>L1464/1.1</f>
        <v/>
      </c>
      <c r="P1464" s="39">
        <f>F1464&amp;E1464&amp;I1464&amp;J1464</f>
        <v/>
      </c>
    </row>
    <row r="1465">
      <c r="B1465" s="51" t="n">
        <v>44050</v>
      </c>
      <c r="C1465" s="39" t="inlineStr">
        <is>
          <t>금</t>
        </is>
      </c>
      <c r="E1465" s="39" t="inlineStr">
        <is>
          <t>고체향수</t>
        </is>
      </c>
      <c r="F1465" s="39" t="inlineStr">
        <is>
          <t>카페24</t>
        </is>
      </c>
      <c r="H1465" s="39" t="n">
        <v>68</v>
      </c>
      <c r="I1465" s="39" t="inlineStr">
        <is>
          <t>스테이포에버</t>
        </is>
      </c>
      <c r="J1465" s="20" t="n">
        <v>200720</v>
      </c>
      <c r="L1465" s="39">
        <f>VLOOKUP($P1465,매칭테이블!$G:$J,2,0)*H1465</f>
        <v/>
      </c>
      <c r="M1465" s="39">
        <f>L1465-L1465*VLOOKUP($P1465,매칭테이블!$G:$J,3,0)</f>
        <v/>
      </c>
      <c r="N1465" s="39">
        <f>VLOOKUP($P1465,매칭테이블!$G:$J,4,0)*H1465</f>
        <v/>
      </c>
      <c r="O1465" s="55">
        <f>L1465/1.1</f>
        <v/>
      </c>
      <c r="P1465" s="39">
        <f>F1465&amp;E1465&amp;I1465&amp;J1465</f>
        <v/>
      </c>
    </row>
    <row r="1466">
      <c r="B1466" s="51" t="n">
        <v>44050</v>
      </c>
      <c r="C1466" s="39" t="inlineStr">
        <is>
          <t>금</t>
        </is>
      </c>
      <c r="E1466" s="39" t="inlineStr">
        <is>
          <t>고체향수</t>
        </is>
      </c>
      <c r="F1466" s="39" t="inlineStr">
        <is>
          <t>카페24</t>
        </is>
      </c>
      <c r="G1466" s="39" t="n"/>
      <c r="H1466" s="39" t="n">
        <v>8</v>
      </c>
      <c r="I1466" s="39" t="inlineStr">
        <is>
          <t>스테이포에버 2set</t>
        </is>
      </c>
      <c r="J1466" s="20" t="n">
        <v>200720</v>
      </c>
      <c r="L1466" s="39">
        <f>VLOOKUP($P1466,매칭테이블!$G:$J,2,0)*H1466</f>
        <v/>
      </c>
      <c r="M1466" s="39">
        <f>L1466-L1466*VLOOKUP($P1466,매칭테이블!$G:$J,3,0)</f>
        <v/>
      </c>
      <c r="N1466" s="39">
        <f>VLOOKUP($P1466,매칭테이블!$G:$J,4,0)*H1466</f>
        <v/>
      </c>
      <c r="O1466" s="55">
        <f>L1466/1.1</f>
        <v/>
      </c>
      <c r="P1466" s="39">
        <f>F1466&amp;E1466&amp;I1466&amp;J1466</f>
        <v/>
      </c>
    </row>
    <row r="1467">
      <c r="B1467" s="51" t="n">
        <v>44050</v>
      </c>
      <c r="C1467" s="39" t="inlineStr">
        <is>
          <t>금</t>
        </is>
      </c>
      <c r="E1467" s="39" t="inlineStr">
        <is>
          <t>고체향수</t>
        </is>
      </c>
      <c r="F1467" s="39" t="inlineStr">
        <is>
          <t>카페24</t>
        </is>
      </c>
      <c r="H1467" s="39" t="n">
        <v>1</v>
      </c>
      <c r="I1467" s="39" t="inlineStr">
        <is>
          <t>이그나이트</t>
        </is>
      </c>
      <c r="J1467" s="20" t="n">
        <v>200720</v>
      </c>
      <c r="L1467" s="39">
        <f>VLOOKUP($P1467,매칭테이블!$G:$J,2,0)*H1467</f>
        <v/>
      </c>
      <c r="M1467" s="39">
        <f>L1467-L1467*VLOOKUP($P1467,매칭테이블!$G:$J,3,0)</f>
        <v/>
      </c>
      <c r="N1467" s="39">
        <f>VLOOKUP($P1467,매칭테이블!$G:$J,4,0)*H1467</f>
        <v/>
      </c>
      <c r="O1467" s="55">
        <f>L1467/1.1</f>
        <v/>
      </c>
      <c r="P1467" s="39">
        <f>F1467&amp;E1467&amp;I1467&amp;J1467</f>
        <v/>
      </c>
    </row>
    <row r="1468">
      <c r="B1468" s="51" t="n">
        <v>44050</v>
      </c>
      <c r="C1468" s="39" t="inlineStr">
        <is>
          <t>금</t>
        </is>
      </c>
      <c r="E1468" s="39" t="inlineStr">
        <is>
          <t>쇼핑백</t>
        </is>
      </c>
      <c r="F1468" s="39" t="inlineStr">
        <is>
          <t>카페24</t>
        </is>
      </c>
      <c r="H1468" s="39" t="n">
        <v>1</v>
      </c>
      <c r="I1468" s="39" t="inlineStr">
        <is>
          <t>유즈쇼핑백</t>
        </is>
      </c>
      <c r="J1468" s="20" t="n">
        <v>200720</v>
      </c>
      <c r="L1468" s="39">
        <f>VLOOKUP($P1468,매칭테이블!$G:$J,2,0)*H1468</f>
        <v/>
      </c>
      <c r="M1468" s="39">
        <f>L1468-L1468*VLOOKUP($P1468,매칭테이블!$G:$J,3,0)</f>
        <v/>
      </c>
      <c r="N1468" s="39">
        <f>VLOOKUP($P1468,매칭테이블!$G:$J,4,0)*H1468</f>
        <v/>
      </c>
      <c r="O1468" s="55">
        <f>L1468/1.1</f>
        <v/>
      </c>
      <c r="P1468" s="39">
        <f>F1468&amp;E1468&amp;I1468&amp;J1468</f>
        <v/>
      </c>
    </row>
    <row r="1469">
      <c r="B1469" s="51" t="n">
        <v>44051</v>
      </c>
      <c r="C1469" s="39" t="inlineStr">
        <is>
          <t>토</t>
        </is>
      </c>
      <c r="E1469" s="39" t="inlineStr">
        <is>
          <t>고체향수</t>
        </is>
      </c>
      <c r="F1469" s="39" t="inlineStr">
        <is>
          <t>카페24</t>
        </is>
      </c>
      <c r="H1469" s="39" t="n">
        <v>2</v>
      </c>
      <c r="I1469" s="39" t="inlineStr">
        <is>
          <t>이그나이트 + 스테이포에버</t>
        </is>
      </c>
      <c r="J1469" s="20" t="n">
        <v>200720</v>
      </c>
      <c r="L1469" s="39">
        <f>VLOOKUP($P1469,매칭테이블!$G:$J,2,0)*H1469</f>
        <v/>
      </c>
      <c r="M1469" s="39">
        <f>L1469-L1469*VLOOKUP($P1469,매칭테이블!$G:$J,3,0)</f>
        <v/>
      </c>
      <c r="N1469" s="39">
        <f>VLOOKUP($P1469,매칭테이블!$G:$J,4,0)*H1469</f>
        <v/>
      </c>
      <c r="O1469" s="55">
        <f>L1469/1.1</f>
        <v/>
      </c>
      <c r="P1469" s="39">
        <f>F1469&amp;E1469&amp;I1469&amp;J1469</f>
        <v/>
      </c>
    </row>
    <row r="1470">
      <c r="B1470" s="51" t="n">
        <v>44051</v>
      </c>
      <c r="C1470" s="39" t="inlineStr">
        <is>
          <t>토</t>
        </is>
      </c>
      <c r="E1470" s="39" t="inlineStr">
        <is>
          <t>고체향수</t>
        </is>
      </c>
      <c r="F1470" s="39" t="inlineStr">
        <is>
          <t>카페24</t>
        </is>
      </c>
      <c r="H1470" s="39" t="n">
        <v>65</v>
      </c>
      <c r="I1470" s="39" t="inlineStr">
        <is>
          <t>스테이포에버</t>
        </is>
      </c>
      <c r="J1470" s="20" t="n">
        <v>200720</v>
      </c>
      <c r="L1470" s="39">
        <f>VLOOKUP($P1470,매칭테이블!$G:$J,2,0)*H1470</f>
        <v/>
      </c>
      <c r="M1470" s="39">
        <f>L1470-L1470*VLOOKUP($P1470,매칭테이블!$G:$J,3,0)</f>
        <v/>
      </c>
      <c r="N1470" s="39">
        <f>VLOOKUP($P1470,매칭테이블!$G:$J,4,0)*H1470</f>
        <v/>
      </c>
      <c r="O1470" s="55">
        <f>L1470/1.1</f>
        <v/>
      </c>
      <c r="P1470" s="39">
        <f>F1470&amp;E1470&amp;I1470&amp;J1470</f>
        <v/>
      </c>
    </row>
    <row r="1471">
      <c r="B1471" s="51" t="n">
        <v>44051</v>
      </c>
      <c r="C1471" s="39" t="inlineStr">
        <is>
          <t>토</t>
        </is>
      </c>
      <c r="E1471" s="39" t="inlineStr">
        <is>
          <t>고체향수</t>
        </is>
      </c>
      <c r="F1471" s="39" t="inlineStr">
        <is>
          <t>카페24</t>
        </is>
      </c>
      <c r="G1471" s="39" t="n"/>
      <c r="H1471" s="39" t="n">
        <v>8</v>
      </c>
      <c r="I1471" s="39" t="inlineStr">
        <is>
          <t>스테이포에버 2set</t>
        </is>
      </c>
      <c r="J1471" s="20" t="n">
        <v>200720</v>
      </c>
      <c r="L1471" s="39">
        <f>VLOOKUP($P1471,매칭테이블!$G:$J,2,0)*H1471</f>
        <v/>
      </c>
      <c r="M1471" s="39">
        <f>L1471-L1471*VLOOKUP($P1471,매칭테이블!$G:$J,3,0)</f>
        <v/>
      </c>
      <c r="N1471" s="39">
        <f>VLOOKUP($P1471,매칭테이블!$G:$J,4,0)*H1471</f>
        <v/>
      </c>
      <c r="O1471" s="55">
        <f>L1471/1.1</f>
        <v/>
      </c>
      <c r="P1471" s="39">
        <f>F1471&amp;E1471&amp;I1471&amp;J1471</f>
        <v/>
      </c>
    </row>
    <row r="1472">
      <c r="B1472" s="51" t="n">
        <v>44051</v>
      </c>
      <c r="C1472" s="39" t="inlineStr">
        <is>
          <t>토</t>
        </is>
      </c>
      <c r="E1472" s="39" t="inlineStr">
        <is>
          <t>고체향수</t>
        </is>
      </c>
      <c r="F1472" s="39" t="inlineStr">
        <is>
          <t>카페24</t>
        </is>
      </c>
      <c r="H1472" s="39" t="n">
        <v>1</v>
      </c>
      <c r="I1472" s="39" t="inlineStr">
        <is>
          <t>이그나이트</t>
        </is>
      </c>
      <c r="J1472" s="20" t="n">
        <v>200720</v>
      </c>
      <c r="L1472" s="39">
        <f>VLOOKUP($P1472,매칭테이블!$G:$J,2,0)*H1472</f>
        <v/>
      </c>
      <c r="M1472" s="39">
        <f>L1472-L1472*VLOOKUP($P1472,매칭테이블!$G:$J,3,0)</f>
        <v/>
      </c>
      <c r="N1472" s="39">
        <f>VLOOKUP($P1472,매칭테이블!$G:$J,4,0)*H1472</f>
        <v/>
      </c>
      <c r="O1472" s="55">
        <f>L1472/1.1</f>
        <v/>
      </c>
      <c r="P1472" s="39">
        <f>F1472&amp;E1472&amp;I1472&amp;J1472</f>
        <v/>
      </c>
    </row>
    <row r="1473">
      <c r="B1473" s="51" t="n">
        <v>44052</v>
      </c>
      <c r="C1473" s="39" t="inlineStr">
        <is>
          <t>일</t>
        </is>
      </c>
      <c r="E1473" s="39" t="inlineStr">
        <is>
          <t>고체향수</t>
        </is>
      </c>
      <c r="F1473" s="39" t="inlineStr">
        <is>
          <t>카페24</t>
        </is>
      </c>
      <c r="H1473" s="39" t="n">
        <v>2</v>
      </c>
      <c r="I1473" s="39" t="inlineStr">
        <is>
          <t>이그나이트 + 스테이포에버</t>
        </is>
      </c>
      <c r="J1473" s="20" t="n">
        <v>200720</v>
      </c>
      <c r="L1473" s="39">
        <f>VLOOKUP($P1473,매칭테이블!$G:$J,2,0)*H1473</f>
        <v/>
      </c>
      <c r="M1473" s="39">
        <f>L1473-L1473*VLOOKUP($P1473,매칭테이블!$G:$J,3,0)</f>
        <v/>
      </c>
      <c r="N1473" s="39">
        <f>VLOOKUP($P1473,매칭테이블!$G:$J,4,0)*H1473</f>
        <v/>
      </c>
      <c r="O1473" s="55">
        <f>L1473/1.1</f>
        <v/>
      </c>
      <c r="P1473" s="39">
        <f>F1473&amp;E1473&amp;I1473&amp;J1473</f>
        <v/>
      </c>
    </row>
    <row r="1474">
      <c r="B1474" s="51" t="n">
        <v>44052</v>
      </c>
      <c r="C1474" s="39" t="inlineStr">
        <is>
          <t>일</t>
        </is>
      </c>
      <c r="E1474" s="39" t="inlineStr">
        <is>
          <t>고체향수</t>
        </is>
      </c>
      <c r="F1474" s="39" t="inlineStr">
        <is>
          <t>카페24</t>
        </is>
      </c>
      <c r="H1474" s="39" t="n">
        <v>76</v>
      </c>
      <c r="I1474" s="39" t="inlineStr">
        <is>
          <t>스테이포에버</t>
        </is>
      </c>
      <c r="J1474" s="20" t="n">
        <v>200720</v>
      </c>
      <c r="L1474" s="39">
        <f>VLOOKUP($P1474,매칭테이블!$G:$J,2,0)*H1474</f>
        <v/>
      </c>
      <c r="M1474" s="39">
        <f>L1474-L1474*VLOOKUP($P1474,매칭테이블!$G:$J,3,0)</f>
        <v/>
      </c>
      <c r="N1474" s="39">
        <f>VLOOKUP($P1474,매칭테이블!$G:$J,4,0)*H1474</f>
        <v/>
      </c>
      <c r="O1474" s="55">
        <f>L1474/1.1</f>
        <v/>
      </c>
      <c r="P1474" s="39">
        <f>F1474&amp;E1474&amp;I1474&amp;J1474</f>
        <v/>
      </c>
    </row>
    <row r="1475">
      <c r="B1475" s="51" t="n">
        <v>44052</v>
      </c>
      <c r="C1475" s="39" t="inlineStr">
        <is>
          <t>일</t>
        </is>
      </c>
      <c r="E1475" s="39" t="inlineStr">
        <is>
          <t>고체향수</t>
        </is>
      </c>
      <c r="F1475" s="39" t="inlineStr">
        <is>
          <t>카페24</t>
        </is>
      </c>
      <c r="G1475" s="39" t="n"/>
      <c r="H1475" s="39" t="n">
        <v>12</v>
      </c>
      <c r="I1475" s="39" t="inlineStr">
        <is>
          <t>스테이포에버 2set</t>
        </is>
      </c>
      <c r="J1475" s="20" t="n">
        <v>200720</v>
      </c>
      <c r="L1475" s="39">
        <f>VLOOKUP($P1475,매칭테이블!$G:$J,2,0)*H1475</f>
        <v/>
      </c>
      <c r="M1475" s="39">
        <f>L1475-L1475*VLOOKUP($P1475,매칭테이블!$G:$J,3,0)</f>
        <v/>
      </c>
      <c r="N1475" s="39">
        <f>VLOOKUP($P1475,매칭테이블!$G:$J,4,0)*H1475</f>
        <v/>
      </c>
      <c r="O1475" s="55">
        <f>L1475/1.1</f>
        <v/>
      </c>
      <c r="P1475" s="39">
        <f>F1475&amp;E1475&amp;I1475&amp;J1475</f>
        <v/>
      </c>
    </row>
    <row r="1476">
      <c r="B1476" s="51" t="n">
        <v>44052</v>
      </c>
      <c r="C1476" s="39" t="inlineStr">
        <is>
          <t>일</t>
        </is>
      </c>
      <c r="E1476" s="39" t="inlineStr">
        <is>
          <t>고체향수</t>
        </is>
      </c>
      <c r="F1476" s="39" t="inlineStr">
        <is>
          <t>카페24</t>
        </is>
      </c>
      <c r="H1476" s="39" t="n">
        <v>1</v>
      </c>
      <c r="I1476" s="39" t="inlineStr">
        <is>
          <t>이그나이트</t>
        </is>
      </c>
      <c r="J1476" s="20" t="n">
        <v>200720</v>
      </c>
      <c r="L1476" s="39">
        <f>VLOOKUP($P1476,매칭테이블!$G:$J,2,0)*H1476</f>
        <v/>
      </c>
      <c r="M1476" s="39">
        <f>L1476-L1476*VLOOKUP($P1476,매칭테이블!$G:$J,3,0)</f>
        <v/>
      </c>
      <c r="N1476" s="39">
        <f>VLOOKUP($P1476,매칭테이블!$G:$J,4,0)*H1476</f>
        <v/>
      </c>
      <c r="O1476" s="55">
        <f>L1476/1.1</f>
        <v/>
      </c>
      <c r="P1476" s="39">
        <f>F1476&amp;E1476&amp;I1476&amp;J1476</f>
        <v/>
      </c>
    </row>
    <row r="1477">
      <c r="B1477" s="51" t="n">
        <v>44053</v>
      </c>
      <c r="C1477" s="39" t="inlineStr">
        <is>
          <t>월</t>
        </is>
      </c>
      <c r="E1477" s="39" t="inlineStr">
        <is>
          <t>고체향수</t>
        </is>
      </c>
      <c r="F1477" s="39" t="inlineStr">
        <is>
          <t>카페24</t>
        </is>
      </c>
      <c r="H1477" s="39" t="n">
        <v>2</v>
      </c>
      <c r="I1477" s="39" t="inlineStr">
        <is>
          <t>이그나이트 + 스테이포에버</t>
        </is>
      </c>
      <c r="J1477" s="20" t="n">
        <v>200720</v>
      </c>
      <c r="L1477" s="39">
        <f>VLOOKUP($P1477,매칭테이블!$G:$J,2,0)*H1477</f>
        <v/>
      </c>
      <c r="M1477" s="39">
        <f>L1477-L1477*VLOOKUP($P1477,매칭테이블!$G:$J,3,0)</f>
        <v/>
      </c>
      <c r="N1477" s="39">
        <f>VLOOKUP($P1477,매칭테이블!$G:$J,4,0)*H1477</f>
        <v/>
      </c>
      <c r="O1477" s="55">
        <f>L1477/1.1</f>
        <v/>
      </c>
      <c r="P1477" s="39">
        <f>F1477&amp;E1477&amp;I1477&amp;J1477</f>
        <v/>
      </c>
    </row>
    <row r="1478">
      <c r="B1478" s="51" t="n">
        <v>44053</v>
      </c>
      <c r="C1478" s="39" t="inlineStr">
        <is>
          <t>월</t>
        </is>
      </c>
      <c r="E1478" s="39" t="inlineStr">
        <is>
          <t>고체향수</t>
        </is>
      </c>
      <c r="F1478" s="39" t="inlineStr">
        <is>
          <t>카페24</t>
        </is>
      </c>
      <c r="H1478" s="39" t="n">
        <v>69</v>
      </c>
      <c r="I1478" s="39" t="inlineStr">
        <is>
          <t>스테이포에버</t>
        </is>
      </c>
      <c r="J1478" s="20" t="n">
        <v>200720</v>
      </c>
      <c r="L1478" s="39">
        <f>VLOOKUP($P1478,매칭테이블!$G:$J,2,0)*H1478</f>
        <v/>
      </c>
      <c r="M1478" s="39">
        <f>L1478-L1478*VLOOKUP($P1478,매칭테이블!$G:$J,3,0)</f>
        <v/>
      </c>
      <c r="N1478" s="39">
        <f>VLOOKUP($P1478,매칭테이블!$G:$J,4,0)*H1478</f>
        <v/>
      </c>
      <c r="O1478" s="55">
        <f>L1478/1.1</f>
        <v/>
      </c>
      <c r="P1478" s="39">
        <f>F1478&amp;E1478&amp;I1478&amp;J1478</f>
        <v/>
      </c>
    </row>
    <row r="1479">
      <c r="B1479" s="51" t="n">
        <v>44053</v>
      </c>
      <c r="C1479" s="39" t="inlineStr">
        <is>
          <t>월</t>
        </is>
      </c>
      <c r="E1479" s="39" t="inlineStr">
        <is>
          <t>고체향수</t>
        </is>
      </c>
      <c r="F1479" s="39" t="inlineStr">
        <is>
          <t>카페24</t>
        </is>
      </c>
      <c r="G1479" s="39" t="n"/>
      <c r="H1479" s="39" t="n">
        <v>14</v>
      </c>
      <c r="I1479" s="39" t="inlineStr">
        <is>
          <t>스테이포에버 2set</t>
        </is>
      </c>
      <c r="J1479" s="20" t="n">
        <v>200720</v>
      </c>
      <c r="L1479" s="39">
        <f>VLOOKUP($P1479,매칭테이블!$G:$J,2,0)*H1479</f>
        <v/>
      </c>
      <c r="M1479" s="39">
        <f>L1479-L1479*VLOOKUP($P1479,매칭테이블!$G:$J,3,0)</f>
        <v/>
      </c>
      <c r="N1479" s="39">
        <f>VLOOKUP($P1479,매칭테이블!$G:$J,4,0)*H1479</f>
        <v/>
      </c>
      <c r="O1479" s="55">
        <f>L1479/1.1</f>
        <v/>
      </c>
      <c r="P1479" s="39">
        <f>F1479&amp;E1479&amp;I1479&amp;J1479</f>
        <v/>
      </c>
    </row>
    <row r="1480">
      <c r="B1480" s="51" t="n">
        <v>44053</v>
      </c>
      <c r="C1480" s="39" t="inlineStr">
        <is>
          <t>월</t>
        </is>
      </c>
      <c r="E1480" s="39" t="inlineStr">
        <is>
          <t>고체향수</t>
        </is>
      </c>
      <c r="F1480" s="39" t="inlineStr">
        <is>
          <t>카페24</t>
        </is>
      </c>
      <c r="H1480" s="39" t="n">
        <v>1</v>
      </c>
      <c r="I1480" s="39" t="inlineStr">
        <is>
          <t>이그나이트</t>
        </is>
      </c>
      <c r="J1480" s="20" t="n">
        <v>200720</v>
      </c>
      <c r="L1480" s="39">
        <f>VLOOKUP($P1480,매칭테이블!$G:$J,2,0)*H1480</f>
        <v/>
      </c>
      <c r="M1480" s="39">
        <f>L1480-L1480*VLOOKUP($P1480,매칭테이블!$G:$J,3,0)</f>
        <v/>
      </c>
      <c r="N1480" s="39">
        <f>VLOOKUP($P1480,매칭테이블!$G:$J,4,0)*H1480</f>
        <v/>
      </c>
      <c r="O1480" s="55">
        <f>L1480/1.1</f>
        <v/>
      </c>
      <c r="P1480" s="39">
        <f>F1480&amp;E1480&amp;I1480&amp;J1480</f>
        <v/>
      </c>
    </row>
    <row r="1481">
      <c r="B1481" s="51" t="n">
        <v>44053</v>
      </c>
      <c r="C1481" s="39" t="inlineStr">
        <is>
          <t>월</t>
        </is>
      </c>
      <c r="E1481" s="39" t="inlineStr">
        <is>
          <t>쇼핑백</t>
        </is>
      </c>
      <c r="F1481" s="39" t="inlineStr">
        <is>
          <t>카페24</t>
        </is>
      </c>
      <c r="H1481" s="39" t="n">
        <v>1</v>
      </c>
      <c r="I1481" s="39" t="inlineStr">
        <is>
          <t>유즈쇼핑백</t>
        </is>
      </c>
      <c r="J1481" s="20" t="n">
        <v>200720</v>
      </c>
      <c r="L1481" s="39">
        <f>VLOOKUP($P1481,매칭테이블!$G:$J,2,0)*H1481</f>
        <v/>
      </c>
      <c r="M1481" s="39">
        <f>L1481-L1481*VLOOKUP($P1481,매칭테이블!$G:$J,3,0)</f>
        <v/>
      </c>
      <c r="N1481" s="39">
        <f>VLOOKUP($P1481,매칭테이블!$G:$J,4,0)*H1481</f>
        <v/>
      </c>
      <c r="O1481" s="55">
        <f>L1481/1.1</f>
        <v/>
      </c>
      <c r="P1481" s="39">
        <f>F1481&amp;E1481&amp;I1481&amp;J1481</f>
        <v/>
      </c>
    </row>
    <row r="1482">
      <c r="B1482" s="51" t="n">
        <v>44054</v>
      </c>
      <c r="C1482" s="39" t="inlineStr">
        <is>
          <t>화</t>
        </is>
      </c>
      <c r="E1482" s="39" t="inlineStr">
        <is>
          <t>고체향수</t>
        </is>
      </c>
      <c r="F1482" s="39" t="inlineStr">
        <is>
          <t>유즈 CS</t>
        </is>
      </c>
      <c r="H1482" s="39" t="n">
        <v>1</v>
      </c>
      <c r="I1482" s="39" t="inlineStr">
        <is>
          <t>이그나이트</t>
        </is>
      </c>
      <c r="J1482" s="20" t="n">
        <v>200520</v>
      </c>
      <c r="L1482" s="39">
        <f>VLOOKUP($P1482,매칭테이블!$G:$J,2,0)*H1482</f>
        <v/>
      </c>
      <c r="M1482" s="39">
        <f>L1482-L1482*VLOOKUP($P1482,매칭테이블!$G:$J,3,0)</f>
        <v/>
      </c>
      <c r="N1482" s="39">
        <f>VLOOKUP($P1482,매칭테이블!$G:$J,4,0)*H1482</f>
        <v/>
      </c>
      <c r="O1482" s="55">
        <f>L1482/1.1</f>
        <v/>
      </c>
      <c r="P1482" s="39">
        <f>F1482&amp;E1482&amp;I1482&amp;J1482</f>
        <v/>
      </c>
    </row>
    <row r="1483">
      <c r="B1483" s="51" t="n">
        <v>44054</v>
      </c>
      <c r="C1483" s="39" t="inlineStr">
        <is>
          <t>화</t>
        </is>
      </c>
      <c r="E1483" s="39" t="inlineStr">
        <is>
          <t>고체향수</t>
        </is>
      </c>
      <c r="F1483" s="39" t="inlineStr">
        <is>
          <t>카페24</t>
        </is>
      </c>
      <c r="H1483" s="39" t="n">
        <v>2</v>
      </c>
      <c r="I1483" s="39" t="inlineStr">
        <is>
          <t>이그나이트 + 스테이포에버</t>
        </is>
      </c>
      <c r="J1483" s="20" t="n">
        <v>200720</v>
      </c>
      <c r="L1483" s="39">
        <f>VLOOKUP($P1483,매칭테이블!$G:$J,2,0)*H1483</f>
        <v/>
      </c>
      <c r="M1483" s="39">
        <f>L1483-L1483*VLOOKUP($P1483,매칭테이블!$G:$J,3,0)</f>
        <v/>
      </c>
      <c r="N1483" s="39">
        <f>VLOOKUP($P1483,매칭테이블!$G:$J,4,0)*H1483</f>
        <v/>
      </c>
      <c r="O1483" s="55">
        <f>L1483/1.1</f>
        <v/>
      </c>
      <c r="P1483" s="39">
        <f>F1483&amp;E1483&amp;I1483&amp;J1483</f>
        <v/>
      </c>
    </row>
    <row r="1484">
      <c r="B1484" s="51" t="n">
        <v>44054</v>
      </c>
      <c r="C1484" s="39" t="inlineStr">
        <is>
          <t>화</t>
        </is>
      </c>
      <c r="E1484" s="39" t="inlineStr">
        <is>
          <t>고체향수</t>
        </is>
      </c>
      <c r="F1484" s="39" t="inlineStr">
        <is>
          <t>카페24</t>
        </is>
      </c>
      <c r="H1484" s="39" t="n">
        <v>64</v>
      </c>
      <c r="I1484" s="39" t="inlineStr">
        <is>
          <t>스테이포에버</t>
        </is>
      </c>
      <c r="J1484" s="20" t="n">
        <v>200720</v>
      </c>
      <c r="L1484" s="39">
        <f>VLOOKUP($P1484,매칭테이블!$G:$J,2,0)*H1484</f>
        <v/>
      </c>
      <c r="M1484" s="39">
        <f>L1484-L1484*VLOOKUP($P1484,매칭테이블!$G:$J,3,0)</f>
        <v/>
      </c>
      <c r="N1484" s="39">
        <f>VLOOKUP($P1484,매칭테이블!$G:$J,4,0)*H1484</f>
        <v/>
      </c>
      <c r="O1484" s="55">
        <f>L1484/1.1</f>
        <v/>
      </c>
      <c r="P1484" s="39">
        <f>F1484&amp;E1484&amp;I1484&amp;J1484</f>
        <v/>
      </c>
    </row>
    <row r="1485">
      <c r="B1485" s="51" t="n">
        <v>44054</v>
      </c>
      <c r="C1485" s="39" t="inlineStr">
        <is>
          <t>화</t>
        </is>
      </c>
      <c r="E1485" s="39" t="inlineStr">
        <is>
          <t>고체향수</t>
        </is>
      </c>
      <c r="F1485" s="39" t="inlineStr">
        <is>
          <t>카페24</t>
        </is>
      </c>
      <c r="G1485" s="39" t="n"/>
      <c r="H1485" s="39" t="n">
        <v>7</v>
      </c>
      <c r="I1485" s="39" t="inlineStr">
        <is>
          <t>스테이포에버 2set</t>
        </is>
      </c>
      <c r="J1485" s="20" t="n">
        <v>200720</v>
      </c>
      <c r="L1485" s="39">
        <f>VLOOKUP($P1485,매칭테이블!$G:$J,2,0)*H1485</f>
        <v/>
      </c>
      <c r="M1485" s="39">
        <f>L1485-L1485*VLOOKUP($P1485,매칭테이블!$G:$J,3,0)</f>
        <v/>
      </c>
      <c r="N1485" s="39">
        <f>VLOOKUP($P1485,매칭테이블!$G:$J,4,0)*H1485</f>
        <v/>
      </c>
      <c r="O1485" s="55">
        <f>L1485/1.1</f>
        <v/>
      </c>
      <c r="P1485" s="39">
        <f>F1485&amp;E1485&amp;I1485&amp;J1485</f>
        <v/>
      </c>
    </row>
    <row r="1486">
      <c r="B1486" s="51" t="n">
        <v>44054</v>
      </c>
      <c r="C1486" s="39" t="inlineStr">
        <is>
          <t>화</t>
        </is>
      </c>
      <c r="E1486" s="39" t="inlineStr">
        <is>
          <t>쇼핑백</t>
        </is>
      </c>
      <c r="F1486" s="39" t="inlineStr">
        <is>
          <t>카페24</t>
        </is>
      </c>
      <c r="H1486" s="39" t="n">
        <v>2</v>
      </c>
      <c r="I1486" s="39" t="inlineStr">
        <is>
          <t>유즈쇼핑백</t>
        </is>
      </c>
      <c r="J1486" s="20" t="n">
        <v>200720</v>
      </c>
      <c r="L1486" s="39">
        <f>VLOOKUP($P1486,매칭테이블!$G:$J,2,0)*H1486</f>
        <v/>
      </c>
      <c r="M1486" s="39">
        <f>L1486-L1486*VLOOKUP($P1486,매칭테이블!$G:$J,3,0)</f>
        <v/>
      </c>
      <c r="N1486" s="39">
        <f>VLOOKUP($P1486,매칭테이블!$G:$J,4,0)*H1486</f>
        <v/>
      </c>
      <c r="O1486" s="55">
        <f>L1486/1.1</f>
        <v/>
      </c>
      <c r="P1486" s="39">
        <f>F1486&amp;E1486&amp;I1486&amp;J1486</f>
        <v/>
      </c>
    </row>
    <row r="1487">
      <c r="B1487" s="51" t="n">
        <v>44055</v>
      </c>
      <c r="C1487" s="39" t="inlineStr">
        <is>
          <t>수</t>
        </is>
      </c>
      <c r="E1487" s="39" t="inlineStr">
        <is>
          <t>고체향수</t>
        </is>
      </c>
      <c r="F1487" s="39" t="inlineStr">
        <is>
          <t>카페24</t>
        </is>
      </c>
      <c r="H1487" s="39" t="n">
        <v>7</v>
      </c>
      <c r="I1487" s="39" t="inlineStr">
        <is>
          <t>이그나이트 + 스테이포에버</t>
        </is>
      </c>
      <c r="J1487" s="20" t="n">
        <v>200720</v>
      </c>
      <c r="L1487" s="39">
        <f>VLOOKUP($P1487,매칭테이블!$G:$J,2,0)*H1487</f>
        <v/>
      </c>
      <c r="M1487" s="39">
        <f>L1487-L1487*VLOOKUP($P1487,매칭테이블!$G:$J,3,0)</f>
        <v/>
      </c>
      <c r="N1487" s="39">
        <f>VLOOKUP($P1487,매칭테이블!$G:$J,4,0)*H1487</f>
        <v/>
      </c>
      <c r="O1487" s="55">
        <f>L1487/1.1</f>
        <v/>
      </c>
      <c r="P1487" s="39">
        <f>F1487&amp;E1487&amp;I1487&amp;J1487</f>
        <v/>
      </c>
    </row>
    <row r="1488">
      <c r="B1488" s="51" t="n">
        <v>44055</v>
      </c>
      <c r="C1488" s="39" t="inlineStr">
        <is>
          <t>수</t>
        </is>
      </c>
      <c r="E1488" s="39" t="inlineStr">
        <is>
          <t>고체향수</t>
        </is>
      </c>
      <c r="F1488" s="39" t="inlineStr">
        <is>
          <t>카페24</t>
        </is>
      </c>
      <c r="H1488" s="39" t="n">
        <v>59</v>
      </c>
      <c r="I1488" s="39" t="inlineStr">
        <is>
          <t>스테이포에버</t>
        </is>
      </c>
      <c r="J1488" s="20" t="n">
        <v>200720</v>
      </c>
      <c r="L1488" s="39">
        <f>VLOOKUP($P1488,매칭테이블!$G:$J,2,0)*H1488</f>
        <v/>
      </c>
      <c r="M1488" s="39">
        <f>L1488-L1488*VLOOKUP($P1488,매칭테이블!$G:$J,3,0)</f>
        <v/>
      </c>
      <c r="N1488" s="39">
        <f>VLOOKUP($P1488,매칭테이블!$G:$J,4,0)*H1488</f>
        <v/>
      </c>
      <c r="O1488" s="55">
        <f>L1488/1.1</f>
        <v/>
      </c>
      <c r="P1488" s="39">
        <f>F1488&amp;E1488&amp;I1488&amp;J1488</f>
        <v/>
      </c>
    </row>
    <row r="1489">
      <c r="B1489" s="51" t="n">
        <v>44055</v>
      </c>
      <c r="C1489" s="39" t="inlineStr">
        <is>
          <t>수</t>
        </is>
      </c>
      <c r="E1489" s="39" t="inlineStr">
        <is>
          <t>고체향수</t>
        </is>
      </c>
      <c r="F1489" s="39" t="inlineStr">
        <is>
          <t>카페24</t>
        </is>
      </c>
      <c r="G1489" s="39" t="n"/>
      <c r="H1489" s="39" t="n">
        <v>8</v>
      </c>
      <c r="I1489" s="39" t="inlineStr">
        <is>
          <t>스테이포에버 2set</t>
        </is>
      </c>
      <c r="J1489" s="20" t="n">
        <v>200720</v>
      </c>
      <c r="L1489" s="39">
        <f>VLOOKUP($P1489,매칭테이블!$G:$J,2,0)*H1489</f>
        <v/>
      </c>
      <c r="M1489" s="39">
        <f>L1489-L1489*VLOOKUP($P1489,매칭테이블!$G:$J,3,0)</f>
        <v/>
      </c>
      <c r="N1489" s="39">
        <f>VLOOKUP($P1489,매칭테이블!$G:$J,4,0)*H1489</f>
        <v/>
      </c>
      <c r="O1489" s="55">
        <f>L1489/1.1</f>
        <v/>
      </c>
      <c r="P1489" s="39">
        <f>F1489&amp;E1489&amp;I1489&amp;J1489</f>
        <v/>
      </c>
    </row>
    <row r="1490">
      <c r="B1490" s="51" t="n">
        <v>44055</v>
      </c>
      <c r="C1490" s="39" t="inlineStr">
        <is>
          <t>수</t>
        </is>
      </c>
      <c r="E1490" s="39" t="inlineStr">
        <is>
          <t>고체향수</t>
        </is>
      </c>
      <c r="F1490" s="39" t="inlineStr">
        <is>
          <t>카페24</t>
        </is>
      </c>
      <c r="H1490" s="39" t="n">
        <v>1</v>
      </c>
      <c r="I1490" s="39" t="inlineStr">
        <is>
          <t>이그나이트</t>
        </is>
      </c>
      <c r="J1490" s="20" t="n">
        <v>200720</v>
      </c>
      <c r="L1490" s="39">
        <f>VLOOKUP($P1490,매칭테이블!$G:$J,2,0)*H1490</f>
        <v/>
      </c>
      <c r="M1490" s="39">
        <f>L1490-L1490*VLOOKUP($P1490,매칭테이블!$G:$J,3,0)</f>
        <v/>
      </c>
      <c r="N1490" s="39">
        <f>VLOOKUP($P1490,매칭테이블!$G:$J,4,0)*H1490</f>
        <v/>
      </c>
      <c r="O1490" s="55">
        <f>L1490/1.1</f>
        <v/>
      </c>
      <c r="P1490" s="39">
        <f>F1490&amp;E1490&amp;I1490&amp;J1490</f>
        <v/>
      </c>
    </row>
    <row r="1491">
      <c r="B1491" s="51" t="n">
        <v>44055</v>
      </c>
      <c r="C1491" s="39" t="inlineStr">
        <is>
          <t>수</t>
        </is>
      </c>
      <c r="E1491" s="39" t="inlineStr">
        <is>
          <t>고체향수</t>
        </is>
      </c>
      <c r="F1491" s="39" t="inlineStr">
        <is>
          <t>카페24</t>
        </is>
      </c>
      <c r="G1491" s="39" t="n"/>
      <c r="H1491" s="39" t="n">
        <v>1</v>
      </c>
      <c r="I1491" s="39" t="inlineStr">
        <is>
          <t>이그나이트 2set</t>
        </is>
      </c>
      <c r="J1491" s="20" t="n">
        <v>200720</v>
      </c>
      <c r="L1491" s="39">
        <f>VLOOKUP($P1491,매칭테이블!$G:$J,2,0)*H1491</f>
        <v/>
      </c>
      <c r="M1491" s="39">
        <f>L1491-L1491*VLOOKUP($P1491,매칭테이블!$G:$J,3,0)</f>
        <v/>
      </c>
      <c r="N1491" s="39">
        <f>VLOOKUP($P1491,매칭테이블!$G:$J,4,0)*H1491</f>
        <v/>
      </c>
      <c r="O1491" s="55">
        <f>L1491/1.1</f>
        <v/>
      </c>
      <c r="P1491" s="39">
        <f>F1491&amp;E1491&amp;I1491&amp;J1491</f>
        <v/>
      </c>
    </row>
    <row r="1492">
      <c r="B1492" s="51" t="n">
        <v>44055</v>
      </c>
      <c r="C1492" s="39" t="inlineStr">
        <is>
          <t>수</t>
        </is>
      </c>
      <c r="E1492" s="39" t="inlineStr">
        <is>
          <t>쇼핑백</t>
        </is>
      </c>
      <c r="F1492" s="39" t="inlineStr">
        <is>
          <t>카페24</t>
        </is>
      </c>
      <c r="H1492" s="39" t="n">
        <v>2</v>
      </c>
      <c r="I1492" s="39" t="inlineStr">
        <is>
          <t>유즈쇼핑백</t>
        </is>
      </c>
      <c r="J1492" s="20" t="n">
        <v>200720</v>
      </c>
      <c r="L1492" s="39">
        <f>VLOOKUP($P1492,매칭테이블!$G:$J,2,0)*H1492</f>
        <v/>
      </c>
      <c r="M1492" s="39">
        <f>L1492-L1492*VLOOKUP($P1492,매칭테이블!$G:$J,3,0)</f>
        <v/>
      </c>
      <c r="N1492" s="39">
        <f>VLOOKUP($P1492,매칭테이블!$G:$J,4,0)*H1492</f>
        <v/>
      </c>
      <c r="O1492" s="55">
        <f>L1492/1.1</f>
        <v/>
      </c>
      <c r="P1492" s="39">
        <f>F1492&amp;E1492&amp;I1492&amp;J1492</f>
        <v/>
      </c>
    </row>
    <row r="1493">
      <c r="B1493" s="51" t="n">
        <v>44056</v>
      </c>
      <c r="C1493" s="39" t="inlineStr">
        <is>
          <t>목</t>
        </is>
      </c>
      <c r="E1493" s="39" t="inlineStr">
        <is>
          <t>고체향수</t>
        </is>
      </c>
      <c r="F1493" s="39" t="inlineStr">
        <is>
          <t>카페24</t>
        </is>
      </c>
      <c r="H1493" s="39" t="n">
        <v>2</v>
      </c>
      <c r="I1493" s="39" t="inlineStr">
        <is>
          <t>이그나이트 + 스테이포에버</t>
        </is>
      </c>
      <c r="J1493" s="20" t="n">
        <v>200720</v>
      </c>
      <c r="L1493" s="39">
        <f>VLOOKUP($P1493,매칭테이블!$G:$J,2,0)*H1493</f>
        <v/>
      </c>
      <c r="M1493" s="39">
        <f>L1493-L1493*VLOOKUP($P1493,매칭테이블!$G:$J,3,0)</f>
        <v/>
      </c>
      <c r="N1493" s="39">
        <f>VLOOKUP($P1493,매칭테이블!$G:$J,4,0)*H1493</f>
        <v/>
      </c>
      <c r="O1493" s="55">
        <f>L1493/1.1</f>
        <v/>
      </c>
      <c r="P1493" s="39">
        <f>F1493&amp;E1493&amp;I1493&amp;J1493</f>
        <v/>
      </c>
    </row>
    <row r="1494">
      <c r="B1494" s="51" t="n">
        <v>44056</v>
      </c>
      <c r="C1494" s="39" t="inlineStr">
        <is>
          <t>목</t>
        </is>
      </c>
      <c r="E1494" s="39" t="inlineStr">
        <is>
          <t>고체향수</t>
        </is>
      </c>
      <c r="F1494" s="39" t="inlineStr">
        <is>
          <t>카페24</t>
        </is>
      </c>
      <c r="H1494" s="39" t="n">
        <v>49</v>
      </c>
      <c r="I1494" s="39" t="inlineStr">
        <is>
          <t>스테이포에버</t>
        </is>
      </c>
      <c r="J1494" s="20" t="n">
        <v>200720</v>
      </c>
      <c r="L1494" s="39">
        <f>VLOOKUP($P1494,매칭테이블!$G:$J,2,0)*H1494</f>
        <v/>
      </c>
      <c r="M1494" s="39">
        <f>L1494-L1494*VLOOKUP($P1494,매칭테이블!$G:$J,3,0)</f>
        <v/>
      </c>
      <c r="N1494" s="39">
        <f>VLOOKUP($P1494,매칭테이블!$G:$J,4,0)*H1494</f>
        <v/>
      </c>
      <c r="O1494" s="55">
        <f>L1494/1.1</f>
        <v/>
      </c>
      <c r="P1494" s="39">
        <f>F1494&amp;E1494&amp;I1494&amp;J1494</f>
        <v/>
      </c>
    </row>
    <row r="1495">
      <c r="B1495" s="51" t="n">
        <v>44056</v>
      </c>
      <c r="C1495" s="39" t="inlineStr">
        <is>
          <t>목</t>
        </is>
      </c>
      <c r="E1495" s="39" t="inlineStr">
        <is>
          <t>고체향수</t>
        </is>
      </c>
      <c r="F1495" s="39" t="inlineStr">
        <is>
          <t>카페24</t>
        </is>
      </c>
      <c r="G1495" s="39" t="n"/>
      <c r="H1495" s="39" t="n">
        <v>10</v>
      </c>
      <c r="I1495" s="39" t="inlineStr">
        <is>
          <t>스테이포에버 2set</t>
        </is>
      </c>
      <c r="J1495" s="20" t="n">
        <v>200720</v>
      </c>
      <c r="L1495" s="39">
        <f>VLOOKUP($P1495,매칭테이블!$G:$J,2,0)*H1495</f>
        <v/>
      </c>
      <c r="M1495" s="39">
        <f>L1495-L1495*VLOOKUP($P1495,매칭테이블!$G:$J,3,0)</f>
        <v/>
      </c>
      <c r="N1495" s="39">
        <f>VLOOKUP($P1495,매칭테이블!$G:$J,4,0)*H1495</f>
        <v/>
      </c>
      <c r="O1495" s="55">
        <f>L1495/1.1</f>
        <v/>
      </c>
      <c r="P1495" s="39">
        <f>F1495&amp;E1495&amp;I1495&amp;J1495</f>
        <v/>
      </c>
    </row>
    <row r="1496">
      <c r="B1496" s="51" t="n">
        <v>44056</v>
      </c>
      <c r="C1496" s="39" t="inlineStr">
        <is>
          <t>목</t>
        </is>
      </c>
      <c r="E1496" s="39" t="inlineStr">
        <is>
          <t>고체향수</t>
        </is>
      </c>
      <c r="F1496" s="39" t="inlineStr">
        <is>
          <t>카페24</t>
        </is>
      </c>
      <c r="H1496" s="39" t="n">
        <v>1</v>
      </c>
      <c r="I1496" s="39" t="inlineStr">
        <is>
          <t>이그나이트</t>
        </is>
      </c>
      <c r="J1496" s="20" t="n">
        <v>200720</v>
      </c>
      <c r="L1496" s="39">
        <f>VLOOKUP($P1496,매칭테이블!$G:$J,2,0)*H1496</f>
        <v/>
      </c>
      <c r="M1496" s="39">
        <f>L1496-L1496*VLOOKUP($P1496,매칭테이블!$G:$J,3,0)</f>
        <v/>
      </c>
      <c r="N1496" s="39">
        <f>VLOOKUP($P1496,매칭테이블!$G:$J,4,0)*H1496</f>
        <v/>
      </c>
      <c r="O1496" s="55">
        <f>L1496/1.1</f>
        <v/>
      </c>
      <c r="P1496" s="39">
        <f>F1496&amp;E1496&amp;I1496&amp;J1496</f>
        <v/>
      </c>
    </row>
    <row r="1497">
      <c r="B1497" s="51" t="n">
        <v>44057</v>
      </c>
      <c r="C1497" s="39" t="inlineStr">
        <is>
          <t>금</t>
        </is>
      </c>
      <c r="E1497" s="39" t="inlineStr">
        <is>
          <t>고체향수</t>
        </is>
      </c>
      <c r="F1497" s="39" t="inlineStr">
        <is>
          <t>카페24</t>
        </is>
      </c>
      <c r="H1497" s="39" t="n">
        <v>3</v>
      </c>
      <c r="I1497" s="39" t="inlineStr">
        <is>
          <t>이그나이트 + 스테이포에버</t>
        </is>
      </c>
      <c r="J1497" s="20" t="n">
        <v>200720</v>
      </c>
      <c r="L1497" s="39">
        <f>VLOOKUP($P1497,매칭테이블!$G:$J,2,0)*H1497</f>
        <v/>
      </c>
      <c r="M1497" s="39">
        <f>L1497-L1497*VLOOKUP($P1497,매칭테이블!$G:$J,3,0)</f>
        <v/>
      </c>
      <c r="N1497" s="39">
        <f>VLOOKUP($P1497,매칭테이블!$G:$J,4,0)*H1497</f>
        <v/>
      </c>
      <c r="O1497" s="55">
        <f>L1497/1.1</f>
        <v/>
      </c>
      <c r="P1497" s="39">
        <f>F1497&amp;E1497&amp;I1497&amp;J1497</f>
        <v/>
      </c>
    </row>
    <row r="1498">
      <c r="B1498" s="51" t="n">
        <v>44057</v>
      </c>
      <c r="C1498" s="39" t="inlineStr">
        <is>
          <t>금</t>
        </is>
      </c>
      <c r="E1498" s="39" t="inlineStr">
        <is>
          <t>고체향수</t>
        </is>
      </c>
      <c r="F1498" s="39" t="inlineStr">
        <is>
          <t>카페24</t>
        </is>
      </c>
      <c r="H1498" s="39" t="n">
        <v>37</v>
      </c>
      <c r="I1498" s="39" t="inlineStr">
        <is>
          <t>스테이포에버</t>
        </is>
      </c>
      <c r="J1498" s="20" t="n">
        <v>200720</v>
      </c>
      <c r="L1498" s="39">
        <f>VLOOKUP($P1498,매칭테이블!$G:$J,2,0)*H1498</f>
        <v/>
      </c>
      <c r="M1498" s="39">
        <f>L1498-L1498*VLOOKUP($P1498,매칭테이블!$G:$J,3,0)</f>
        <v/>
      </c>
      <c r="N1498" s="39">
        <f>VLOOKUP($P1498,매칭테이블!$G:$J,4,0)*H1498</f>
        <v/>
      </c>
      <c r="O1498" s="55">
        <f>L1498/1.1</f>
        <v/>
      </c>
      <c r="P1498" s="39">
        <f>F1498&amp;E1498&amp;I1498&amp;J1498</f>
        <v/>
      </c>
    </row>
    <row r="1499">
      <c r="B1499" s="51" t="n">
        <v>44057</v>
      </c>
      <c r="C1499" s="39" t="inlineStr">
        <is>
          <t>금</t>
        </is>
      </c>
      <c r="E1499" s="39" t="inlineStr">
        <is>
          <t>고체향수</t>
        </is>
      </c>
      <c r="F1499" s="39" t="inlineStr">
        <is>
          <t>카페24</t>
        </is>
      </c>
      <c r="G1499" s="39" t="n"/>
      <c r="H1499" s="39" t="n">
        <v>10</v>
      </c>
      <c r="I1499" s="39" t="inlineStr">
        <is>
          <t>스테이포에버 2set</t>
        </is>
      </c>
      <c r="J1499" s="20" t="n">
        <v>200720</v>
      </c>
      <c r="L1499" s="39">
        <f>VLOOKUP($P1499,매칭테이블!$G:$J,2,0)*H1499</f>
        <v/>
      </c>
      <c r="M1499" s="39">
        <f>L1499-L1499*VLOOKUP($P1499,매칭테이블!$G:$J,3,0)</f>
        <v/>
      </c>
      <c r="N1499" s="39">
        <f>VLOOKUP($P1499,매칭테이블!$G:$J,4,0)*H1499</f>
        <v/>
      </c>
      <c r="O1499" s="55">
        <f>L1499/1.1</f>
        <v/>
      </c>
      <c r="P1499" s="39">
        <f>F1499&amp;E1499&amp;I1499&amp;J1499</f>
        <v/>
      </c>
    </row>
    <row r="1500">
      <c r="B1500" s="51" t="n">
        <v>44057</v>
      </c>
      <c r="C1500" s="39" t="inlineStr">
        <is>
          <t>금</t>
        </is>
      </c>
      <c r="E1500" s="39" t="inlineStr">
        <is>
          <t>고체향수</t>
        </is>
      </c>
      <c r="F1500" s="39" t="inlineStr">
        <is>
          <t>카페24</t>
        </is>
      </c>
      <c r="H1500" s="39" t="n">
        <v>1</v>
      </c>
      <c r="I1500" s="39" t="inlineStr">
        <is>
          <t>이그나이트</t>
        </is>
      </c>
      <c r="J1500" s="20" t="n">
        <v>200720</v>
      </c>
      <c r="L1500" s="39">
        <f>VLOOKUP($P1500,매칭테이블!$G:$J,2,0)*H1500</f>
        <v/>
      </c>
      <c r="M1500" s="39">
        <f>L1500-L1500*VLOOKUP($P1500,매칭테이블!$G:$J,3,0)</f>
        <v/>
      </c>
      <c r="N1500" s="39">
        <f>VLOOKUP($P1500,매칭테이블!$G:$J,4,0)*H1500</f>
        <v/>
      </c>
      <c r="O1500" s="55">
        <f>L1500/1.1</f>
        <v/>
      </c>
      <c r="P1500" s="39">
        <f>F1500&amp;E1500&amp;I1500&amp;J1500</f>
        <v/>
      </c>
    </row>
    <row r="1501">
      <c r="B1501" s="51" t="n">
        <v>44057</v>
      </c>
      <c r="C1501" s="39" t="inlineStr">
        <is>
          <t>금</t>
        </is>
      </c>
      <c r="E1501" s="39" t="inlineStr">
        <is>
          <t>쇼핑백</t>
        </is>
      </c>
      <c r="F1501" s="39" t="inlineStr">
        <is>
          <t>카페24</t>
        </is>
      </c>
      <c r="H1501" s="39" t="n">
        <v>3</v>
      </c>
      <c r="I1501" s="39" t="inlineStr">
        <is>
          <t>유즈쇼핑백</t>
        </is>
      </c>
      <c r="J1501" s="20" t="n">
        <v>200720</v>
      </c>
      <c r="L1501" s="39">
        <f>VLOOKUP($P1501,매칭테이블!$G:$J,2,0)*H1501</f>
        <v/>
      </c>
      <c r="M1501" s="39">
        <f>L1501-L1501*VLOOKUP($P1501,매칭테이블!$G:$J,3,0)</f>
        <v/>
      </c>
      <c r="N1501" s="39">
        <f>VLOOKUP($P1501,매칭테이블!$G:$J,4,0)*H1501</f>
        <v/>
      </c>
      <c r="O1501" s="55">
        <f>L1501/1.1</f>
        <v/>
      </c>
      <c r="P1501" s="39">
        <f>F1501&amp;E1501&amp;I1501&amp;J1501</f>
        <v/>
      </c>
    </row>
    <row r="1502">
      <c r="B1502" s="51" t="n">
        <v>44058</v>
      </c>
      <c r="C1502" s="39" t="inlineStr">
        <is>
          <t>토</t>
        </is>
      </c>
      <c r="E1502" s="39" t="inlineStr">
        <is>
          <t>고체향수</t>
        </is>
      </c>
      <c r="F1502" s="39" t="inlineStr">
        <is>
          <t>카페24</t>
        </is>
      </c>
      <c r="H1502" s="39" t="n">
        <v>6</v>
      </c>
      <c r="I1502" s="39" t="inlineStr">
        <is>
          <t>이그나이트 + 스테이포에버</t>
        </is>
      </c>
      <c r="J1502" s="20" t="n">
        <v>200720</v>
      </c>
      <c r="L1502" s="39">
        <f>VLOOKUP($P1502,매칭테이블!$G:$J,2,0)*H1502</f>
        <v/>
      </c>
      <c r="M1502" s="39">
        <f>L1502-L1502*VLOOKUP($P1502,매칭테이블!$G:$J,3,0)</f>
        <v/>
      </c>
      <c r="N1502" s="39">
        <f>VLOOKUP($P1502,매칭테이블!$G:$J,4,0)*H1502</f>
        <v/>
      </c>
      <c r="O1502" s="55">
        <f>L1502/1.1</f>
        <v/>
      </c>
      <c r="P1502" s="39">
        <f>F1502&amp;E1502&amp;I1502&amp;J1502</f>
        <v/>
      </c>
    </row>
    <row r="1503">
      <c r="B1503" s="51" t="n">
        <v>44058</v>
      </c>
      <c r="C1503" s="39" t="inlineStr">
        <is>
          <t>토</t>
        </is>
      </c>
      <c r="E1503" s="39" t="inlineStr">
        <is>
          <t>고체향수</t>
        </is>
      </c>
      <c r="F1503" s="39" t="inlineStr">
        <is>
          <t>카페24</t>
        </is>
      </c>
      <c r="H1503" s="39" t="n">
        <v>35</v>
      </c>
      <c r="I1503" s="39" t="inlineStr">
        <is>
          <t>스테이포에버</t>
        </is>
      </c>
      <c r="J1503" s="20" t="n">
        <v>200720</v>
      </c>
      <c r="L1503" s="39">
        <f>VLOOKUP($P1503,매칭테이블!$G:$J,2,0)*H1503</f>
        <v/>
      </c>
      <c r="M1503" s="39">
        <f>L1503-L1503*VLOOKUP($P1503,매칭테이블!$G:$J,3,0)</f>
        <v/>
      </c>
      <c r="N1503" s="39">
        <f>VLOOKUP($P1503,매칭테이블!$G:$J,4,0)*H1503</f>
        <v/>
      </c>
      <c r="O1503" s="55">
        <f>L1503/1.1</f>
        <v/>
      </c>
      <c r="P1503" s="39">
        <f>F1503&amp;E1503&amp;I1503&amp;J1503</f>
        <v/>
      </c>
    </row>
    <row r="1504">
      <c r="B1504" s="51" t="n">
        <v>44058</v>
      </c>
      <c r="C1504" s="39" t="inlineStr">
        <is>
          <t>토</t>
        </is>
      </c>
      <c r="E1504" s="39" t="inlineStr">
        <is>
          <t>고체향수</t>
        </is>
      </c>
      <c r="F1504" s="39" t="inlineStr">
        <is>
          <t>카페24</t>
        </is>
      </c>
      <c r="G1504" s="39" t="n"/>
      <c r="H1504" s="39" t="n">
        <v>3</v>
      </c>
      <c r="I1504" s="39" t="inlineStr">
        <is>
          <t>스테이포에버 2set</t>
        </is>
      </c>
      <c r="J1504" s="20" t="n">
        <v>200720</v>
      </c>
      <c r="L1504" s="39">
        <f>VLOOKUP($P1504,매칭테이블!$G:$J,2,0)*H1504</f>
        <v/>
      </c>
      <c r="M1504" s="39">
        <f>L1504-L1504*VLOOKUP($P1504,매칭테이블!$G:$J,3,0)</f>
        <v/>
      </c>
      <c r="N1504" s="39">
        <f>VLOOKUP($P1504,매칭테이블!$G:$J,4,0)*H1504</f>
        <v/>
      </c>
      <c r="O1504" s="55">
        <f>L1504/1.1</f>
        <v/>
      </c>
      <c r="P1504" s="39">
        <f>F1504&amp;E1504&amp;I1504&amp;J1504</f>
        <v/>
      </c>
    </row>
    <row r="1505">
      <c r="B1505" s="51" t="n">
        <v>44058</v>
      </c>
      <c r="C1505" s="39" t="inlineStr">
        <is>
          <t>토</t>
        </is>
      </c>
      <c r="E1505" s="39" t="inlineStr">
        <is>
          <t>쇼핑백</t>
        </is>
      </c>
      <c r="F1505" s="39" t="inlineStr">
        <is>
          <t>카페24</t>
        </is>
      </c>
      <c r="H1505" s="39" t="n">
        <v>2</v>
      </c>
      <c r="I1505" s="39" t="inlineStr">
        <is>
          <t>유즈쇼핑백</t>
        </is>
      </c>
      <c r="J1505" s="20" t="n">
        <v>200720</v>
      </c>
      <c r="L1505" s="39">
        <f>VLOOKUP($P1505,매칭테이블!$G:$J,2,0)*H1505</f>
        <v/>
      </c>
      <c r="M1505" s="39">
        <f>L1505-L1505*VLOOKUP($P1505,매칭테이블!$G:$J,3,0)</f>
        <v/>
      </c>
      <c r="N1505" s="39">
        <f>VLOOKUP($P1505,매칭테이블!$G:$J,4,0)*H1505</f>
        <v/>
      </c>
      <c r="O1505" s="55">
        <f>L1505/1.1</f>
        <v/>
      </c>
      <c r="P1505" s="39">
        <f>F1505&amp;E1505&amp;I1505&amp;J1505</f>
        <v/>
      </c>
    </row>
    <row r="1506">
      <c r="B1506" s="51" t="n">
        <v>44059</v>
      </c>
      <c r="C1506" s="39" t="inlineStr">
        <is>
          <t>일</t>
        </is>
      </c>
      <c r="E1506" s="39" t="inlineStr">
        <is>
          <t>고체향수</t>
        </is>
      </c>
      <c r="F1506" s="39" t="inlineStr">
        <is>
          <t>카페24</t>
        </is>
      </c>
      <c r="H1506" s="39" t="n">
        <v>1</v>
      </c>
      <c r="I1506" s="39" t="inlineStr">
        <is>
          <t>이그나이트 + 스테이포에버</t>
        </is>
      </c>
      <c r="J1506" s="20" t="n">
        <v>200720</v>
      </c>
      <c r="L1506" s="39">
        <f>VLOOKUP($P1506,매칭테이블!$G:$J,2,0)*H1506</f>
        <v/>
      </c>
      <c r="M1506" s="39">
        <f>L1506-L1506*VLOOKUP($P1506,매칭테이블!$G:$J,3,0)</f>
        <v/>
      </c>
      <c r="N1506" s="39">
        <f>VLOOKUP($P1506,매칭테이블!$G:$J,4,0)*H1506</f>
        <v/>
      </c>
      <c r="O1506" s="55">
        <f>L1506/1.1</f>
        <v/>
      </c>
      <c r="P1506" s="39">
        <f>F1506&amp;E1506&amp;I1506&amp;J1506</f>
        <v/>
      </c>
    </row>
    <row r="1507">
      <c r="B1507" s="51" t="n">
        <v>44059</v>
      </c>
      <c r="C1507" s="39" t="inlineStr">
        <is>
          <t>일</t>
        </is>
      </c>
      <c r="E1507" s="39" t="inlineStr">
        <is>
          <t>고체향수</t>
        </is>
      </c>
      <c r="F1507" s="39" t="inlineStr">
        <is>
          <t>카페24</t>
        </is>
      </c>
      <c r="H1507" s="39" t="n">
        <v>38</v>
      </c>
      <c r="I1507" s="39" t="inlineStr">
        <is>
          <t>스테이포에버</t>
        </is>
      </c>
      <c r="J1507" s="20" t="n">
        <v>200720</v>
      </c>
      <c r="L1507" s="39">
        <f>VLOOKUP($P1507,매칭테이블!$G:$J,2,0)*H1507</f>
        <v/>
      </c>
      <c r="M1507" s="39">
        <f>L1507-L1507*VLOOKUP($P1507,매칭테이블!$G:$J,3,0)</f>
        <v/>
      </c>
      <c r="N1507" s="39">
        <f>VLOOKUP($P1507,매칭테이블!$G:$J,4,0)*H1507</f>
        <v/>
      </c>
      <c r="O1507" s="55">
        <f>L1507/1.1</f>
        <v/>
      </c>
      <c r="P1507" s="39">
        <f>F1507&amp;E1507&amp;I1507&amp;J1507</f>
        <v/>
      </c>
    </row>
    <row r="1508">
      <c r="B1508" s="51" t="n">
        <v>44059</v>
      </c>
      <c r="C1508" s="39" t="inlineStr">
        <is>
          <t>일</t>
        </is>
      </c>
      <c r="E1508" s="39" t="inlineStr">
        <is>
          <t>고체향수</t>
        </is>
      </c>
      <c r="F1508" s="39" t="inlineStr">
        <is>
          <t>카페24</t>
        </is>
      </c>
      <c r="G1508" s="39" t="n"/>
      <c r="H1508" s="39" t="n">
        <v>7</v>
      </c>
      <c r="I1508" s="39" t="inlineStr">
        <is>
          <t>스테이포에버 2set</t>
        </is>
      </c>
      <c r="J1508" s="20" t="n">
        <v>200720</v>
      </c>
      <c r="L1508" s="39">
        <f>VLOOKUP($P1508,매칭테이블!$G:$J,2,0)*H1508</f>
        <v/>
      </c>
      <c r="M1508" s="39">
        <f>L1508-L1508*VLOOKUP($P1508,매칭테이블!$G:$J,3,0)</f>
        <v/>
      </c>
      <c r="N1508" s="39">
        <f>VLOOKUP($P1508,매칭테이블!$G:$J,4,0)*H1508</f>
        <v/>
      </c>
      <c r="O1508" s="55">
        <f>L1508/1.1</f>
        <v/>
      </c>
      <c r="P1508" s="39">
        <f>F1508&amp;E1508&amp;I1508&amp;J1508</f>
        <v/>
      </c>
    </row>
    <row r="1509">
      <c r="B1509" s="51" t="n">
        <v>44059</v>
      </c>
      <c r="C1509" s="39" t="inlineStr">
        <is>
          <t>일</t>
        </is>
      </c>
      <c r="E1509" s="39" t="inlineStr">
        <is>
          <t>고체향수</t>
        </is>
      </c>
      <c r="F1509" s="39" t="inlineStr">
        <is>
          <t>카페24</t>
        </is>
      </c>
      <c r="H1509" s="39" t="n">
        <v>2</v>
      </c>
      <c r="I1509" s="39" t="inlineStr">
        <is>
          <t>이그나이트</t>
        </is>
      </c>
      <c r="J1509" s="20" t="n">
        <v>200720</v>
      </c>
      <c r="L1509" s="39">
        <f>VLOOKUP($P1509,매칭테이블!$G:$J,2,0)*H1509</f>
        <v/>
      </c>
      <c r="M1509" s="39">
        <f>L1509-L1509*VLOOKUP($P1509,매칭테이블!$G:$J,3,0)</f>
        <v/>
      </c>
      <c r="N1509" s="39">
        <f>VLOOKUP($P1509,매칭테이블!$G:$J,4,0)*H1509</f>
        <v/>
      </c>
      <c r="O1509" s="55">
        <f>L1509/1.1</f>
        <v/>
      </c>
      <c r="P1509" s="39">
        <f>F1509&amp;E1509&amp;I1509&amp;J1509</f>
        <v/>
      </c>
    </row>
    <row r="1510">
      <c r="B1510" s="51" t="n">
        <v>44059</v>
      </c>
      <c r="C1510" s="39" t="inlineStr">
        <is>
          <t>일</t>
        </is>
      </c>
      <c r="E1510" s="39" t="inlineStr">
        <is>
          <t>쇼핑백</t>
        </is>
      </c>
      <c r="F1510" s="39" t="inlineStr">
        <is>
          <t>카페24</t>
        </is>
      </c>
      <c r="H1510" s="39" t="n">
        <v>2</v>
      </c>
      <c r="I1510" s="39" t="inlineStr">
        <is>
          <t>유즈쇼핑백</t>
        </is>
      </c>
      <c r="J1510" s="20" t="n">
        <v>200720</v>
      </c>
      <c r="L1510" s="39">
        <f>VLOOKUP($P1510,매칭테이블!$G:$J,2,0)*H1510</f>
        <v/>
      </c>
      <c r="M1510" s="39">
        <f>L1510-L1510*VLOOKUP($P1510,매칭테이블!$G:$J,3,0)</f>
        <v/>
      </c>
      <c r="N1510" s="39">
        <f>VLOOKUP($P1510,매칭테이블!$G:$J,4,0)*H1510</f>
        <v/>
      </c>
      <c r="O1510" s="55">
        <f>L1510/1.1</f>
        <v/>
      </c>
      <c r="P1510" s="39">
        <f>F1510&amp;E1510&amp;I1510&amp;J1510</f>
        <v/>
      </c>
    </row>
    <row r="1511">
      <c r="B1511" s="51" t="n">
        <v>44060</v>
      </c>
      <c r="C1511" s="39" t="inlineStr">
        <is>
          <t>월</t>
        </is>
      </c>
      <c r="E1511" s="39" t="inlineStr">
        <is>
          <t>고체향수</t>
        </is>
      </c>
      <c r="F1511" s="39" t="inlineStr">
        <is>
          <t>카페24</t>
        </is>
      </c>
      <c r="H1511" s="39" t="n">
        <v>51</v>
      </c>
      <c r="I1511" s="39" t="inlineStr">
        <is>
          <t>스테이포에버</t>
        </is>
      </c>
      <c r="J1511" s="20" t="n">
        <v>200720</v>
      </c>
      <c r="L1511" s="39">
        <f>VLOOKUP($P1511,매칭테이블!$G:$J,2,0)*H1511</f>
        <v/>
      </c>
      <c r="M1511" s="39">
        <f>L1511-L1511*VLOOKUP($P1511,매칭테이블!$G:$J,3,0)</f>
        <v/>
      </c>
      <c r="N1511" s="39">
        <f>VLOOKUP($P1511,매칭테이블!$G:$J,4,0)*H1511</f>
        <v/>
      </c>
      <c r="O1511" s="55">
        <f>L1511/1.1</f>
        <v/>
      </c>
      <c r="P1511" s="39">
        <f>F1511&amp;E1511&amp;I1511&amp;J1511</f>
        <v/>
      </c>
    </row>
    <row r="1512">
      <c r="B1512" s="51" t="n">
        <v>44060</v>
      </c>
      <c r="C1512" s="39" t="inlineStr">
        <is>
          <t>월</t>
        </is>
      </c>
      <c r="E1512" s="39" t="inlineStr">
        <is>
          <t>고체향수</t>
        </is>
      </c>
      <c r="F1512" s="39" t="inlineStr">
        <is>
          <t>카페24</t>
        </is>
      </c>
      <c r="G1512" s="39" t="n"/>
      <c r="H1512" s="39" t="n">
        <v>9</v>
      </c>
      <c r="I1512" s="39" t="inlineStr">
        <is>
          <t>스테이포에버 2set</t>
        </is>
      </c>
      <c r="J1512" s="20" t="n">
        <v>200720</v>
      </c>
      <c r="L1512" s="39">
        <f>VLOOKUP($P1512,매칭테이블!$G:$J,2,0)*H1512</f>
        <v/>
      </c>
      <c r="M1512" s="39">
        <f>L1512-L1512*VLOOKUP($P1512,매칭테이블!$G:$J,3,0)</f>
        <v/>
      </c>
      <c r="N1512" s="39">
        <f>VLOOKUP($P1512,매칭테이블!$G:$J,4,0)*H1512</f>
        <v/>
      </c>
      <c r="O1512" s="55">
        <f>L1512/1.1</f>
        <v/>
      </c>
      <c r="P1512" s="39">
        <f>F1512&amp;E1512&amp;I1512&amp;J1512</f>
        <v/>
      </c>
    </row>
    <row r="1513">
      <c r="B1513" s="51" t="n">
        <v>44060</v>
      </c>
      <c r="C1513" s="39" t="inlineStr">
        <is>
          <t>월</t>
        </is>
      </c>
      <c r="E1513" s="39" t="inlineStr">
        <is>
          <t>고체향수</t>
        </is>
      </c>
      <c r="F1513" s="39" t="inlineStr">
        <is>
          <t>카페24</t>
        </is>
      </c>
      <c r="H1513" s="39" t="n">
        <v>2</v>
      </c>
      <c r="I1513" s="39" t="inlineStr">
        <is>
          <t>이그나이트</t>
        </is>
      </c>
      <c r="J1513" s="20" t="n">
        <v>200720</v>
      </c>
      <c r="L1513" s="39">
        <f>VLOOKUP($P1513,매칭테이블!$G:$J,2,0)*H1513</f>
        <v/>
      </c>
      <c r="M1513" s="39">
        <f>L1513-L1513*VLOOKUP($P1513,매칭테이블!$G:$J,3,0)</f>
        <v/>
      </c>
      <c r="N1513" s="39">
        <f>VLOOKUP($P1513,매칭테이블!$G:$J,4,0)*H1513</f>
        <v/>
      </c>
      <c r="O1513" s="55">
        <f>L1513/1.1</f>
        <v/>
      </c>
      <c r="P1513" s="39">
        <f>F1513&amp;E1513&amp;I1513&amp;J1513</f>
        <v/>
      </c>
    </row>
    <row r="1514">
      <c r="B1514" s="51" t="n">
        <v>44060</v>
      </c>
      <c r="C1514" s="39" t="inlineStr">
        <is>
          <t>월</t>
        </is>
      </c>
      <c r="E1514" s="39" t="inlineStr">
        <is>
          <t>쇼핑백</t>
        </is>
      </c>
      <c r="F1514" s="39" t="inlineStr">
        <is>
          <t>카페24</t>
        </is>
      </c>
      <c r="H1514" s="39" t="n">
        <v>5</v>
      </c>
      <c r="I1514" s="39" t="inlineStr">
        <is>
          <t>유즈쇼핑백</t>
        </is>
      </c>
      <c r="J1514" s="20" t="n">
        <v>200720</v>
      </c>
      <c r="L1514" s="39">
        <f>VLOOKUP($P1514,매칭테이블!$G:$J,2,0)*H1514</f>
        <v/>
      </c>
      <c r="M1514" s="39">
        <f>L1514-L1514*VLOOKUP($P1514,매칭테이블!$G:$J,3,0)</f>
        <v/>
      </c>
      <c r="N1514" s="39">
        <f>VLOOKUP($P1514,매칭테이블!$G:$J,4,0)*H1514</f>
        <v/>
      </c>
      <c r="O1514" s="55">
        <f>L1514/1.1</f>
        <v/>
      </c>
      <c r="P1514" s="39">
        <f>F1514&amp;E1514&amp;I1514&amp;J1514</f>
        <v/>
      </c>
    </row>
    <row r="1515">
      <c r="B1515" s="51" t="n">
        <v>44061</v>
      </c>
      <c r="C1515" s="39" t="inlineStr">
        <is>
          <t>화</t>
        </is>
      </c>
      <c r="E1515" s="39" t="inlineStr">
        <is>
          <t>고체향수</t>
        </is>
      </c>
      <c r="F1515" s="39" t="inlineStr">
        <is>
          <t>카페24</t>
        </is>
      </c>
      <c r="H1515" s="39" t="n">
        <v>60</v>
      </c>
      <c r="I1515" s="39" t="inlineStr">
        <is>
          <t>스테이포에버</t>
        </is>
      </c>
      <c r="J1515" s="20" t="n">
        <v>200720</v>
      </c>
      <c r="L1515" s="39">
        <f>VLOOKUP($P1515,매칭테이블!$G:$J,2,0)*H1515</f>
        <v/>
      </c>
      <c r="M1515" s="39">
        <f>L1515-L1515*VLOOKUP($P1515,매칭테이블!$G:$J,3,0)</f>
        <v/>
      </c>
      <c r="N1515" s="39">
        <f>VLOOKUP($P1515,매칭테이블!$G:$J,4,0)*H1515</f>
        <v/>
      </c>
      <c r="O1515" s="55">
        <f>L1515/1.1</f>
        <v/>
      </c>
      <c r="P1515" s="39">
        <f>F1515&amp;E1515&amp;I1515&amp;J1515</f>
        <v/>
      </c>
    </row>
    <row r="1516">
      <c r="B1516" s="51" t="n">
        <v>44061</v>
      </c>
      <c r="C1516" s="39" t="inlineStr">
        <is>
          <t>화</t>
        </is>
      </c>
      <c r="E1516" s="39" t="inlineStr">
        <is>
          <t>고체향수</t>
        </is>
      </c>
      <c r="F1516" s="39" t="inlineStr">
        <is>
          <t>카페24</t>
        </is>
      </c>
      <c r="G1516" s="39" t="n"/>
      <c r="H1516" s="39" t="n">
        <v>13</v>
      </c>
      <c r="I1516" s="39" t="inlineStr">
        <is>
          <t>스테이포에버 2set</t>
        </is>
      </c>
      <c r="J1516" s="20" t="n">
        <v>200720</v>
      </c>
      <c r="L1516" s="39">
        <f>VLOOKUP($P1516,매칭테이블!$G:$J,2,0)*H1516</f>
        <v/>
      </c>
      <c r="M1516" s="39">
        <f>L1516-L1516*VLOOKUP($P1516,매칭테이블!$G:$J,3,0)</f>
        <v/>
      </c>
      <c r="N1516" s="39">
        <f>VLOOKUP($P1516,매칭테이블!$G:$J,4,0)*H1516</f>
        <v/>
      </c>
      <c r="O1516" s="55">
        <f>L1516/1.1</f>
        <v/>
      </c>
      <c r="P1516" s="39">
        <f>F1516&amp;E1516&amp;I1516&amp;J1516</f>
        <v/>
      </c>
    </row>
    <row r="1517">
      <c r="B1517" s="51" t="n">
        <v>44061</v>
      </c>
      <c r="C1517" s="39" t="inlineStr">
        <is>
          <t>화</t>
        </is>
      </c>
      <c r="E1517" s="39" t="inlineStr">
        <is>
          <t>고체향수</t>
        </is>
      </c>
      <c r="F1517" s="39" t="inlineStr">
        <is>
          <t>카페24</t>
        </is>
      </c>
      <c r="H1517" s="39" t="n">
        <v>2</v>
      </c>
      <c r="I1517" s="39" t="inlineStr">
        <is>
          <t>이그나이트</t>
        </is>
      </c>
      <c r="J1517" s="20" t="n">
        <v>200720</v>
      </c>
      <c r="L1517" s="39">
        <f>VLOOKUP($P1517,매칭테이블!$G:$J,2,0)*H1517</f>
        <v/>
      </c>
      <c r="M1517" s="39">
        <f>L1517-L1517*VLOOKUP($P1517,매칭테이블!$G:$J,3,0)</f>
        <v/>
      </c>
      <c r="N1517" s="39">
        <f>VLOOKUP($P1517,매칭테이블!$G:$J,4,0)*H1517</f>
        <v/>
      </c>
      <c r="O1517" s="55">
        <f>L1517/1.1</f>
        <v/>
      </c>
      <c r="P1517" s="39">
        <f>F1517&amp;E1517&amp;I1517&amp;J1517</f>
        <v/>
      </c>
    </row>
    <row r="1518">
      <c r="B1518" s="51" t="n">
        <v>44061</v>
      </c>
      <c r="C1518" s="39" t="inlineStr">
        <is>
          <t>화</t>
        </is>
      </c>
      <c r="E1518" s="39" t="inlineStr">
        <is>
          <t>쇼핑백</t>
        </is>
      </c>
      <c r="F1518" s="39" t="inlineStr">
        <is>
          <t>카페24</t>
        </is>
      </c>
      <c r="H1518" s="39" t="n">
        <v>1</v>
      </c>
      <c r="I1518" s="39" t="inlineStr">
        <is>
          <t>유즈쇼핑백</t>
        </is>
      </c>
      <c r="J1518" s="20" t="n">
        <v>200720</v>
      </c>
      <c r="L1518" s="39">
        <f>VLOOKUP($P1518,매칭테이블!$G:$J,2,0)*H1518</f>
        <v/>
      </c>
      <c r="M1518" s="39">
        <f>L1518-L1518*VLOOKUP($P1518,매칭테이블!$G:$J,3,0)</f>
        <v/>
      </c>
      <c r="N1518" s="39">
        <f>VLOOKUP($P1518,매칭테이블!$G:$J,4,0)*H1518</f>
        <v/>
      </c>
      <c r="O1518" s="55">
        <f>L1518/1.1</f>
        <v/>
      </c>
      <c r="P1518" s="39">
        <f>F1518&amp;E1518&amp;I1518&amp;J1518</f>
        <v/>
      </c>
    </row>
    <row r="1519">
      <c r="B1519" s="51" t="n">
        <v>44062</v>
      </c>
      <c r="C1519" s="39" t="inlineStr">
        <is>
          <t>수</t>
        </is>
      </c>
      <c r="E1519" s="39" t="inlineStr">
        <is>
          <t>고체향수</t>
        </is>
      </c>
      <c r="F1519" s="39" t="inlineStr">
        <is>
          <t>카페24</t>
        </is>
      </c>
      <c r="H1519" s="39" t="n">
        <v>3</v>
      </c>
      <c r="I1519" s="39" t="inlineStr">
        <is>
          <t>이그나이트 + 스테이포에버</t>
        </is>
      </c>
      <c r="J1519" s="20" t="n">
        <v>200720</v>
      </c>
      <c r="L1519" s="39">
        <f>VLOOKUP($P1519,매칭테이블!$G:$J,2,0)*H1519</f>
        <v/>
      </c>
      <c r="M1519" s="39">
        <f>L1519-L1519*VLOOKUP($P1519,매칭테이블!$G:$J,3,0)</f>
        <v/>
      </c>
      <c r="N1519" s="39">
        <f>VLOOKUP($P1519,매칭테이블!$G:$J,4,0)*H1519</f>
        <v/>
      </c>
      <c r="O1519" s="55">
        <f>L1519/1.1</f>
        <v/>
      </c>
      <c r="P1519" s="39">
        <f>F1519&amp;E1519&amp;I1519&amp;J1519</f>
        <v/>
      </c>
    </row>
    <row r="1520">
      <c r="B1520" s="51" t="n">
        <v>44062</v>
      </c>
      <c r="C1520" s="39" t="inlineStr">
        <is>
          <t>수</t>
        </is>
      </c>
      <c r="E1520" s="39" t="inlineStr">
        <is>
          <t>고체향수</t>
        </is>
      </c>
      <c r="F1520" s="39" t="inlineStr">
        <is>
          <t>카페24</t>
        </is>
      </c>
      <c r="H1520" s="39" t="n">
        <v>65</v>
      </c>
      <c r="I1520" s="39" t="inlineStr">
        <is>
          <t>스테이포에버</t>
        </is>
      </c>
      <c r="J1520" s="20" t="n">
        <v>200720</v>
      </c>
      <c r="L1520" s="39">
        <f>VLOOKUP($P1520,매칭테이블!$G:$J,2,0)*H1520</f>
        <v/>
      </c>
      <c r="M1520" s="39">
        <f>L1520-L1520*VLOOKUP($P1520,매칭테이블!$G:$J,3,0)</f>
        <v/>
      </c>
      <c r="N1520" s="39">
        <f>VLOOKUP($P1520,매칭테이블!$G:$J,4,0)*H1520</f>
        <v/>
      </c>
      <c r="O1520" s="55">
        <f>L1520/1.1</f>
        <v/>
      </c>
      <c r="P1520" s="39">
        <f>F1520&amp;E1520&amp;I1520&amp;J1520</f>
        <v/>
      </c>
    </row>
    <row r="1521">
      <c r="B1521" s="51" t="n">
        <v>44062</v>
      </c>
      <c r="C1521" s="39" t="inlineStr">
        <is>
          <t>수</t>
        </is>
      </c>
      <c r="E1521" s="39" t="inlineStr">
        <is>
          <t>고체향수</t>
        </is>
      </c>
      <c r="F1521" s="39" t="inlineStr">
        <is>
          <t>카페24</t>
        </is>
      </c>
      <c r="G1521" s="39" t="n"/>
      <c r="H1521" s="39" t="n">
        <v>14</v>
      </c>
      <c r="I1521" s="39" t="inlineStr">
        <is>
          <t>스테이포에버 2set</t>
        </is>
      </c>
      <c r="J1521" s="20" t="n">
        <v>200720</v>
      </c>
      <c r="L1521" s="39">
        <f>VLOOKUP($P1521,매칭테이블!$G:$J,2,0)*H1521</f>
        <v/>
      </c>
      <c r="M1521" s="39">
        <f>L1521-L1521*VLOOKUP($P1521,매칭테이블!$G:$J,3,0)</f>
        <v/>
      </c>
      <c r="N1521" s="39">
        <f>VLOOKUP($P1521,매칭테이블!$G:$J,4,0)*H1521</f>
        <v/>
      </c>
      <c r="O1521" s="55">
        <f>L1521/1.1</f>
        <v/>
      </c>
      <c r="P1521" s="39">
        <f>F1521&amp;E1521&amp;I1521&amp;J1521</f>
        <v/>
      </c>
    </row>
    <row r="1522">
      <c r="B1522" s="51" t="n">
        <v>44062</v>
      </c>
      <c r="C1522" s="39" t="inlineStr">
        <is>
          <t>수</t>
        </is>
      </c>
      <c r="E1522" s="39" t="inlineStr">
        <is>
          <t>고체향수</t>
        </is>
      </c>
      <c r="F1522" s="39" t="inlineStr">
        <is>
          <t>카페24</t>
        </is>
      </c>
      <c r="H1522" s="39" t="n">
        <v>4</v>
      </c>
      <c r="I1522" s="39" t="inlineStr">
        <is>
          <t>이그나이트</t>
        </is>
      </c>
      <c r="J1522" s="20" t="n">
        <v>200720</v>
      </c>
      <c r="L1522" s="39">
        <f>VLOOKUP($P1522,매칭테이블!$G:$J,2,0)*H1522</f>
        <v/>
      </c>
      <c r="M1522" s="39">
        <f>L1522-L1522*VLOOKUP($P1522,매칭테이블!$G:$J,3,0)</f>
        <v/>
      </c>
      <c r="N1522" s="39">
        <f>VLOOKUP($P1522,매칭테이블!$G:$J,4,0)*H1522</f>
        <v/>
      </c>
      <c r="O1522" s="55">
        <f>L1522/1.1</f>
        <v/>
      </c>
      <c r="P1522" s="39">
        <f>F1522&amp;E1522&amp;I1522&amp;J1522</f>
        <v/>
      </c>
    </row>
    <row r="1523">
      <c r="B1523" s="51" t="n">
        <v>44062</v>
      </c>
      <c r="C1523" s="39" t="inlineStr">
        <is>
          <t>수</t>
        </is>
      </c>
      <c r="E1523" s="39" t="inlineStr">
        <is>
          <t>쇼핑백</t>
        </is>
      </c>
      <c r="F1523" s="39" t="inlineStr">
        <is>
          <t>카페24</t>
        </is>
      </c>
      <c r="H1523" s="39" t="n">
        <v>1</v>
      </c>
      <c r="I1523" s="39" t="inlineStr">
        <is>
          <t>유즈쇼핑백</t>
        </is>
      </c>
      <c r="J1523" s="20" t="n">
        <v>200720</v>
      </c>
      <c r="L1523" s="39">
        <f>VLOOKUP($P1523,매칭테이블!$G:$J,2,0)*H1523</f>
        <v/>
      </c>
      <c r="M1523" s="39">
        <f>L1523-L1523*VLOOKUP($P1523,매칭테이블!$G:$J,3,0)</f>
        <v/>
      </c>
      <c r="N1523" s="39">
        <f>VLOOKUP($P1523,매칭테이블!$G:$J,4,0)*H1523</f>
        <v/>
      </c>
      <c r="O1523" s="55">
        <f>L1523/1.1</f>
        <v/>
      </c>
      <c r="P1523" s="39">
        <f>F1523&amp;E1523&amp;I1523&amp;J1523</f>
        <v/>
      </c>
    </row>
    <row r="1524">
      <c r="B1524" s="51" t="n">
        <v>44063</v>
      </c>
      <c r="C1524" s="39" t="inlineStr">
        <is>
          <t>목</t>
        </is>
      </c>
      <c r="E1524" s="39" t="inlineStr">
        <is>
          <t>고체향수</t>
        </is>
      </c>
      <c r="F1524" s="39" t="inlineStr">
        <is>
          <t>카페24</t>
        </is>
      </c>
      <c r="H1524" s="39" t="n">
        <v>2</v>
      </c>
      <c r="I1524" s="39" t="inlineStr">
        <is>
          <t>이그나이트 + 스테이포에버</t>
        </is>
      </c>
      <c r="J1524" s="20" t="n">
        <v>200720</v>
      </c>
      <c r="L1524" s="39">
        <f>VLOOKUP($P1524,매칭테이블!$G:$J,2,0)*H1524</f>
        <v/>
      </c>
      <c r="M1524" s="39">
        <f>L1524-L1524*VLOOKUP($P1524,매칭테이블!$G:$J,3,0)</f>
        <v/>
      </c>
      <c r="N1524" s="39">
        <f>VLOOKUP($P1524,매칭테이블!$G:$J,4,0)*H1524</f>
        <v/>
      </c>
      <c r="O1524" s="55">
        <f>L1524/1.1</f>
        <v/>
      </c>
      <c r="P1524" s="39">
        <f>F1524&amp;E1524&amp;I1524&amp;J1524</f>
        <v/>
      </c>
    </row>
    <row r="1525">
      <c r="B1525" s="51" t="n">
        <v>44063</v>
      </c>
      <c r="C1525" s="39" t="inlineStr">
        <is>
          <t>목</t>
        </is>
      </c>
      <c r="E1525" s="39" t="inlineStr">
        <is>
          <t>고체향수</t>
        </is>
      </c>
      <c r="F1525" s="39" t="inlineStr">
        <is>
          <t>카페24</t>
        </is>
      </c>
      <c r="H1525" s="39" t="n">
        <v>69</v>
      </c>
      <c r="I1525" s="39" t="inlineStr">
        <is>
          <t>스테이포에버</t>
        </is>
      </c>
      <c r="J1525" s="20" t="n">
        <v>200720</v>
      </c>
      <c r="L1525" s="39">
        <f>VLOOKUP($P1525,매칭테이블!$G:$J,2,0)*H1525</f>
        <v/>
      </c>
      <c r="M1525" s="39">
        <f>L1525-L1525*VLOOKUP($P1525,매칭테이블!$G:$J,3,0)</f>
        <v/>
      </c>
      <c r="N1525" s="39">
        <f>VLOOKUP($P1525,매칭테이블!$G:$J,4,0)*H1525</f>
        <v/>
      </c>
      <c r="O1525" s="55">
        <f>L1525/1.1</f>
        <v/>
      </c>
      <c r="P1525" s="39">
        <f>F1525&amp;E1525&amp;I1525&amp;J1525</f>
        <v/>
      </c>
    </row>
    <row r="1526">
      <c r="B1526" s="51" t="n">
        <v>44063</v>
      </c>
      <c r="C1526" s="39" t="inlineStr">
        <is>
          <t>목</t>
        </is>
      </c>
      <c r="E1526" s="39" t="inlineStr">
        <is>
          <t>고체향수</t>
        </is>
      </c>
      <c r="F1526" s="39" t="inlineStr">
        <is>
          <t>카페24</t>
        </is>
      </c>
      <c r="G1526" s="39" t="n"/>
      <c r="H1526" s="39" t="n">
        <v>11</v>
      </c>
      <c r="I1526" s="39" t="inlineStr">
        <is>
          <t>스테이포에버 2set</t>
        </is>
      </c>
      <c r="J1526" s="20" t="n">
        <v>200720</v>
      </c>
      <c r="L1526" s="39">
        <f>VLOOKUP($P1526,매칭테이블!$G:$J,2,0)*H1526</f>
        <v/>
      </c>
      <c r="M1526" s="39">
        <f>L1526-L1526*VLOOKUP($P1526,매칭테이블!$G:$J,3,0)</f>
        <v/>
      </c>
      <c r="N1526" s="39">
        <f>VLOOKUP($P1526,매칭테이블!$G:$J,4,0)*H1526</f>
        <v/>
      </c>
      <c r="O1526" s="55">
        <f>L1526/1.1</f>
        <v/>
      </c>
      <c r="P1526" s="39">
        <f>F1526&amp;E1526&amp;I1526&amp;J1526</f>
        <v/>
      </c>
    </row>
    <row r="1527">
      <c r="B1527" s="51" t="n">
        <v>44063</v>
      </c>
      <c r="C1527" s="39" t="inlineStr">
        <is>
          <t>목</t>
        </is>
      </c>
      <c r="E1527" s="39" t="inlineStr">
        <is>
          <t>고체향수</t>
        </is>
      </c>
      <c r="F1527" s="39" t="inlineStr">
        <is>
          <t>카페24</t>
        </is>
      </c>
      <c r="H1527" s="39" t="n">
        <v>1</v>
      </c>
      <c r="I1527" s="39" t="inlineStr">
        <is>
          <t>이그나이트</t>
        </is>
      </c>
      <c r="J1527" s="20" t="n">
        <v>200720</v>
      </c>
      <c r="L1527" s="39">
        <f>VLOOKUP($P1527,매칭테이블!$G:$J,2,0)*H1527</f>
        <v/>
      </c>
      <c r="M1527" s="39">
        <f>L1527-L1527*VLOOKUP($P1527,매칭테이블!$G:$J,3,0)</f>
        <v/>
      </c>
      <c r="N1527" s="39">
        <f>VLOOKUP($P1527,매칭테이블!$G:$J,4,0)*H1527</f>
        <v/>
      </c>
      <c r="O1527" s="55">
        <f>L1527/1.1</f>
        <v/>
      </c>
      <c r="P1527" s="39">
        <f>F1527&amp;E1527&amp;I1527&amp;J1527</f>
        <v/>
      </c>
    </row>
    <row r="1528">
      <c r="B1528" s="51" t="n">
        <v>44063</v>
      </c>
      <c r="C1528" s="39" t="inlineStr">
        <is>
          <t>목</t>
        </is>
      </c>
      <c r="E1528" s="39" t="inlineStr">
        <is>
          <t>쇼핑백</t>
        </is>
      </c>
      <c r="F1528" s="39" t="inlineStr">
        <is>
          <t>카페24</t>
        </is>
      </c>
      <c r="H1528" s="39" t="n">
        <v>1</v>
      </c>
      <c r="I1528" s="39" t="inlineStr">
        <is>
          <t>유즈쇼핑백</t>
        </is>
      </c>
      <c r="J1528" s="20" t="n">
        <v>200720</v>
      </c>
      <c r="L1528" s="39">
        <f>VLOOKUP($P1528,매칭테이블!$G:$J,2,0)*H1528</f>
        <v/>
      </c>
      <c r="M1528" s="39">
        <f>L1528-L1528*VLOOKUP($P1528,매칭테이블!$G:$J,3,0)</f>
        <v/>
      </c>
      <c r="N1528" s="39">
        <f>VLOOKUP($P1528,매칭테이블!$G:$J,4,0)*H1528</f>
        <v/>
      </c>
      <c r="O1528" s="55">
        <f>L1528/1.1</f>
        <v/>
      </c>
      <c r="P1528" s="39">
        <f>F1528&amp;E1528&amp;I1528&amp;J1528</f>
        <v/>
      </c>
    </row>
    <row r="1529">
      <c r="B1529" s="51" t="n">
        <v>44064</v>
      </c>
      <c r="C1529" s="39" t="inlineStr">
        <is>
          <t>금</t>
        </is>
      </c>
      <c r="E1529" s="39" t="inlineStr">
        <is>
          <t>고체향수</t>
        </is>
      </c>
      <c r="F1529" s="39" t="inlineStr">
        <is>
          <t>카페24</t>
        </is>
      </c>
      <c r="H1529" s="39" t="n">
        <v>1</v>
      </c>
      <c r="I1529" s="39" t="inlineStr">
        <is>
          <t>이그나이트 + 스테이포에버</t>
        </is>
      </c>
      <c r="J1529" s="20" t="n">
        <v>200720</v>
      </c>
      <c r="L1529" s="39">
        <f>VLOOKUP($P1529,매칭테이블!$G:$J,2,0)*H1529</f>
        <v/>
      </c>
      <c r="M1529" s="39">
        <f>L1529-L1529*VLOOKUP($P1529,매칭테이블!$G:$J,3,0)</f>
        <v/>
      </c>
      <c r="N1529" s="39">
        <f>VLOOKUP($P1529,매칭테이블!$G:$J,4,0)*H1529</f>
        <v/>
      </c>
      <c r="O1529" s="55">
        <f>L1529/1.1</f>
        <v/>
      </c>
      <c r="P1529" s="39">
        <f>F1529&amp;E1529&amp;I1529&amp;J1529</f>
        <v/>
      </c>
    </row>
    <row r="1530">
      <c r="B1530" s="51" t="n">
        <v>44064</v>
      </c>
      <c r="C1530" s="39" t="inlineStr">
        <is>
          <t>금</t>
        </is>
      </c>
      <c r="E1530" s="39" t="inlineStr">
        <is>
          <t>고체향수</t>
        </is>
      </c>
      <c r="F1530" s="39" t="inlineStr">
        <is>
          <t>카페24</t>
        </is>
      </c>
      <c r="H1530" s="39" t="n">
        <v>54</v>
      </c>
      <c r="I1530" s="39" t="inlineStr">
        <is>
          <t>스테이포에버</t>
        </is>
      </c>
      <c r="J1530" s="20" t="n">
        <v>200720</v>
      </c>
      <c r="L1530" s="39">
        <f>VLOOKUP($P1530,매칭테이블!$G:$J,2,0)*H1530</f>
        <v/>
      </c>
      <c r="M1530" s="39">
        <f>L1530-L1530*VLOOKUP($P1530,매칭테이블!$G:$J,3,0)</f>
        <v/>
      </c>
      <c r="N1530" s="39">
        <f>VLOOKUP($P1530,매칭테이블!$G:$J,4,0)*H1530</f>
        <v/>
      </c>
      <c r="O1530" s="55">
        <f>L1530/1.1</f>
        <v/>
      </c>
      <c r="P1530" s="39">
        <f>F1530&amp;E1530&amp;I1530&amp;J1530</f>
        <v/>
      </c>
    </row>
    <row r="1531">
      <c r="B1531" s="51" t="n">
        <v>44064</v>
      </c>
      <c r="C1531" s="39" t="inlineStr">
        <is>
          <t>금</t>
        </is>
      </c>
      <c r="E1531" s="39" t="inlineStr">
        <is>
          <t>고체향수</t>
        </is>
      </c>
      <c r="F1531" s="39" t="inlineStr">
        <is>
          <t>카페24</t>
        </is>
      </c>
      <c r="G1531" s="39" t="n"/>
      <c r="H1531" s="39" t="n">
        <v>10</v>
      </c>
      <c r="I1531" s="39" t="inlineStr">
        <is>
          <t>스테이포에버 2set</t>
        </is>
      </c>
      <c r="J1531" s="20" t="n">
        <v>200720</v>
      </c>
      <c r="L1531" s="39">
        <f>VLOOKUP($P1531,매칭테이블!$G:$J,2,0)*H1531</f>
        <v/>
      </c>
      <c r="M1531" s="39">
        <f>L1531-L1531*VLOOKUP($P1531,매칭테이블!$G:$J,3,0)</f>
        <v/>
      </c>
      <c r="N1531" s="39">
        <f>VLOOKUP($P1531,매칭테이블!$G:$J,4,0)*H1531</f>
        <v/>
      </c>
      <c r="O1531" s="55">
        <f>L1531/1.1</f>
        <v/>
      </c>
      <c r="P1531" s="39">
        <f>F1531&amp;E1531&amp;I1531&amp;J1531</f>
        <v/>
      </c>
    </row>
    <row r="1532">
      <c r="B1532" s="51" t="n">
        <v>44064</v>
      </c>
      <c r="C1532" s="39" t="inlineStr">
        <is>
          <t>금</t>
        </is>
      </c>
      <c r="E1532" s="39" t="inlineStr">
        <is>
          <t>고체향수</t>
        </is>
      </c>
      <c r="F1532" s="39" t="inlineStr">
        <is>
          <t>카페24</t>
        </is>
      </c>
      <c r="H1532" s="39" t="n">
        <v>1</v>
      </c>
      <c r="I1532" s="39" t="inlineStr">
        <is>
          <t>이그나이트 2set</t>
        </is>
      </c>
      <c r="J1532" s="20" t="n">
        <v>200720</v>
      </c>
      <c r="L1532" s="39">
        <f>VLOOKUP($P1532,매칭테이블!$G:$J,2,0)*H1532</f>
        <v/>
      </c>
      <c r="M1532" s="39">
        <f>L1532-L1532*VLOOKUP($P1532,매칭테이블!$G:$J,3,0)</f>
        <v/>
      </c>
      <c r="N1532" s="39">
        <f>VLOOKUP($P1532,매칭테이블!$G:$J,4,0)*H1532</f>
        <v/>
      </c>
      <c r="O1532" s="55">
        <f>L1532/1.1</f>
        <v/>
      </c>
      <c r="P1532" s="39">
        <f>F1532&amp;E1532&amp;I1532&amp;J1532</f>
        <v/>
      </c>
    </row>
    <row r="1533">
      <c r="B1533" s="51" t="n">
        <v>44064</v>
      </c>
      <c r="C1533" s="39" t="inlineStr">
        <is>
          <t>금</t>
        </is>
      </c>
      <c r="E1533" s="39" t="inlineStr">
        <is>
          <t>쇼핑백</t>
        </is>
      </c>
      <c r="F1533" s="39" t="inlineStr">
        <is>
          <t>카페24</t>
        </is>
      </c>
      <c r="H1533" s="39" t="n">
        <v>3</v>
      </c>
      <c r="I1533" s="39" t="inlineStr">
        <is>
          <t>유즈쇼핑백</t>
        </is>
      </c>
      <c r="J1533" s="20" t="n">
        <v>200720</v>
      </c>
      <c r="L1533" s="39">
        <f>VLOOKUP($P1533,매칭테이블!$G:$J,2,0)*H1533</f>
        <v/>
      </c>
      <c r="M1533" s="39">
        <f>L1533-L1533*VLOOKUP($P1533,매칭테이블!$G:$J,3,0)</f>
        <v/>
      </c>
      <c r="N1533" s="39">
        <f>VLOOKUP($P1533,매칭테이블!$G:$J,4,0)*H1533</f>
        <v/>
      </c>
      <c r="O1533" s="55">
        <f>L1533/1.1</f>
        <v/>
      </c>
      <c r="P1533" s="39">
        <f>F1533&amp;E1533&amp;I1533&amp;J1533</f>
        <v/>
      </c>
    </row>
    <row r="1534">
      <c r="B1534" s="51" t="n">
        <v>44065</v>
      </c>
      <c r="C1534" s="39" t="inlineStr">
        <is>
          <t>토</t>
        </is>
      </c>
      <c r="E1534" s="39" t="inlineStr">
        <is>
          <t>고체향수</t>
        </is>
      </c>
      <c r="F1534" s="39" t="inlineStr">
        <is>
          <t>카페24</t>
        </is>
      </c>
      <c r="H1534" s="39" t="n">
        <v>2</v>
      </c>
      <c r="I1534" s="39" t="inlineStr">
        <is>
          <t>이그나이트 + 스테이포에버</t>
        </is>
      </c>
      <c r="J1534" s="20" t="n">
        <v>200720</v>
      </c>
      <c r="L1534" s="39">
        <f>VLOOKUP($P1534,매칭테이블!$G:$J,2,0)*H1534</f>
        <v/>
      </c>
      <c r="M1534" s="39">
        <f>L1534-L1534*VLOOKUP($P1534,매칭테이블!$G:$J,3,0)</f>
        <v/>
      </c>
      <c r="N1534" s="39">
        <f>VLOOKUP($P1534,매칭테이블!$G:$J,4,0)*H1534</f>
        <v/>
      </c>
      <c r="O1534" s="55">
        <f>L1534/1.1</f>
        <v/>
      </c>
      <c r="P1534" s="39">
        <f>F1534&amp;E1534&amp;I1534&amp;J1534</f>
        <v/>
      </c>
    </row>
    <row r="1535">
      <c r="B1535" s="51" t="n">
        <v>44065</v>
      </c>
      <c r="C1535" s="39" t="inlineStr">
        <is>
          <t>토</t>
        </is>
      </c>
      <c r="E1535" s="39" t="inlineStr">
        <is>
          <t>고체향수</t>
        </is>
      </c>
      <c r="F1535" s="39" t="inlineStr">
        <is>
          <t>카페24</t>
        </is>
      </c>
      <c r="H1535" s="39" t="n">
        <v>49</v>
      </c>
      <c r="I1535" s="39" t="inlineStr">
        <is>
          <t>스테이포에버</t>
        </is>
      </c>
      <c r="J1535" s="20" t="n">
        <v>200720</v>
      </c>
      <c r="L1535" s="39">
        <f>VLOOKUP($P1535,매칭테이블!$G:$J,2,0)*H1535</f>
        <v/>
      </c>
      <c r="M1535" s="39">
        <f>L1535-L1535*VLOOKUP($P1535,매칭테이블!$G:$J,3,0)</f>
        <v/>
      </c>
      <c r="N1535" s="39">
        <f>VLOOKUP($P1535,매칭테이블!$G:$J,4,0)*H1535</f>
        <v/>
      </c>
      <c r="O1535" s="55">
        <f>L1535/1.1</f>
        <v/>
      </c>
      <c r="P1535" s="39">
        <f>F1535&amp;E1535&amp;I1535&amp;J1535</f>
        <v/>
      </c>
    </row>
    <row r="1536">
      <c r="B1536" s="51" t="n">
        <v>44065</v>
      </c>
      <c r="C1536" s="39" t="inlineStr">
        <is>
          <t>토</t>
        </is>
      </c>
      <c r="E1536" s="39" t="inlineStr">
        <is>
          <t>고체향수</t>
        </is>
      </c>
      <c r="F1536" s="39" t="inlineStr">
        <is>
          <t>카페24</t>
        </is>
      </c>
      <c r="G1536" s="39" t="n"/>
      <c r="H1536" s="39" t="n">
        <v>13</v>
      </c>
      <c r="I1536" s="39" t="inlineStr">
        <is>
          <t>스테이포에버 2set</t>
        </is>
      </c>
      <c r="J1536" s="20" t="n">
        <v>200720</v>
      </c>
      <c r="L1536" s="39">
        <f>VLOOKUP($P1536,매칭테이블!$G:$J,2,0)*H1536</f>
        <v/>
      </c>
      <c r="M1536" s="39">
        <f>L1536-L1536*VLOOKUP($P1536,매칭테이블!$G:$J,3,0)</f>
        <v/>
      </c>
      <c r="N1536" s="39">
        <f>VLOOKUP($P1536,매칭테이블!$G:$J,4,0)*H1536</f>
        <v/>
      </c>
      <c r="O1536" s="55">
        <f>L1536/1.1</f>
        <v/>
      </c>
      <c r="P1536" s="39">
        <f>F1536&amp;E1536&amp;I1536&amp;J1536</f>
        <v/>
      </c>
    </row>
    <row r="1537">
      <c r="B1537" s="51" t="n">
        <v>44065</v>
      </c>
      <c r="C1537" s="39" t="inlineStr">
        <is>
          <t>토</t>
        </is>
      </c>
      <c r="E1537" s="39" t="inlineStr">
        <is>
          <t>고체향수</t>
        </is>
      </c>
      <c r="F1537" s="39" t="inlineStr">
        <is>
          <t>카페24</t>
        </is>
      </c>
      <c r="H1537" s="39" t="n">
        <v>3</v>
      </c>
      <c r="I1537" s="39" t="inlineStr">
        <is>
          <t>이그나이트</t>
        </is>
      </c>
      <c r="J1537" s="20" t="n">
        <v>200720</v>
      </c>
      <c r="L1537" s="39">
        <f>VLOOKUP($P1537,매칭테이블!$G:$J,2,0)*H1537</f>
        <v/>
      </c>
      <c r="M1537" s="39">
        <f>L1537-L1537*VLOOKUP($P1537,매칭테이블!$G:$J,3,0)</f>
        <v/>
      </c>
      <c r="N1537" s="39">
        <f>VLOOKUP($P1537,매칭테이블!$G:$J,4,0)*H1537</f>
        <v/>
      </c>
      <c r="O1537" s="55">
        <f>L1537/1.1</f>
        <v/>
      </c>
      <c r="P1537" s="39">
        <f>F1537&amp;E1537&amp;I1537&amp;J1537</f>
        <v/>
      </c>
    </row>
    <row r="1538">
      <c r="B1538" s="51" t="n">
        <v>44065</v>
      </c>
      <c r="C1538" s="39" t="inlineStr">
        <is>
          <t>토</t>
        </is>
      </c>
      <c r="E1538" s="39" t="inlineStr">
        <is>
          <t>고체향수</t>
        </is>
      </c>
      <c r="F1538" s="39" t="inlineStr">
        <is>
          <t>카페24</t>
        </is>
      </c>
      <c r="H1538" s="39" t="n">
        <v>1</v>
      </c>
      <c r="I1538" s="39" t="inlineStr">
        <is>
          <t>이그나이트 2set</t>
        </is>
      </c>
      <c r="J1538" s="20" t="n">
        <v>200720</v>
      </c>
      <c r="L1538" s="39">
        <f>VLOOKUP($P1538,매칭테이블!$G:$J,2,0)*H1538</f>
        <v/>
      </c>
      <c r="M1538" s="39">
        <f>L1538-L1538*VLOOKUP($P1538,매칭테이블!$G:$J,3,0)</f>
        <v/>
      </c>
      <c r="N1538" s="39">
        <f>VLOOKUP($P1538,매칭테이블!$G:$J,4,0)*H1538</f>
        <v/>
      </c>
      <c r="O1538" s="55">
        <f>L1538/1.1</f>
        <v/>
      </c>
      <c r="P1538" s="39">
        <f>F1538&amp;E1538&amp;I1538&amp;J1538</f>
        <v/>
      </c>
    </row>
    <row r="1539">
      <c r="B1539" s="51" t="n">
        <v>44065</v>
      </c>
      <c r="C1539" s="39" t="inlineStr">
        <is>
          <t>토</t>
        </is>
      </c>
      <c r="E1539" s="39" t="inlineStr">
        <is>
          <t>쇼핑백</t>
        </is>
      </c>
      <c r="F1539" s="39" t="inlineStr">
        <is>
          <t>카페24</t>
        </is>
      </c>
      <c r="H1539" s="39" t="n">
        <v>2</v>
      </c>
      <c r="I1539" s="39" t="inlineStr">
        <is>
          <t>유즈쇼핑백</t>
        </is>
      </c>
      <c r="J1539" s="20" t="n">
        <v>200720</v>
      </c>
      <c r="L1539" s="39">
        <f>VLOOKUP($P1539,매칭테이블!$G:$J,2,0)*H1539</f>
        <v/>
      </c>
      <c r="M1539" s="39">
        <f>L1539-L1539*VLOOKUP($P1539,매칭테이블!$G:$J,3,0)</f>
        <v/>
      </c>
      <c r="N1539" s="39">
        <f>VLOOKUP($P1539,매칭테이블!$G:$J,4,0)*H1539</f>
        <v/>
      </c>
      <c r="O1539" s="55">
        <f>L1539/1.1</f>
        <v/>
      </c>
      <c r="P1539" s="39">
        <f>F1539&amp;E1539&amp;I1539&amp;J1539</f>
        <v/>
      </c>
    </row>
    <row r="1540">
      <c r="B1540" s="51" t="n">
        <v>44066</v>
      </c>
      <c r="C1540" s="39" t="inlineStr">
        <is>
          <t>일</t>
        </is>
      </c>
      <c r="E1540" s="39" t="inlineStr">
        <is>
          <t>고체향수</t>
        </is>
      </c>
      <c r="F1540" s="39" t="inlineStr">
        <is>
          <t>카페24</t>
        </is>
      </c>
      <c r="H1540" s="39" t="n">
        <v>1</v>
      </c>
      <c r="I1540" s="39" t="inlineStr">
        <is>
          <t>이그나이트 + 스테이포에버</t>
        </is>
      </c>
      <c r="J1540" s="20" t="n">
        <v>200720</v>
      </c>
      <c r="L1540" s="39">
        <f>VLOOKUP($P1540,매칭테이블!$G:$J,2,0)*H1540</f>
        <v/>
      </c>
      <c r="M1540" s="39">
        <f>L1540-L1540*VLOOKUP($P1540,매칭테이블!$G:$J,3,0)</f>
        <v/>
      </c>
      <c r="N1540" s="39">
        <f>VLOOKUP($P1540,매칭테이블!$G:$J,4,0)*H1540</f>
        <v/>
      </c>
      <c r="O1540" s="55">
        <f>L1540/1.1</f>
        <v/>
      </c>
      <c r="P1540" s="39">
        <f>F1540&amp;E1540&amp;I1540&amp;J1540</f>
        <v/>
      </c>
    </row>
    <row r="1541">
      <c r="B1541" s="51" t="n">
        <v>44066</v>
      </c>
      <c r="C1541" s="39" t="inlineStr">
        <is>
          <t>일</t>
        </is>
      </c>
      <c r="E1541" s="39" t="inlineStr">
        <is>
          <t>고체향수</t>
        </is>
      </c>
      <c r="F1541" s="39" t="inlineStr">
        <is>
          <t>카페24</t>
        </is>
      </c>
      <c r="H1541" s="39" t="n">
        <v>68</v>
      </c>
      <c r="I1541" s="39" t="inlineStr">
        <is>
          <t>스테이포에버</t>
        </is>
      </c>
      <c r="J1541" s="20" t="n">
        <v>200720</v>
      </c>
      <c r="L1541" s="39">
        <f>VLOOKUP($P1541,매칭테이블!$G:$J,2,0)*H1541</f>
        <v/>
      </c>
      <c r="M1541" s="39">
        <f>L1541-L1541*VLOOKUP($P1541,매칭테이블!$G:$J,3,0)</f>
        <v/>
      </c>
      <c r="N1541" s="39">
        <f>VLOOKUP($P1541,매칭테이블!$G:$J,4,0)*H1541</f>
        <v/>
      </c>
      <c r="O1541" s="55">
        <f>L1541/1.1</f>
        <v/>
      </c>
      <c r="P1541" s="39">
        <f>F1541&amp;E1541&amp;I1541&amp;J1541</f>
        <v/>
      </c>
    </row>
    <row r="1542">
      <c r="B1542" s="51" t="n">
        <v>44066</v>
      </c>
      <c r="C1542" s="39" t="inlineStr">
        <is>
          <t>일</t>
        </is>
      </c>
      <c r="E1542" s="39" t="inlineStr">
        <is>
          <t>고체향수</t>
        </is>
      </c>
      <c r="F1542" s="39" t="inlineStr">
        <is>
          <t>카페24</t>
        </is>
      </c>
      <c r="G1542" s="39" t="n"/>
      <c r="H1542" s="39" t="n">
        <v>21</v>
      </c>
      <c r="I1542" s="39" t="inlineStr">
        <is>
          <t>스테이포에버 2set</t>
        </is>
      </c>
      <c r="J1542" s="20" t="n">
        <v>200720</v>
      </c>
      <c r="L1542" s="39">
        <f>VLOOKUP($P1542,매칭테이블!$G:$J,2,0)*H1542</f>
        <v/>
      </c>
      <c r="M1542" s="39">
        <f>L1542-L1542*VLOOKUP($P1542,매칭테이블!$G:$J,3,0)</f>
        <v/>
      </c>
      <c r="N1542" s="39">
        <f>VLOOKUP($P1542,매칭테이블!$G:$J,4,0)*H1542</f>
        <v/>
      </c>
      <c r="O1542" s="55">
        <f>L1542/1.1</f>
        <v/>
      </c>
      <c r="P1542" s="39">
        <f>F1542&amp;E1542&amp;I1542&amp;J1542</f>
        <v/>
      </c>
    </row>
    <row r="1543">
      <c r="B1543" s="51" t="n">
        <v>44066</v>
      </c>
      <c r="C1543" s="39" t="inlineStr">
        <is>
          <t>일</t>
        </is>
      </c>
      <c r="E1543" s="39" t="inlineStr">
        <is>
          <t>고체향수</t>
        </is>
      </c>
      <c r="F1543" s="39" t="inlineStr">
        <is>
          <t>카페24</t>
        </is>
      </c>
      <c r="H1543" s="39" t="n">
        <v>2</v>
      </c>
      <c r="I1543" s="39" t="inlineStr">
        <is>
          <t>이그나이트</t>
        </is>
      </c>
      <c r="J1543" s="20" t="n">
        <v>200720</v>
      </c>
      <c r="L1543" s="39">
        <f>VLOOKUP($P1543,매칭테이블!$G:$J,2,0)*H1543</f>
        <v/>
      </c>
      <c r="M1543" s="39">
        <f>L1543-L1543*VLOOKUP($P1543,매칭테이블!$G:$J,3,0)</f>
        <v/>
      </c>
      <c r="N1543" s="39">
        <f>VLOOKUP($P1543,매칭테이블!$G:$J,4,0)*H1543</f>
        <v/>
      </c>
      <c r="O1543" s="55">
        <f>L1543/1.1</f>
        <v/>
      </c>
      <c r="P1543" s="39">
        <f>F1543&amp;E1543&amp;I1543&amp;J1543</f>
        <v/>
      </c>
    </row>
    <row r="1544">
      <c r="B1544" s="51" t="n">
        <v>44066</v>
      </c>
      <c r="C1544" s="39" t="inlineStr">
        <is>
          <t>일</t>
        </is>
      </c>
      <c r="E1544" s="39" t="inlineStr">
        <is>
          <t>쇼핑백</t>
        </is>
      </c>
      <c r="F1544" s="39" t="inlineStr">
        <is>
          <t>카페24</t>
        </is>
      </c>
      <c r="H1544" s="39" t="n">
        <v>1</v>
      </c>
      <c r="I1544" s="39" t="inlineStr">
        <is>
          <t>유즈쇼핑백</t>
        </is>
      </c>
      <c r="J1544" s="20" t="n">
        <v>200720</v>
      </c>
      <c r="L1544" s="39">
        <f>VLOOKUP($P1544,매칭테이블!$G:$J,2,0)*H1544</f>
        <v/>
      </c>
      <c r="M1544" s="39">
        <f>L1544-L1544*VLOOKUP($P1544,매칭테이블!$G:$J,3,0)</f>
        <v/>
      </c>
      <c r="N1544" s="39">
        <f>VLOOKUP($P1544,매칭테이블!$G:$J,4,0)*H1544</f>
        <v/>
      </c>
      <c r="O1544" s="55">
        <f>L1544/1.1</f>
        <v/>
      </c>
      <c r="P1544" s="39">
        <f>F1544&amp;E1544&amp;I1544&amp;J1544</f>
        <v/>
      </c>
    </row>
    <row r="1545">
      <c r="B1545" s="51" t="n">
        <v>44067</v>
      </c>
      <c r="C1545" s="39" t="inlineStr">
        <is>
          <t>월</t>
        </is>
      </c>
      <c r="E1545" s="39" t="inlineStr">
        <is>
          <t>고체향수</t>
        </is>
      </c>
      <c r="F1545" s="39" t="inlineStr">
        <is>
          <t>카페24</t>
        </is>
      </c>
      <c r="H1545" s="39" t="n">
        <v>4</v>
      </c>
      <c r="I1545" s="39" t="inlineStr">
        <is>
          <t>이그나이트 + 스테이포에버</t>
        </is>
      </c>
      <c r="J1545" s="20" t="n">
        <v>200720</v>
      </c>
      <c r="L1545" s="39">
        <f>VLOOKUP($P1545,매칭테이블!$G:$J,2,0)*H1545</f>
        <v/>
      </c>
      <c r="M1545" s="39">
        <f>L1545-L1545*VLOOKUP($P1545,매칭테이블!$G:$J,3,0)</f>
        <v/>
      </c>
      <c r="N1545" s="39">
        <f>VLOOKUP($P1545,매칭테이블!$G:$J,4,0)*H1545</f>
        <v/>
      </c>
      <c r="O1545" s="55">
        <f>L1545/1.1</f>
        <v/>
      </c>
      <c r="P1545" s="39">
        <f>F1545&amp;E1545&amp;I1545&amp;J1545</f>
        <v/>
      </c>
    </row>
    <row r="1546">
      <c r="B1546" s="51" t="n">
        <v>44067</v>
      </c>
      <c r="C1546" s="39" t="inlineStr">
        <is>
          <t>월</t>
        </is>
      </c>
      <c r="E1546" s="39" t="inlineStr">
        <is>
          <t>고체향수</t>
        </is>
      </c>
      <c r="F1546" s="39" t="inlineStr">
        <is>
          <t>카페24</t>
        </is>
      </c>
      <c r="H1546" s="39" t="n">
        <v>58</v>
      </c>
      <c r="I1546" s="39" t="inlineStr">
        <is>
          <t>스테이포에버</t>
        </is>
      </c>
      <c r="J1546" s="20" t="n">
        <v>200720</v>
      </c>
      <c r="L1546" s="39">
        <f>VLOOKUP($P1546,매칭테이블!$G:$J,2,0)*H1546</f>
        <v/>
      </c>
      <c r="M1546" s="39">
        <f>L1546-L1546*VLOOKUP($P1546,매칭테이블!$G:$J,3,0)</f>
        <v/>
      </c>
      <c r="N1546" s="39">
        <f>VLOOKUP($P1546,매칭테이블!$G:$J,4,0)*H1546</f>
        <v/>
      </c>
      <c r="O1546" s="55">
        <f>L1546/1.1</f>
        <v/>
      </c>
      <c r="P1546" s="39">
        <f>F1546&amp;E1546&amp;I1546&amp;J1546</f>
        <v/>
      </c>
    </row>
    <row r="1547">
      <c r="B1547" s="51" t="n">
        <v>44067</v>
      </c>
      <c r="C1547" s="39" t="inlineStr">
        <is>
          <t>월</t>
        </is>
      </c>
      <c r="E1547" s="39" t="inlineStr">
        <is>
          <t>고체향수</t>
        </is>
      </c>
      <c r="F1547" s="39" t="inlineStr">
        <is>
          <t>카페24</t>
        </is>
      </c>
      <c r="G1547" s="39" t="n"/>
      <c r="H1547" s="39" t="n">
        <v>13</v>
      </c>
      <c r="I1547" s="39" t="inlineStr">
        <is>
          <t>스테이포에버 2set</t>
        </is>
      </c>
      <c r="J1547" s="20" t="n">
        <v>200720</v>
      </c>
      <c r="L1547" s="39">
        <f>VLOOKUP($P1547,매칭테이블!$G:$J,2,0)*H1547</f>
        <v/>
      </c>
      <c r="M1547" s="39">
        <f>L1547-L1547*VLOOKUP($P1547,매칭테이블!$G:$J,3,0)</f>
        <v/>
      </c>
      <c r="N1547" s="39">
        <f>VLOOKUP($P1547,매칭테이블!$G:$J,4,0)*H1547</f>
        <v/>
      </c>
      <c r="O1547" s="55">
        <f>L1547/1.1</f>
        <v/>
      </c>
      <c r="P1547" s="39">
        <f>F1547&amp;E1547&amp;I1547&amp;J1547</f>
        <v/>
      </c>
    </row>
    <row r="1548">
      <c r="B1548" s="51" t="n">
        <v>44067</v>
      </c>
      <c r="C1548" s="39" t="inlineStr">
        <is>
          <t>월</t>
        </is>
      </c>
      <c r="E1548" s="39" t="inlineStr">
        <is>
          <t>고체향수</t>
        </is>
      </c>
      <c r="F1548" s="39" t="inlineStr">
        <is>
          <t>카페24</t>
        </is>
      </c>
      <c r="H1548" s="39" t="n">
        <v>1</v>
      </c>
      <c r="I1548" s="39" t="inlineStr">
        <is>
          <t>이그나이트</t>
        </is>
      </c>
      <c r="J1548" s="20" t="n">
        <v>200720</v>
      </c>
      <c r="L1548" s="39">
        <f>VLOOKUP($P1548,매칭테이블!$G:$J,2,0)*H1548</f>
        <v/>
      </c>
      <c r="M1548" s="39">
        <f>L1548-L1548*VLOOKUP($P1548,매칭테이블!$G:$J,3,0)</f>
        <v/>
      </c>
      <c r="N1548" s="39">
        <f>VLOOKUP($P1548,매칭테이블!$G:$J,4,0)*H1548</f>
        <v/>
      </c>
      <c r="O1548" s="55">
        <f>L1548/1.1</f>
        <v/>
      </c>
      <c r="P1548" s="39">
        <f>F1548&amp;E1548&amp;I1548&amp;J1548</f>
        <v/>
      </c>
    </row>
    <row r="1549">
      <c r="B1549" s="51" t="n">
        <v>44067</v>
      </c>
      <c r="C1549" s="39" t="inlineStr">
        <is>
          <t>월</t>
        </is>
      </c>
      <c r="E1549" s="39" t="inlineStr">
        <is>
          <t>쇼핑백</t>
        </is>
      </c>
      <c r="F1549" s="39" t="inlineStr">
        <is>
          <t>카페24</t>
        </is>
      </c>
      <c r="H1549" s="39" t="n">
        <v>2</v>
      </c>
      <c r="I1549" s="39" t="inlineStr">
        <is>
          <t>유즈쇼핑백</t>
        </is>
      </c>
      <c r="J1549" s="20" t="n">
        <v>200720</v>
      </c>
      <c r="L1549" s="39">
        <f>VLOOKUP($P1549,매칭테이블!$G:$J,2,0)*H1549</f>
        <v/>
      </c>
      <c r="M1549" s="39">
        <f>L1549-L1549*VLOOKUP($P1549,매칭테이블!$G:$J,3,0)</f>
        <v/>
      </c>
      <c r="N1549" s="39">
        <f>VLOOKUP($P1549,매칭테이블!$G:$J,4,0)*H1549</f>
        <v/>
      </c>
      <c r="O1549" s="55">
        <f>L1549/1.1</f>
        <v/>
      </c>
      <c r="P1549" s="39">
        <f>F1549&amp;E1549&amp;I1549&amp;J1549</f>
        <v/>
      </c>
    </row>
    <row r="1550">
      <c r="B1550" s="51" t="n">
        <v>44068</v>
      </c>
      <c r="C1550" s="39" t="inlineStr">
        <is>
          <t>화</t>
        </is>
      </c>
      <c r="E1550" s="39" t="inlineStr">
        <is>
          <t>고체향수</t>
        </is>
      </c>
      <c r="F1550" s="39" t="inlineStr">
        <is>
          <t>카페24</t>
        </is>
      </c>
      <c r="H1550" s="39" t="n">
        <v>1</v>
      </c>
      <c r="I1550" s="39" t="inlineStr">
        <is>
          <t>이그나이트 + 스테이포에버</t>
        </is>
      </c>
      <c r="J1550" s="20" t="n">
        <v>200720</v>
      </c>
      <c r="L1550" s="39">
        <f>VLOOKUP($P1550,매칭테이블!$G:$J,2,0)*H1550</f>
        <v/>
      </c>
      <c r="M1550" s="39">
        <f>L1550-L1550*VLOOKUP($P1550,매칭테이블!$G:$J,3,0)</f>
        <v/>
      </c>
      <c r="N1550" s="39">
        <f>VLOOKUP($P1550,매칭테이블!$G:$J,4,0)*H1550</f>
        <v/>
      </c>
      <c r="O1550" s="55">
        <f>L1550/1.1</f>
        <v/>
      </c>
      <c r="P1550" s="39">
        <f>F1550&amp;E1550&amp;I1550&amp;J1550</f>
        <v/>
      </c>
    </row>
    <row r="1551">
      <c r="B1551" s="51" t="n">
        <v>44068</v>
      </c>
      <c r="C1551" s="39" t="inlineStr">
        <is>
          <t>화</t>
        </is>
      </c>
      <c r="E1551" s="39" t="inlineStr">
        <is>
          <t>고체향수</t>
        </is>
      </c>
      <c r="F1551" s="39" t="inlineStr">
        <is>
          <t>카페24</t>
        </is>
      </c>
      <c r="H1551" s="39" t="n">
        <v>66</v>
      </c>
      <c r="I1551" s="39" t="inlineStr">
        <is>
          <t>스테이포에버</t>
        </is>
      </c>
      <c r="J1551" s="20" t="n">
        <v>200720</v>
      </c>
      <c r="L1551" s="39">
        <f>VLOOKUP($P1551,매칭테이블!$G:$J,2,0)*H1551</f>
        <v/>
      </c>
      <c r="M1551" s="39">
        <f>L1551-L1551*VLOOKUP($P1551,매칭테이블!$G:$J,3,0)</f>
        <v/>
      </c>
      <c r="N1551" s="39">
        <f>VLOOKUP($P1551,매칭테이블!$G:$J,4,0)*H1551</f>
        <v/>
      </c>
      <c r="O1551" s="55">
        <f>L1551/1.1</f>
        <v/>
      </c>
      <c r="P1551" s="39">
        <f>F1551&amp;E1551&amp;I1551&amp;J1551</f>
        <v/>
      </c>
    </row>
    <row r="1552">
      <c r="B1552" s="51" t="n">
        <v>44068</v>
      </c>
      <c r="C1552" s="39" t="inlineStr">
        <is>
          <t>화</t>
        </is>
      </c>
      <c r="E1552" s="39" t="inlineStr">
        <is>
          <t>고체향수</t>
        </is>
      </c>
      <c r="F1552" s="39" t="inlineStr">
        <is>
          <t>카페24</t>
        </is>
      </c>
      <c r="G1552" s="39" t="n"/>
      <c r="H1552" s="39" t="n">
        <v>7</v>
      </c>
      <c r="I1552" s="39" t="inlineStr">
        <is>
          <t>스테이포에버 2set</t>
        </is>
      </c>
      <c r="J1552" s="20" t="n">
        <v>200720</v>
      </c>
      <c r="L1552" s="39">
        <f>VLOOKUP($P1552,매칭테이블!$G:$J,2,0)*H1552</f>
        <v/>
      </c>
      <c r="M1552" s="39">
        <f>L1552-L1552*VLOOKUP($P1552,매칭테이블!$G:$J,3,0)</f>
        <v/>
      </c>
      <c r="N1552" s="39">
        <f>VLOOKUP($P1552,매칭테이블!$G:$J,4,0)*H1552</f>
        <v/>
      </c>
      <c r="O1552" s="55">
        <f>L1552/1.1</f>
        <v/>
      </c>
      <c r="P1552" s="39">
        <f>F1552&amp;E1552&amp;I1552&amp;J1552</f>
        <v/>
      </c>
    </row>
    <row r="1553">
      <c r="B1553" s="51" t="n">
        <v>44068</v>
      </c>
      <c r="C1553" s="39" t="inlineStr">
        <is>
          <t>화</t>
        </is>
      </c>
      <c r="E1553" s="39" t="inlineStr">
        <is>
          <t>쇼핑백</t>
        </is>
      </c>
      <c r="F1553" s="39" t="inlineStr">
        <is>
          <t>카페24</t>
        </is>
      </c>
      <c r="H1553" s="39" t="n">
        <v>3</v>
      </c>
      <c r="I1553" s="39" t="inlineStr">
        <is>
          <t>유즈쇼핑백</t>
        </is>
      </c>
      <c r="J1553" s="20" t="n">
        <v>200720</v>
      </c>
      <c r="L1553" s="39">
        <f>VLOOKUP($P1553,매칭테이블!$G:$J,2,0)*H1553</f>
        <v/>
      </c>
      <c r="M1553" s="39">
        <f>L1553-L1553*VLOOKUP($P1553,매칭테이블!$G:$J,3,0)</f>
        <v/>
      </c>
      <c r="N1553" s="39">
        <f>VLOOKUP($P1553,매칭테이블!$G:$J,4,0)*H1553</f>
        <v/>
      </c>
      <c r="O1553" s="55">
        <f>L1553/1.1</f>
        <v/>
      </c>
      <c r="P1553" s="39">
        <f>F1553&amp;E1553&amp;I1553&amp;J1553</f>
        <v/>
      </c>
    </row>
    <row r="1554">
      <c r="B1554" s="51" t="n">
        <v>44069</v>
      </c>
      <c r="C1554" s="39" t="inlineStr">
        <is>
          <t>수</t>
        </is>
      </c>
      <c r="E1554" s="39" t="inlineStr">
        <is>
          <t>고체향수</t>
        </is>
      </c>
      <c r="F1554" s="39" t="inlineStr">
        <is>
          <t>카페24</t>
        </is>
      </c>
      <c r="H1554" s="39" t="n">
        <v>3</v>
      </c>
      <c r="I1554" s="39" t="inlineStr">
        <is>
          <t>이그나이트 + 스테이포에버</t>
        </is>
      </c>
      <c r="J1554" s="20" t="n">
        <v>200720</v>
      </c>
      <c r="L1554" s="39">
        <f>VLOOKUP($P1554,매칭테이블!$G:$J,2,0)*H1554</f>
        <v/>
      </c>
      <c r="M1554" s="39">
        <f>L1554-L1554*VLOOKUP($P1554,매칭테이블!$G:$J,3,0)</f>
        <v/>
      </c>
      <c r="N1554" s="39">
        <f>VLOOKUP($P1554,매칭테이블!$G:$J,4,0)*H1554</f>
        <v/>
      </c>
      <c r="O1554" s="55">
        <f>L1554/1.1</f>
        <v/>
      </c>
      <c r="P1554" s="39">
        <f>F1554&amp;E1554&amp;I1554&amp;J1554</f>
        <v/>
      </c>
    </row>
    <row r="1555">
      <c r="B1555" s="51" t="n">
        <v>44069</v>
      </c>
      <c r="C1555" s="39" t="inlineStr">
        <is>
          <t>수</t>
        </is>
      </c>
      <c r="E1555" s="39" t="inlineStr">
        <is>
          <t>고체향수</t>
        </is>
      </c>
      <c r="F1555" s="39" t="inlineStr">
        <is>
          <t>카페24</t>
        </is>
      </c>
      <c r="H1555" s="39" t="n">
        <v>71</v>
      </c>
      <c r="I1555" s="39" t="inlineStr">
        <is>
          <t>스테이포에버</t>
        </is>
      </c>
      <c r="J1555" s="20" t="n">
        <v>200720</v>
      </c>
      <c r="L1555" s="39">
        <f>VLOOKUP($P1555,매칭테이블!$G:$J,2,0)*H1555</f>
        <v/>
      </c>
      <c r="M1555" s="39">
        <f>L1555-L1555*VLOOKUP($P1555,매칭테이블!$G:$J,3,0)</f>
        <v/>
      </c>
      <c r="N1555" s="39">
        <f>VLOOKUP($P1555,매칭테이블!$G:$J,4,0)*H1555</f>
        <v/>
      </c>
      <c r="O1555" s="55">
        <f>L1555/1.1</f>
        <v/>
      </c>
      <c r="P1555" s="39">
        <f>F1555&amp;E1555&amp;I1555&amp;J1555</f>
        <v/>
      </c>
    </row>
    <row r="1556">
      <c r="B1556" s="51" t="n">
        <v>44069</v>
      </c>
      <c r="C1556" s="39" t="inlineStr">
        <is>
          <t>수</t>
        </is>
      </c>
      <c r="E1556" s="39" t="inlineStr">
        <is>
          <t>고체향수</t>
        </is>
      </c>
      <c r="F1556" s="39" t="inlineStr">
        <is>
          <t>카페24</t>
        </is>
      </c>
      <c r="G1556" s="39" t="n"/>
      <c r="H1556" s="39" t="n">
        <v>13</v>
      </c>
      <c r="I1556" s="39" t="inlineStr">
        <is>
          <t>스테이포에버 2set</t>
        </is>
      </c>
      <c r="J1556" s="20" t="n">
        <v>200720</v>
      </c>
      <c r="L1556" s="39">
        <f>VLOOKUP($P1556,매칭테이블!$G:$J,2,0)*H1556</f>
        <v/>
      </c>
      <c r="M1556" s="39">
        <f>L1556-L1556*VLOOKUP($P1556,매칭테이블!$G:$J,3,0)</f>
        <v/>
      </c>
      <c r="N1556" s="39">
        <f>VLOOKUP($P1556,매칭테이블!$G:$J,4,0)*H1556</f>
        <v/>
      </c>
      <c r="O1556" s="55">
        <f>L1556/1.1</f>
        <v/>
      </c>
      <c r="P1556" s="39">
        <f>F1556&amp;E1556&amp;I1556&amp;J1556</f>
        <v/>
      </c>
    </row>
    <row r="1557">
      <c r="B1557" s="51" t="n">
        <v>44069</v>
      </c>
      <c r="C1557" s="39" t="inlineStr">
        <is>
          <t>수</t>
        </is>
      </c>
      <c r="E1557" s="39" t="inlineStr">
        <is>
          <t>고체향수</t>
        </is>
      </c>
      <c r="F1557" s="39" t="inlineStr">
        <is>
          <t>카페24</t>
        </is>
      </c>
      <c r="H1557" s="39" t="n">
        <v>2</v>
      </c>
      <c r="I1557" s="39" t="inlineStr">
        <is>
          <t>이그나이트</t>
        </is>
      </c>
      <c r="J1557" s="20" t="n">
        <v>200720</v>
      </c>
      <c r="L1557" s="39">
        <f>VLOOKUP($P1557,매칭테이블!$G:$J,2,0)*H1557</f>
        <v/>
      </c>
      <c r="M1557" s="39">
        <f>L1557-L1557*VLOOKUP($P1557,매칭테이블!$G:$J,3,0)</f>
        <v/>
      </c>
      <c r="N1557" s="39">
        <f>VLOOKUP($P1557,매칭테이블!$G:$J,4,0)*H1557</f>
        <v/>
      </c>
      <c r="O1557" s="55">
        <f>L1557/1.1</f>
        <v/>
      </c>
      <c r="P1557" s="39">
        <f>F1557&amp;E1557&amp;I1557&amp;J1557</f>
        <v/>
      </c>
    </row>
    <row r="1558">
      <c r="B1558" s="51" t="n">
        <v>44069</v>
      </c>
      <c r="C1558" s="39" t="inlineStr">
        <is>
          <t>수</t>
        </is>
      </c>
      <c r="E1558" s="39" t="inlineStr">
        <is>
          <t>쇼핑백</t>
        </is>
      </c>
      <c r="F1558" s="39" t="inlineStr">
        <is>
          <t>카페24</t>
        </is>
      </c>
      <c r="H1558" s="39" t="n">
        <v>1</v>
      </c>
      <c r="I1558" s="39" t="inlineStr">
        <is>
          <t>유즈쇼핑백</t>
        </is>
      </c>
      <c r="J1558" s="20" t="n">
        <v>200720</v>
      </c>
      <c r="L1558" s="39">
        <f>VLOOKUP($P1558,매칭테이블!$G:$J,2,0)*H1558</f>
        <v/>
      </c>
      <c r="M1558" s="39">
        <f>L1558-L1558*VLOOKUP($P1558,매칭테이블!$G:$J,3,0)</f>
        <v/>
      </c>
      <c r="N1558" s="39">
        <f>VLOOKUP($P1558,매칭테이블!$G:$J,4,0)*H1558</f>
        <v/>
      </c>
      <c r="O1558" s="55">
        <f>L1558/1.1</f>
        <v/>
      </c>
      <c r="P1558" s="39">
        <f>F1558&amp;E1558&amp;I1558&amp;J1558</f>
        <v/>
      </c>
    </row>
    <row r="1559">
      <c r="B1559" s="51" t="n">
        <v>44070</v>
      </c>
      <c r="C1559" s="39" t="inlineStr">
        <is>
          <t>목</t>
        </is>
      </c>
      <c r="E1559" s="39" t="inlineStr">
        <is>
          <t>고체향수</t>
        </is>
      </c>
      <c r="F1559" s="39" t="inlineStr">
        <is>
          <t>카페24</t>
        </is>
      </c>
      <c r="H1559" s="39" t="n">
        <v>75</v>
      </c>
      <c r="I1559" s="39" t="inlineStr">
        <is>
          <t>스테이포에버</t>
        </is>
      </c>
      <c r="J1559" s="20" t="n">
        <v>200720</v>
      </c>
      <c r="L1559" s="39">
        <f>VLOOKUP($P1559,매칭테이블!$G:$J,2,0)*H1559</f>
        <v/>
      </c>
      <c r="M1559" s="39">
        <f>L1559-L1559*VLOOKUP($P1559,매칭테이블!$G:$J,3,0)</f>
        <v/>
      </c>
      <c r="N1559" s="39">
        <f>VLOOKUP($P1559,매칭테이블!$G:$J,4,0)*H1559</f>
        <v/>
      </c>
      <c r="O1559" s="55">
        <f>L1559/1.1</f>
        <v/>
      </c>
      <c r="P1559" s="39">
        <f>F1559&amp;E1559&amp;I1559&amp;J1559</f>
        <v/>
      </c>
    </row>
    <row r="1560">
      <c r="B1560" s="51" t="n">
        <v>44070</v>
      </c>
      <c r="C1560" s="39" t="inlineStr">
        <is>
          <t>목</t>
        </is>
      </c>
      <c r="E1560" s="39" t="inlineStr">
        <is>
          <t>고체향수</t>
        </is>
      </c>
      <c r="F1560" s="39" t="inlineStr">
        <is>
          <t>카페24</t>
        </is>
      </c>
      <c r="G1560" s="39" t="n"/>
      <c r="H1560" s="39" t="n">
        <v>18</v>
      </c>
      <c r="I1560" s="39" t="inlineStr">
        <is>
          <t>스테이포에버 2set</t>
        </is>
      </c>
      <c r="J1560" s="20" t="n">
        <v>200720</v>
      </c>
      <c r="L1560" s="39">
        <f>VLOOKUP($P1560,매칭테이블!$G:$J,2,0)*H1560</f>
        <v/>
      </c>
      <c r="M1560" s="39">
        <f>L1560-L1560*VLOOKUP($P1560,매칭테이블!$G:$J,3,0)</f>
        <v/>
      </c>
      <c r="N1560" s="39">
        <f>VLOOKUP($P1560,매칭테이블!$G:$J,4,0)*H1560</f>
        <v/>
      </c>
      <c r="O1560" s="55">
        <f>L1560/1.1</f>
        <v/>
      </c>
      <c r="P1560" s="39">
        <f>F1560&amp;E1560&amp;I1560&amp;J1560</f>
        <v/>
      </c>
    </row>
    <row r="1561">
      <c r="B1561" s="51" t="n">
        <v>44070</v>
      </c>
      <c r="C1561" s="39" t="inlineStr">
        <is>
          <t>목</t>
        </is>
      </c>
      <c r="E1561" s="39" t="inlineStr">
        <is>
          <t>고체향수</t>
        </is>
      </c>
      <c r="F1561" s="39" t="inlineStr">
        <is>
          <t>카페24</t>
        </is>
      </c>
      <c r="H1561" s="39" t="n">
        <v>1</v>
      </c>
      <c r="I1561" s="39" t="inlineStr">
        <is>
          <t>이그나이트</t>
        </is>
      </c>
      <c r="J1561" s="20" t="n">
        <v>200720</v>
      </c>
      <c r="L1561" s="39">
        <f>VLOOKUP($P1561,매칭테이블!$G:$J,2,0)*H1561</f>
        <v/>
      </c>
      <c r="M1561" s="39">
        <f>L1561-L1561*VLOOKUP($P1561,매칭테이블!$G:$J,3,0)</f>
        <v/>
      </c>
      <c r="N1561" s="39">
        <f>VLOOKUP($P1561,매칭테이블!$G:$J,4,0)*H1561</f>
        <v/>
      </c>
      <c r="O1561" s="55">
        <f>L1561/1.1</f>
        <v/>
      </c>
      <c r="P1561" s="39">
        <f>F1561&amp;E1561&amp;I1561&amp;J1561</f>
        <v/>
      </c>
    </row>
    <row r="1562">
      <c r="B1562" s="51" t="n">
        <v>44070</v>
      </c>
      <c r="C1562" s="39" t="inlineStr">
        <is>
          <t>목</t>
        </is>
      </c>
      <c r="E1562" s="39" t="inlineStr">
        <is>
          <t>쇼핑백</t>
        </is>
      </c>
      <c r="F1562" s="39" t="inlineStr">
        <is>
          <t>카페24</t>
        </is>
      </c>
      <c r="H1562" s="39" t="n">
        <v>1</v>
      </c>
      <c r="I1562" s="39" t="inlineStr">
        <is>
          <t>유즈쇼핑백</t>
        </is>
      </c>
      <c r="J1562" s="20" t="n">
        <v>200720</v>
      </c>
      <c r="L1562" s="39">
        <f>VLOOKUP($P1562,매칭테이블!$G:$J,2,0)*H1562</f>
        <v/>
      </c>
      <c r="M1562" s="39">
        <f>L1562-L1562*VLOOKUP($P1562,매칭테이블!$G:$J,3,0)</f>
        <v/>
      </c>
      <c r="N1562" s="39">
        <f>VLOOKUP($P1562,매칭테이블!$G:$J,4,0)*H1562</f>
        <v/>
      </c>
      <c r="O1562" s="55">
        <f>L1562/1.1</f>
        <v/>
      </c>
      <c r="P1562" s="39">
        <f>F1562&amp;E1562&amp;I1562&amp;J1562</f>
        <v/>
      </c>
    </row>
    <row r="1563">
      <c r="B1563" s="51" t="n">
        <v>44071</v>
      </c>
      <c r="C1563" s="39" t="inlineStr">
        <is>
          <t>금</t>
        </is>
      </c>
      <c r="E1563" s="39" t="inlineStr">
        <is>
          <t>쇼핑백</t>
        </is>
      </c>
      <c r="F1563" s="39" t="inlineStr">
        <is>
          <t>유즈 CS</t>
        </is>
      </c>
      <c r="H1563" s="39" t="n">
        <v>50</v>
      </c>
      <c r="I1563" s="39" t="inlineStr">
        <is>
          <t>유즈쇼핑백</t>
        </is>
      </c>
      <c r="J1563" s="20" t="n">
        <v>200520</v>
      </c>
      <c r="L1563" s="39">
        <f>VLOOKUP($P1563,매칭테이블!$G:$J,2,0)*H1563</f>
        <v/>
      </c>
      <c r="M1563" s="39">
        <f>L1563-L1563*VLOOKUP($P1563,매칭테이블!$G:$J,3,0)</f>
        <v/>
      </c>
      <c r="N1563" s="39">
        <f>VLOOKUP($P1563,매칭테이블!$G:$J,4,0)*H1563</f>
        <v/>
      </c>
      <c r="O1563" s="55">
        <f>L1563/1.1</f>
        <v/>
      </c>
      <c r="P1563" s="39">
        <f>F1563&amp;E1563&amp;I1563&amp;J1563</f>
        <v/>
      </c>
    </row>
    <row r="1564">
      <c r="B1564" s="51" t="n">
        <v>44071</v>
      </c>
      <c r="C1564" s="39" t="inlineStr">
        <is>
          <t>금</t>
        </is>
      </c>
      <c r="E1564" s="39" t="inlineStr">
        <is>
          <t>고체향수</t>
        </is>
      </c>
      <c r="F1564" s="39" t="inlineStr">
        <is>
          <t>카페24</t>
        </is>
      </c>
      <c r="H1564" s="39" t="n">
        <v>1</v>
      </c>
      <c r="I1564" s="39" t="inlineStr">
        <is>
          <t>이그나이트 + 스테이포에버</t>
        </is>
      </c>
      <c r="J1564" s="20" t="n">
        <v>200720</v>
      </c>
      <c r="L1564" s="39">
        <f>VLOOKUP($P1564,매칭테이블!$G:$J,2,0)*H1564</f>
        <v/>
      </c>
      <c r="M1564" s="39">
        <f>L1564-L1564*VLOOKUP($P1564,매칭테이블!$G:$J,3,0)</f>
        <v/>
      </c>
      <c r="N1564" s="39">
        <f>VLOOKUP($P1564,매칭테이블!$G:$J,4,0)*H1564</f>
        <v/>
      </c>
      <c r="O1564" s="55">
        <f>L1564/1.1</f>
        <v/>
      </c>
      <c r="P1564" s="39">
        <f>F1564&amp;E1564&amp;I1564&amp;J1564</f>
        <v/>
      </c>
    </row>
    <row r="1565">
      <c r="B1565" s="51" t="n">
        <v>44071</v>
      </c>
      <c r="C1565" s="39" t="inlineStr">
        <is>
          <t>금</t>
        </is>
      </c>
      <c r="E1565" s="39" t="inlineStr">
        <is>
          <t>고체향수</t>
        </is>
      </c>
      <c r="F1565" s="39" t="inlineStr">
        <is>
          <t>카페24</t>
        </is>
      </c>
      <c r="H1565" s="39" t="n">
        <v>62</v>
      </c>
      <c r="I1565" s="39" t="inlineStr">
        <is>
          <t>스테이포에버</t>
        </is>
      </c>
      <c r="J1565" s="20" t="n">
        <v>200720</v>
      </c>
      <c r="L1565" s="39">
        <f>VLOOKUP($P1565,매칭테이블!$G:$J,2,0)*H1565</f>
        <v/>
      </c>
      <c r="M1565" s="39">
        <f>L1565-L1565*VLOOKUP($P1565,매칭테이블!$G:$J,3,0)</f>
        <v/>
      </c>
      <c r="N1565" s="39">
        <f>VLOOKUP($P1565,매칭테이블!$G:$J,4,0)*H1565</f>
        <v/>
      </c>
      <c r="O1565" s="55">
        <f>L1565/1.1</f>
        <v/>
      </c>
      <c r="P1565" s="39">
        <f>F1565&amp;E1565&amp;I1565&amp;J1565</f>
        <v/>
      </c>
    </row>
    <row r="1566">
      <c r="B1566" s="51" t="n">
        <v>44071</v>
      </c>
      <c r="C1566" s="39" t="inlineStr">
        <is>
          <t>금</t>
        </is>
      </c>
      <c r="E1566" s="39" t="inlineStr">
        <is>
          <t>고체향수</t>
        </is>
      </c>
      <c r="F1566" s="39" t="inlineStr">
        <is>
          <t>카페24</t>
        </is>
      </c>
      <c r="G1566" s="39" t="n"/>
      <c r="H1566" s="39" t="n">
        <v>16</v>
      </c>
      <c r="I1566" s="39" t="inlineStr">
        <is>
          <t>스테이포에버 2set</t>
        </is>
      </c>
      <c r="J1566" s="20" t="n">
        <v>200720</v>
      </c>
      <c r="L1566" s="39">
        <f>VLOOKUP($P1566,매칭테이블!$G:$J,2,0)*H1566</f>
        <v/>
      </c>
      <c r="M1566" s="39">
        <f>L1566-L1566*VLOOKUP($P1566,매칭테이블!$G:$J,3,0)</f>
        <v/>
      </c>
      <c r="N1566" s="39">
        <f>VLOOKUP($P1566,매칭테이블!$G:$J,4,0)*H1566</f>
        <v/>
      </c>
      <c r="O1566" s="55">
        <f>L1566/1.1</f>
        <v/>
      </c>
      <c r="P1566" s="39">
        <f>F1566&amp;E1566&amp;I1566&amp;J1566</f>
        <v/>
      </c>
    </row>
    <row r="1567">
      <c r="B1567" s="51" t="n">
        <v>44071</v>
      </c>
      <c r="C1567" s="39" t="inlineStr">
        <is>
          <t>금</t>
        </is>
      </c>
      <c r="E1567" s="39" t="inlineStr">
        <is>
          <t>고체향수</t>
        </is>
      </c>
      <c r="F1567" s="39" t="inlineStr">
        <is>
          <t>카페24</t>
        </is>
      </c>
      <c r="G1567" s="39" t="n"/>
      <c r="H1567" s="39" t="n">
        <v>1</v>
      </c>
      <c r="I1567" s="39" t="inlineStr">
        <is>
          <t>이그나이트 2set</t>
        </is>
      </c>
      <c r="J1567" s="20" t="n">
        <v>200720</v>
      </c>
      <c r="L1567" s="39">
        <f>VLOOKUP($P1567,매칭테이블!$G:$J,2,0)*H1567</f>
        <v/>
      </c>
      <c r="M1567" s="39">
        <f>L1567-L1567*VLOOKUP($P1567,매칭테이블!$G:$J,3,0)</f>
        <v/>
      </c>
      <c r="N1567" s="39">
        <f>VLOOKUP($P1567,매칭테이블!$G:$J,4,0)*H1567</f>
        <v/>
      </c>
      <c r="O1567" s="55">
        <f>L1567/1.1</f>
        <v/>
      </c>
      <c r="P1567" s="39">
        <f>F1567&amp;E1567&amp;I1567&amp;J1567</f>
        <v/>
      </c>
    </row>
    <row r="1568">
      <c r="B1568" s="51" t="n">
        <v>44072</v>
      </c>
      <c r="C1568" s="39" t="inlineStr">
        <is>
          <t>토</t>
        </is>
      </c>
      <c r="E1568" s="39" t="inlineStr">
        <is>
          <t>고체향수</t>
        </is>
      </c>
      <c r="F1568" s="39" t="inlineStr">
        <is>
          <t>카페24</t>
        </is>
      </c>
      <c r="H1568" s="39" t="n">
        <v>1</v>
      </c>
      <c r="I1568" s="39" t="inlineStr">
        <is>
          <t>이그나이트 + 스테이포에버</t>
        </is>
      </c>
      <c r="J1568" s="20" t="n">
        <v>200720</v>
      </c>
      <c r="L1568" s="39">
        <f>VLOOKUP($P1568,매칭테이블!$G:$J,2,0)*H1568</f>
        <v/>
      </c>
      <c r="M1568" s="39">
        <f>L1568-L1568*VLOOKUP($P1568,매칭테이블!$G:$J,3,0)</f>
        <v/>
      </c>
      <c r="N1568" s="39">
        <f>VLOOKUP($P1568,매칭테이블!$G:$J,4,0)*H1568</f>
        <v/>
      </c>
      <c r="O1568" s="55">
        <f>L1568/1.1</f>
        <v/>
      </c>
      <c r="P1568" s="39">
        <f>F1568&amp;E1568&amp;I1568&amp;J1568</f>
        <v/>
      </c>
    </row>
    <row r="1569">
      <c r="B1569" s="51" t="n">
        <v>44072</v>
      </c>
      <c r="C1569" s="39" t="inlineStr">
        <is>
          <t>토</t>
        </is>
      </c>
      <c r="E1569" s="39" t="inlineStr">
        <is>
          <t>고체향수</t>
        </is>
      </c>
      <c r="F1569" s="39" t="inlineStr">
        <is>
          <t>카페24</t>
        </is>
      </c>
      <c r="H1569" s="39" t="n">
        <v>68</v>
      </c>
      <c r="I1569" s="39" t="inlineStr">
        <is>
          <t>스테이포에버</t>
        </is>
      </c>
      <c r="J1569" s="20" t="n">
        <v>200720</v>
      </c>
      <c r="L1569" s="39">
        <f>VLOOKUP($P1569,매칭테이블!$G:$J,2,0)*H1569</f>
        <v/>
      </c>
      <c r="M1569" s="39">
        <f>L1569-L1569*VLOOKUP($P1569,매칭테이블!$G:$J,3,0)</f>
        <v/>
      </c>
      <c r="N1569" s="39">
        <f>VLOOKUP($P1569,매칭테이블!$G:$J,4,0)*H1569</f>
        <v/>
      </c>
      <c r="O1569" s="55">
        <f>L1569/1.1</f>
        <v/>
      </c>
      <c r="P1569" s="39">
        <f>F1569&amp;E1569&amp;I1569&amp;J1569</f>
        <v/>
      </c>
    </row>
    <row r="1570">
      <c r="B1570" s="51" t="n">
        <v>44072</v>
      </c>
      <c r="C1570" s="39" t="inlineStr">
        <is>
          <t>토</t>
        </is>
      </c>
      <c r="E1570" s="39" t="inlineStr">
        <is>
          <t>고체향수</t>
        </is>
      </c>
      <c r="F1570" s="39" t="inlineStr">
        <is>
          <t>카페24</t>
        </is>
      </c>
      <c r="G1570" s="39" t="n"/>
      <c r="H1570" s="39" t="n">
        <v>11</v>
      </c>
      <c r="I1570" s="39" t="inlineStr">
        <is>
          <t>스테이포에버 2set</t>
        </is>
      </c>
      <c r="J1570" s="20" t="n">
        <v>200720</v>
      </c>
      <c r="L1570" s="39">
        <f>VLOOKUP($P1570,매칭테이블!$G:$J,2,0)*H1570</f>
        <v/>
      </c>
      <c r="M1570" s="39">
        <f>L1570-L1570*VLOOKUP($P1570,매칭테이블!$G:$J,3,0)</f>
        <v/>
      </c>
      <c r="N1570" s="39">
        <f>VLOOKUP($P1570,매칭테이블!$G:$J,4,0)*H1570</f>
        <v/>
      </c>
      <c r="O1570" s="55">
        <f>L1570/1.1</f>
        <v/>
      </c>
      <c r="P1570" s="39">
        <f>F1570&amp;E1570&amp;I1570&amp;J1570</f>
        <v/>
      </c>
    </row>
    <row r="1571">
      <c r="B1571" s="51" t="n">
        <v>44072</v>
      </c>
      <c r="C1571" s="39" t="inlineStr">
        <is>
          <t>토</t>
        </is>
      </c>
      <c r="E1571" s="39" t="inlineStr">
        <is>
          <t>쇼핑백</t>
        </is>
      </c>
      <c r="F1571" s="39" t="inlineStr">
        <is>
          <t>카페24</t>
        </is>
      </c>
      <c r="H1571" s="39" t="n">
        <v>1</v>
      </c>
      <c r="I1571" s="39" t="inlineStr">
        <is>
          <t>유즈쇼핑백</t>
        </is>
      </c>
      <c r="J1571" s="20" t="n">
        <v>200720</v>
      </c>
      <c r="L1571" s="39">
        <f>VLOOKUP($P1571,매칭테이블!$G:$J,2,0)*H1571</f>
        <v/>
      </c>
      <c r="M1571" s="39">
        <f>L1571-L1571*VLOOKUP($P1571,매칭테이블!$G:$J,3,0)</f>
        <v/>
      </c>
      <c r="N1571" s="39">
        <f>VLOOKUP($P1571,매칭테이블!$G:$J,4,0)*H1571</f>
        <v/>
      </c>
      <c r="O1571" s="55">
        <f>L1571/1.1</f>
        <v/>
      </c>
      <c r="P1571" s="39">
        <f>F1571&amp;E1571&amp;I1571&amp;J1571</f>
        <v/>
      </c>
    </row>
    <row r="1572">
      <c r="B1572" s="51" t="n">
        <v>44073</v>
      </c>
      <c r="C1572" s="39" t="inlineStr">
        <is>
          <t>일</t>
        </is>
      </c>
      <c r="E1572" s="39" t="inlineStr">
        <is>
          <t>고체향수</t>
        </is>
      </c>
      <c r="F1572" s="39" t="inlineStr">
        <is>
          <t>카페24</t>
        </is>
      </c>
      <c r="H1572" s="39" t="n">
        <v>4</v>
      </c>
      <c r="I1572" s="39" t="inlineStr">
        <is>
          <t>이그나이트 + 스테이포에버</t>
        </is>
      </c>
      <c r="J1572" s="20" t="n">
        <v>200720</v>
      </c>
      <c r="L1572" s="39">
        <f>VLOOKUP($P1572,매칭테이블!$G:$J,2,0)*H1572</f>
        <v/>
      </c>
      <c r="M1572" s="39">
        <f>L1572-L1572*VLOOKUP($P1572,매칭테이블!$G:$J,3,0)</f>
        <v/>
      </c>
      <c r="N1572" s="39">
        <f>VLOOKUP($P1572,매칭테이블!$G:$J,4,0)*H1572</f>
        <v/>
      </c>
      <c r="O1572" s="55">
        <f>L1572/1.1</f>
        <v/>
      </c>
      <c r="P1572" s="39">
        <f>F1572&amp;E1572&amp;I1572&amp;J1572</f>
        <v/>
      </c>
    </row>
    <row r="1573">
      <c r="B1573" s="51" t="n">
        <v>44073</v>
      </c>
      <c r="C1573" s="39" t="inlineStr">
        <is>
          <t>일</t>
        </is>
      </c>
      <c r="E1573" s="39" t="inlineStr">
        <is>
          <t>고체향수</t>
        </is>
      </c>
      <c r="F1573" s="39" t="inlineStr">
        <is>
          <t>카페24</t>
        </is>
      </c>
      <c r="H1573" s="39" t="n">
        <v>74</v>
      </c>
      <c r="I1573" s="39" t="inlineStr">
        <is>
          <t>스테이포에버</t>
        </is>
      </c>
      <c r="J1573" s="20" t="n">
        <v>200720</v>
      </c>
      <c r="L1573" s="39">
        <f>VLOOKUP($P1573,매칭테이블!$G:$J,2,0)*H1573</f>
        <v/>
      </c>
      <c r="M1573" s="39">
        <f>L1573-L1573*VLOOKUP($P1573,매칭테이블!$G:$J,3,0)</f>
        <v/>
      </c>
      <c r="N1573" s="39">
        <f>VLOOKUP($P1573,매칭테이블!$G:$J,4,0)*H1573</f>
        <v/>
      </c>
      <c r="O1573" s="55">
        <f>L1573/1.1</f>
        <v/>
      </c>
      <c r="P1573" s="39">
        <f>F1573&amp;E1573&amp;I1573&amp;J1573</f>
        <v/>
      </c>
    </row>
    <row r="1574">
      <c r="B1574" s="51" t="n">
        <v>44073</v>
      </c>
      <c r="C1574" s="39" t="inlineStr">
        <is>
          <t>일</t>
        </is>
      </c>
      <c r="E1574" s="39" t="inlineStr">
        <is>
          <t>고체향수</t>
        </is>
      </c>
      <c r="F1574" s="39" t="inlineStr">
        <is>
          <t>카페24</t>
        </is>
      </c>
      <c r="G1574" s="39" t="n"/>
      <c r="H1574" s="39" t="n">
        <v>15</v>
      </c>
      <c r="I1574" s="39" t="inlineStr">
        <is>
          <t>스테이포에버 2set</t>
        </is>
      </c>
      <c r="J1574" s="20" t="n">
        <v>200720</v>
      </c>
      <c r="L1574" s="39">
        <f>VLOOKUP($P1574,매칭테이블!$G:$J,2,0)*H1574</f>
        <v/>
      </c>
      <c r="M1574" s="39">
        <f>L1574-L1574*VLOOKUP($P1574,매칭테이블!$G:$J,3,0)</f>
        <v/>
      </c>
      <c r="N1574" s="39">
        <f>VLOOKUP($P1574,매칭테이블!$G:$J,4,0)*H1574</f>
        <v/>
      </c>
      <c r="O1574" s="55">
        <f>L1574/1.1</f>
        <v/>
      </c>
      <c r="P1574" s="39">
        <f>F1574&amp;E1574&amp;I1574&amp;J1574</f>
        <v/>
      </c>
    </row>
    <row r="1575">
      <c r="B1575" s="51" t="n">
        <v>44073</v>
      </c>
      <c r="C1575" s="39" t="inlineStr">
        <is>
          <t>일</t>
        </is>
      </c>
      <c r="E1575" s="39" t="inlineStr">
        <is>
          <t>고체향수</t>
        </is>
      </c>
      <c r="F1575" s="39" t="inlineStr">
        <is>
          <t>카페24</t>
        </is>
      </c>
      <c r="H1575" s="39" t="n">
        <v>2</v>
      </c>
      <c r="I1575" s="39" t="inlineStr">
        <is>
          <t>이그나이트</t>
        </is>
      </c>
      <c r="J1575" s="20" t="n">
        <v>200720</v>
      </c>
      <c r="L1575" s="39">
        <f>VLOOKUP($P1575,매칭테이블!$G:$J,2,0)*H1575</f>
        <v/>
      </c>
      <c r="M1575" s="39">
        <f>L1575-L1575*VLOOKUP($P1575,매칭테이블!$G:$J,3,0)</f>
        <v/>
      </c>
      <c r="N1575" s="39">
        <f>VLOOKUP($P1575,매칭테이블!$G:$J,4,0)*H1575</f>
        <v/>
      </c>
      <c r="O1575" s="55">
        <f>L1575/1.1</f>
        <v/>
      </c>
      <c r="P1575" s="39">
        <f>F1575&amp;E1575&amp;I1575&amp;J1575</f>
        <v/>
      </c>
    </row>
    <row r="1576">
      <c r="B1576" s="51" t="n">
        <v>44073</v>
      </c>
      <c r="C1576" s="39" t="inlineStr">
        <is>
          <t>일</t>
        </is>
      </c>
      <c r="E1576" s="39" t="inlineStr">
        <is>
          <t>고체향수</t>
        </is>
      </c>
      <c r="F1576" s="39" t="inlineStr">
        <is>
          <t>카페24</t>
        </is>
      </c>
      <c r="G1576" s="39" t="n"/>
      <c r="H1576" s="39" t="n">
        <v>1</v>
      </c>
      <c r="I1576" s="39" t="inlineStr">
        <is>
          <t>이그나이트 2set</t>
        </is>
      </c>
      <c r="J1576" s="20" t="n">
        <v>200720</v>
      </c>
      <c r="L1576" s="39">
        <f>VLOOKUP($P1576,매칭테이블!$G:$J,2,0)*H1576</f>
        <v/>
      </c>
      <c r="M1576" s="39">
        <f>L1576-L1576*VLOOKUP($P1576,매칭테이블!$G:$J,3,0)</f>
        <v/>
      </c>
      <c r="N1576" s="39">
        <f>VLOOKUP($P1576,매칭테이블!$G:$J,4,0)*H1576</f>
        <v/>
      </c>
      <c r="O1576" s="55">
        <f>L1576/1.1</f>
        <v/>
      </c>
      <c r="P1576" s="39">
        <f>F1576&amp;E1576&amp;I1576&amp;J1576</f>
        <v/>
      </c>
    </row>
    <row r="1577">
      <c r="B1577" s="51" t="n">
        <v>44073</v>
      </c>
      <c r="C1577" s="39" t="inlineStr">
        <is>
          <t>일</t>
        </is>
      </c>
      <c r="E1577" s="39" t="inlineStr">
        <is>
          <t>쇼핑백</t>
        </is>
      </c>
      <c r="F1577" s="39" t="inlineStr">
        <is>
          <t>카페24</t>
        </is>
      </c>
      <c r="H1577" s="39" t="n">
        <v>2</v>
      </c>
      <c r="I1577" s="39" t="inlineStr">
        <is>
          <t>유즈쇼핑백</t>
        </is>
      </c>
      <c r="J1577" s="20" t="n">
        <v>200720</v>
      </c>
      <c r="L1577" s="39">
        <f>VLOOKUP($P1577,매칭테이블!$G:$J,2,0)*H1577</f>
        <v/>
      </c>
      <c r="M1577" s="39">
        <f>L1577-L1577*VLOOKUP($P1577,매칭테이블!$G:$J,3,0)</f>
        <v/>
      </c>
      <c r="N1577" s="39">
        <f>VLOOKUP($P1577,매칭테이블!$G:$J,4,0)*H1577</f>
        <v/>
      </c>
      <c r="O1577" s="55">
        <f>L1577/1.1</f>
        <v/>
      </c>
      <c r="P1577" s="39">
        <f>F1577&amp;E1577&amp;I1577&amp;J1577</f>
        <v/>
      </c>
    </row>
    <row r="1578">
      <c r="B1578" s="51" t="n">
        <v>44074</v>
      </c>
      <c r="C1578" s="39" t="inlineStr">
        <is>
          <t>월</t>
        </is>
      </c>
      <c r="E1578" s="39" t="inlineStr">
        <is>
          <t>고체향수</t>
        </is>
      </c>
      <c r="F1578" s="39" t="inlineStr">
        <is>
          <t>카페24</t>
        </is>
      </c>
      <c r="H1578" s="39" t="n">
        <v>2</v>
      </c>
      <c r="I1578" s="39" t="inlineStr">
        <is>
          <t>이그나이트 + 스테이포에버</t>
        </is>
      </c>
      <c r="J1578" s="20" t="n">
        <v>200720</v>
      </c>
      <c r="L1578" s="39">
        <f>VLOOKUP($P1578,매칭테이블!$G:$J,2,0)*H1578</f>
        <v/>
      </c>
      <c r="M1578" s="39">
        <f>L1578-L1578*VLOOKUP($P1578,매칭테이블!$G:$J,3,0)</f>
        <v/>
      </c>
      <c r="N1578" s="39">
        <f>VLOOKUP($P1578,매칭테이블!$G:$J,4,0)*H1578</f>
        <v/>
      </c>
      <c r="O1578" s="55">
        <f>L1578/1.1</f>
        <v/>
      </c>
      <c r="P1578" s="39">
        <f>F1578&amp;E1578&amp;I1578&amp;J1578</f>
        <v/>
      </c>
    </row>
    <row r="1579">
      <c r="B1579" s="51" t="n">
        <v>44074</v>
      </c>
      <c r="C1579" s="39" t="inlineStr">
        <is>
          <t>월</t>
        </is>
      </c>
      <c r="E1579" s="39" t="inlineStr">
        <is>
          <t>고체향수</t>
        </is>
      </c>
      <c r="F1579" s="39" t="inlineStr">
        <is>
          <t>카페24</t>
        </is>
      </c>
      <c r="H1579" s="39" t="n">
        <v>83</v>
      </c>
      <c r="I1579" s="39" t="inlineStr">
        <is>
          <t>스테이포에버</t>
        </is>
      </c>
      <c r="J1579" s="20" t="n">
        <v>200720</v>
      </c>
      <c r="L1579" s="39">
        <f>VLOOKUP($P1579,매칭테이블!$G:$J,2,0)*H1579</f>
        <v/>
      </c>
      <c r="M1579" s="39">
        <f>L1579-L1579*VLOOKUP($P1579,매칭테이블!$G:$J,3,0)</f>
        <v/>
      </c>
      <c r="N1579" s="39">
        <f>VLOOKUP($P1579,매칭테이블!$G:$J,4,0)*H1579</f>
        <v/>
      </c>
      <c r="O1579" s="55">
        <f>L1579/1.1</f>
        <v/>
      </c>
      <c r="P1579" s="39">
        <f>F1579&amp;E1579&amp;I1579&amp;J1579</f>
        <v/>
      </c>
    </row>
    <row r="1580">
      <c r="B1580" s="51" t="n">
        <v>44074</v>
      </c>
      <c r="C1580" s="39" t="inlineStr">
        <is>
          <t>월</t>
        </is>
      </c>
      <c r="E1580" s="39" t="inlineStr">
        <is>
          <t>고체향수</t>
        </is>
      </c>
      <c r="F1580" s="39" t="inlineStr">
        <is>
          <t>카페24</t>
        </is>
      </c>
      <c r="G1580" s="39" t="n"/>
      <c r="H1580" s="39" t="n">
        <v>10</v>
      </c>
      <c r="I1580" s="39" t="inlineStr">
        <is>
          <t>스테이포에버 2set</t>
        </is>
      </c>
      <c r="J1580" s="20" t="n">
        <v>200720</v>
      </c>
      <c r="L1580" s="39">
        <f>VLOOKUP($P1580,매칭테이블!$G:$J,2,0)*H1580</f>
        <v/>
      </c>
      <c r="M1580" s="39">
        <f>L1580-L1580*VLOOKUP($P1580,매칭테이블!$G:$J,3,0)</f>
        <v/>
      </c>
      <c r="N1580" s="39">
        <f>VLOOKUP($P1580,매칭테이블!$G:$J,4,0)*H1580</f>
        <v/>
      </c>
      <c r="O1580" s="55">
        <f>L1580/1.1</f>
        <v/>
      </c>
      <c r="P1580" s="39">
        <f>F1580&amp;E1580&amp;I1580&amp;J1580</f>
        <v/>
      </c>
    </row>
    <row r="1581">
      <c r="B1581" s="51" t="n">
        <v>44074</v>
      </c>
      <c r="C1581" s="39" t="inlineStr">
        <is>
          <t>월</t>
        </is>
      </c>
      <c r="E1581" s="39" t="inlineStr">
        <is>
          <t>고체향수</t>
        </is>
      </c>
      <c r="F1581" s="39" t="inlineStr">
        <is>
          <t>카페24</t>
        </is>
      </c>
      <c r="H1581" s="39" t="n">
        <v>1</v>
      </c>
      <c r="I1581" s="39" t="inlineStr">
        <is>
          <t>이그나이트</t>
        </is>
      </c>
      <c r="J1581" s="20" t="n">
        <v>200720</v>
      </c>
      <c r="L1581" s="39">
        <f>VLOOKUP($P1581,매칭테이블!$G:$J,2,0)*H1581</f>
        <v/>
      </c>
      <c r="M1581" s="39">
        <f>L1581-L1581*VLOOKUP($P1581,매칭테이블!$G:$J,3,0)</f>
        <v/>
      </c>
      <c r="N1581" s="39">
        <f>VLOOKUP($P1581,매칭테이블!$G:$J,4,0)*H1581</f>
        <v/>
      </c>
      <c r="O1581" s="55">
        <f>L1581/1.1</f>
        <v/>
      </c>
      <c r="P1581" s="39">
        <f>F1581&amp;E1581&amp;I1581&amp;J1581</f>
        <v/>
      </c>
    </row>
    <row r="1582">
      <c r="B1582" s="51" t="n">
        <v>44074</v>
      </c>
      <c r="C1582" s="39" t="inlineStr">
        <is>
          <t>월</t>
        </is>
      </c>
      <c r="E1582" s="39" t="inlineStr">
        <is>
          <t>고체향수</t>
        </is>
      </c>
      <c r="F1582" s="39" t="inlineStr">
        <is>
          <t>카페24</t>
        </is>
      </c>
      <c r="G1582" s="39" t="n"/>
      <c r="H1582" s="39" t="n">
        <v>1</v>
      </c>
      <c r="I1582" s="39" t="inlineStr">
        <is>
          <t>이그나이트 2set</t>
        </is>
      </c>
      <c r="J1582" s="20" t="n">
        <v>200720</v>
      </c>
      <c r="L1582" s="39">
        <f>VLOOKUP($P1582,매칭테이블!$G:$J,2,0)*H1582</f>
        <v/>
      </c>
      <c r="M1582" s="39">
        <f>L1582-L1582*VLOOKUP($P1582,매칭테이블!$G:$J,3,0)</f>
        <v/>
      </c>
      <c r="N1582" s="39">
        <f>VLOOKUP($P1582,매칭테이블!$G:$J,4,0)*H1582</f>
        <v/>
      </c>
      <c r="O1582" s="55">
        <f>L1582/1.1</f>
        <v/>
      </c>
      <c r="P1582" s="39">
        <f>F1582&amp;E1582&amp;I1582&amp;J1582</f>
        <v/>
      </c>
    </row>
    <row r="1583">
      <c r="B1583" s="51" t="n">
        <v>44074</v>
      </c>
      <c r="C1583" s="39" t="inlineStr">
        <is>
          <t>월</t>
        </is>
      </c>
      <c r="E1583" s="39" t="inlineStr">
        <is>
          <t>쇼핑백</t>
        </is>
      </c>
      <c r="F1583" s="39" t="inlineStr">
        <is>
          <t>카페24</t>
        </is>
      </c>
      <c r="H1583" s="39" t="n">
        <v>1</v>
      </c>
      <c r="I1583" s="39" t="inlineStr">
        <is>
          <t>유즈쇼핑백</t>
        </is>
      </c>
      <c r="J1583" s="20" t="n">
        <v>200720</v>
      </c>
      <c r="L1583" s="39">
        <f>VLOOKUP($P1583,매칭테이블!$G:$J,2,0)*H1583</f>
        <v/>
      </c>
      <c r="M1583" s="39">
        <f>L1583-L1583*VLOOKUP($P1583,매칭테이블!$G:$J,3,0)</f>
        <v/>
      </c>
      <c r="N1583" s="39">
        <f>VLOOKUP($P1583,매칭테이블!$G:$J,4,0)*H1583</f>
        <v/>
      </c>
      <c r="O1583" s="55">
        <f>L1583/1.1</f>
        <v/>
      </c>
      <c r="P1583" s="39">
        <f>F1583&amp;E1583&amp;I1583&amp;J1583</f>
        <v/>
      </c>
    </row>
    <row r="1584">
      <c r="B1584" s="51" t="n">
        <v>44075</v>
      </c>
      <c r="C1584" s="39" t="inlineStr">
        <is>
          <t>화</t>
        </is>
      </c>
      <c r="E1584" s="39" t="inlineStr">
        <is>
          <t>고체향수</t>
        </is>
      </c>
      <c r="F1584" s="39" t="inlineStr">
        <is>
          <t>카페24</t>
        </is>
      </c>
      <c r="H1584" s="39" t="n">
        <v>1</v>
      </c>
      <c r="I1584" s="39" t="inlineStr">
        <is>
          <t>이그나이트 + 스테이포에버</t>
        </is>
      </c>
      <c r="J1584" s="20" t="n">
        <v>200720</v>
      </c>
      <c r="L1584" s="39">
        <f>VLOOKUP($P1584,매칭테이블!$G:$J,2,0)*H1584</f>
        <v/>
      </c>
      <c r="M1584" s="39">
        <f>L1584-L1584*VLOOKUP($P1584,매칭테이블!$G:$J,3,0)</f>
        <v/>
      </c>
      <c r="N1584" s="39">
        <f>VLOOKUP($P1584,매칭테이블!$G:$J,4,0)*H1584</f>
        <v/>
      </c>
      <c r="O1584" s="55">
        <f>L1584/1.1</f>
        <v/>
      </c>
      <c r="P1584" s="39">
        <f>F1584&amp;E1584&amp;I1584&amp;J1584</f>
        <v/>
      </c>
    </row>
    <row r="1585">
      <c r="B1585" s="51" t="n">
        <v>44075</v>
      </c>
      <c r="C1585" s="39" t="inlineStr">
        <is>
          <t>화</t>
        </is>
      </c>
      <c r="E1585" s="39" t="inlineStr">
        <is>
          <t>고체향수</t>
        </is>
      </c>
      <c r="F1585" s="39" t="inlineStr">
        <is>
          <t>카페24</t>
        </is>
      </c>
      <c r="H1585" s="39" t="n">
        <v>85</v>
      </c>
      <c r="I1585" s="39" t="inlineStr">
        <is>
          <t>스테이포에버</t>
        </is>
      </c>
      <c r="J1585" s="20" t="n">
        <v>200720</v>
      </c>
      <c r="L1585" s="39">
        <f>VLOOKUP($P1585,매칭테이블!$G:$J,2,0)*H1585</f>
        <v/>
      </c>
      <c r="M1585" s="39">
        <f>L1585-L1585*VLOOKUP($P1585,매칭테이블!$G:$J,3,0)</f>
        <v/>
      </c>
      <c r="N1585" s="39">
        <f>VLOOKUP($P1585,매칭테이블!$G:$J,4,0)*H1585</f>
        <v/>
      </c>
      <c r="O1585" s="55">
        <f>L1585/1.1</f>
        <v/>
      </c>
      <c r="P1585" s="39">
        <f>F1585&amp;E1585&amp;I1585&amp;J1585</f>
        <v/>
      </c>
    </row>
    <row r="1586">
      <c r="B1586" s="51" t="n">
        <v>44075</v>
      </c>
      <c r="C1586" s="39" t="inlineStr">
        <is>
          <t>화</t>
        </is>
      </c>
      <c r="E1586" s="39" t="inlineStr">
        <is>
          <t>고체향수</t>
        </is>
      </c>
      <c r="F1586" s="39" t="inlineStr">
        <is>
          <t>카페24</t>
        </is>
      </c>
      <c r="G1586" s="39" t="n"/>
      <c r="H1586" s="39" t="n">
        <v>17</v>
      </c>
      <c r="I1586" s="39" t="inlineStr">
        <is>
          <t>스테이포에버 2set</t>
        </is>
      </c>
      <c r="J1586" s="20" t="n">
        <v>200720</v>
      </c>
      <c r="L1586" s="39">
        <f>VLOOKUP($P1586,매칭테이블!$G:$J,2,0)*H1586</f>
        <v/>
      </c>
      <c r="M1586" s="39">
        <f>L1586-L1586*VLOOKUP($P1586,매칭테이블!$G:$J,3,0)</f>
        <v/>
      </c>
      <c r="N1586" s="39">
        <f>VLOOKUP($P1586,매칭테이블!$G:$J,4,0)*H1586</f>
        <v/>
      </c>
      <c r="O1586" s="55">
        <f>L1586/1.1</f>
        <v/>
      </c>
      <c r="P1586" s="39">
        <f>F1586&amp;E1586&amp;I1586&amp;J1586</f>
        <v/>
      </c>
    </row>
    <row r="1587">
      <c r="B1587" s="51" t="n">
        <v>44075</v>
      </c>
      <c r="C1587" s="39" t="inlineStr">
        <is>
          <t>화</t>
        </is>
      </c>
      <c r="E1587" s="39" t="inlineStr">
        <is>
          <t>고체향수</t>
        </is>
      </c>
      <c r="F1587" s="39" t="inlineStr">
        <is>
          <t>카페24</t>
        </is>
      </c>
      <c r="H1587" s="39" t="n">
        <v>5</v>
      </c>
      <c r="I1587" s="39" t="inlineStr">
        <is>
          <t>이그나이트</t>
        </is>
      </c>
      <c r="J1587" s="20" t="n">
        <v>200720</v>
      </c>
      <c r="L1587" s="39">
        <f>VLOOKUP($P1587,매칭테이블!$G:$J,2,0)*H1587</f>
        <v/>
      </c>
      <c r="M1587" s="39">
        <f>L1587-L1587*VLOOKUP($P1587,매칭테이블!$G:$J,3,0)</f>
        <v/>
      </c>
      <c r="N1587" s="39">
        <f>VLOOKUP($P1587,매칭테이블!$G:$J,4,0)*H1587</f>
        <v/>
      </c>
      <c r="O1587" s="55">
        <f>L1587/1.1</f>
        <v/>
      </c>
      <c r="P1587" s="39">
        <f>F1587&amp;E1587&amp;I1587&amp;J1587</f>
        <v/>
      </c>
    </row>
    <row r="1588">
      <c r="B1588" s="51" t="n">
        <v>44075</v>
      </c>
      <c r="C1588" s="39" t="inlineStr">
        <is>
          <t>화</t>
        </is>
      </c>
      <c r="E1588" s="39" t="inlineStr">
        <is>
          <t>고체향수</t>
        </is>
      </c>
      <c r="F1588" s="39" t="inlineStr">
        <is>
          <t>카페24</t>
        </is>
      </c>
      <c r="G1588" s="39" t="n"/>
      <c r="H1588" s="39" t="n">
        <v>1</v>
      </c>
      <c r="I1588" s="39" t="inlineStr">
        <is>
          <t>이그나이트 2set</t>
        </is>
      </c>
      <c r="J1588" s="20" t="n">
        <v>200720</v>
      </c>
      <c r="L1588" s="39">
        <f>VLOOKUP($P1588,매칭테이블!$G:$J,2,0)*H1588</f>
        <v/>
      </c>
      <c r="M1588" s="39">
        <f>L1588-L1588*VLOOKUP($P1588,매칭테이블!$G:$J,3,0)</f>
        <v/>
      </c>
      <c r="N1588" s="39">
        <f>VLOOKUP($P1588,매칭테이블!$G:$J,4,0)*H1588</f>
        <v/>
      </c>
      <c r="O1588" s="55">
        <f>L1588/1.1</f>
        <v/>
      </c>
      <c r="P1588" s="39">
        <f>F1588&amp;E1588&amp;I1588&amp;J1588</f>
        <v/>
      </c>
    </row>
    <row r="1589">
      <c r="B1589" s="51" t="n">
        <v>44075</v>
      </c>
      <c r="C1589" s="39" t="inlineStr">
        <is>
          <t>화</t>
        </is>
      </c>
      <c r="E1589" s="39" t="inlineStr">
        <is>
          <t>쇼핑백</t>
        </is>
      </c>
      <c r="F1589" s="39" t="inlineStr">
        <is>
          <t>카페24</t>
        </is>
      </c>
      <c r="H1589" s="39" t="n">
        <v>2</v>
      </c>
      <c r="I1589" s="39" t="inlineStr">
        <is>
          <t>유즈쇼핑백</t>
        </is>
      </c>
      <c r="J1589" s="20" t="n">
        <v>200720</v>
      </c>
      <c r="L1589" s="39">
        <f>VLOOKUP($P1589,매칭테이블!$G:$J,2,0)*H1589</f>
        <v/>
      </c>
      <c r="M1589" s="39">
        <f>L1589-L1589*VLOOKUP($P1589,매칭테이블!$G:$J,3,0)</f>
        <v/>
      </c>
      <c r="N1589" s="39">
        <f>VLOOKUP($P1589,매칭테이블!$G:$J,4,0)*H1589</f>
        <v/>
      </c>
      <c r="O1589" s="55">
        <f>L1589/1.1</f>
        <v/>
      </c>
      <c r="P1589" s="39">
        <f>F1589&amp;E1589&amp;I1589&amp;J1589</f>
        <v/>
      </c>
    </row>
    <row r="1590">
      <c r="B1590" s="51" t="n">
        <v>44076</v>
      </c>
      <c r="C1590" s="39" t="inlineStr">
        <is>
          <t>수</t>
        </is>
      </c>
      <c r="E1590" s="39" t="inlineStr">
        <is>
          <t>고체향수</t>
        </is>
      </c>
      <c r="F1590" s="39" t="inlineStr">
        <is>
          <t>카페24</t>
        </is>
      </c>
      <c r="H1590" s="39" t="n">
        <v>3</v>
      </c>
      <c r="I1590" s="39" t="inlineStr">
        <is>
          <t>이그나이트 + 스테이포에버</t>
        </is>
      </c>
      <c r="J1590" s="20" t="n">
        <v>200720</v>
      </c>
      <c r="L1590" s="39">
        <f>VLOOKUP($P1590,매칭테이블!$G:$J,2,0)*H1590</f>
        <v/>
      </c>
      <c r="M1590" s="39">
        <f>L1590-L1590*VLOOKUP($P1590,매칭테이블!$G:$J,3,0)</f>
        <v/>
      </c>
      <c r="N1590" s="39">
        <f>VLOOKUP($P1590,매칭테이블!$G:$J,4,0)*H1590</f>
        <v/>
      </c>
      <c r="O1590" s="55">
        <f>L1590/1.1</f>
        <v/>
      </c>
      <c r="P1590" s="39">
        <f>F1590&amp;E1590&amp;I1590&amp;J1590</f>
        <v/>
      </c>
    </row>
    <row r="1591">
      <c r="B1591" s="51" t="n">
        <v>44076</v>
      </c>
      <c r="C1591" s="39" t="inlineStr">
        <is>
          <t>수</t>
        </is>
      </c>
      <c r="E1591" s="39" t="inlineStr">
        <is>
          <t>고체향수</t>
        </is>
      </c>
      <c r="F1591" s="39" t="inlineStr">
        <is>
          <t>카페24</t>
        </is>
      </c>
      <c r="H1591" s="39" t="n">
        <v>88</v>
      </c>
      <c r="I1591" s="39" t="inlineStr">
        <is>
          <t>스테이포에버</t>
        </is>
      </c>
      <c r="J1591" s="20" t="n">
        <v>200720</v>
      </c>
      <c r="L1591" s="39">
        <f>VLOOKUP($P1591,매칭테이블!$G:$J,2,0)*H1591</f>
        <v/>
      </c>
      <c r="M1591" s="39">
        <f>L1591-L1591*VLOOKUP($P1591,매칭테이블!$G:$J,3,0)</f>
        <v/>
      </c>
      <c r="N1591" s="39">
        <f>VLOOKUP($P1591,매칭테이블!$G:$J,4,0)*H1591</f>
        <v/>
      </c>
      <c r="O1591" s="55">
        <f>L1591/1.1</f>
        <v/>
      </c>
      <c r="P1591" s="39">
        <f>F1591&amp;E1591&amp;I1591&amp;J1591</f>
        <v/>
      </c>
    </row>
    <row r="1592">
      <c r="B1592" s="51" t="n">
        <v>44076</v>
      </c>
      <c r="C1592" s="39" t="inlineStr">
        <is>
          <t>수</t>
        </is>
      </c>
      <c r="E1592" s="39" t="inlineStr">
        <is>
          <t>고체향수</t>
        </is>
      </c>
      <c r="F1592" s="39" t="inlineStr">
        <is>
          <t>카페24</t>
        </is>
      </c>
      <c r="G1592" s="39" t="n"/>
      <c r="H1592" s="39" t="n">
        <v>10</v>
      </c>
      <c r="I1592" s="39" t="inlineStr">
        <is>
          <t>스테이포에버 2set</t>
        </is>
      </c>
      <c r="J1592" s="20" t="n">
        <v>200720</v>
      </c>
      <c r="L1592" s="39">
        <f>VLOOKUP($P1592,매칭테이블!$G:$J,2,0)*H1592</f>
        <v/>
      </c>
      <c r="M1592" s="39">
        <f>L1592-L1592*VLOOKUP($P1592,매칭테이블!$G:$J,3,0)</f>
        <v/>
      </c>
      <c r="N1592" s="39">
        <f>VLOOKUP($P1592,매칭테이블!$G:$J,4,0)*H1592</f>
        <v/>
      </c>
      <c r="O1592" s="55">
        <f>L1592/1.1</f>
        <v/>
      </c>
      <c r="P1592" s="39">
        <f>F1592&amp;E1592&amp;I1592&amp;J1592</f>
        <v/>
      </c>
    </row>
    <row r="1593">
      <c r="B1593" s="51" t="n">
        <v>44076</v>
      </c>
      <c r="C1593" s="39" t="inlineStr">
        <is>
          <t>수</t>
        </is>
      </c>
      <c r="E1593" s="39" t="inlineStr">
        <is>
          <t>고체향수</t>
        </is>
      </c>
      <c r="F1593" s="39" t="inlineStr">
        <is>
          <t>카페24</t>
        </is>
      </c>
      <c r="H1593" s="39" t="n">
        <v>2</v>
      </c>
      <c r="I1593" s="39" t="inlineStr">
        <is>
          <t>이그나이트</t>
        </is>
      </c>
      <c r="J1593" s="20" t="n">
        <v>200720</v>
      </c>
      <c r="L1593" s="39">
        <f>VLOOKUP($P1593,매칭테이블!$G:$J,2,0)*H1593</f>
        <v/>
      </c>
      <c r="M1593" s="39">
        <f>L1593-L1593*VLOOKUP($P1593,매칭테이블!$G:$J,3,0)</f>
        <v/>
      </c>
      <c r="N1593" s="39">
        <f>VLOOKUP($P1593,매칭테이블!$G:$J,4,0)*H1593</f>
        <v/>
      </c>
      <c r="O1593" s="55">
        <f>L1593/1.1</f>
        <v/>
      </c>
      <c r="P1593" s="39">
        <f>F1593&amp;E1593&amp;I1593&amp;J1593</f>
        <v/>
      </c>
    </row>
    <row r="1594">
      <c r="B1594" s="51" t="n">
        <v>44076</v>
      </c>
      <c r="C1594" s="39" t="inlineStr">
        <is>
          <t>수</t>
        </is>
      </c>
      <c r="E1594" s="39" t="inlineStr">
        <is>
          <t>고체향수</t>
        </is>
      </c>
      <c r="F1594" s="39" t="inlineStr">
        <is>
          <t>카페24</t>
        </is>
      </c>
      <c r="G1594" s="39" t="n"/>
      <c r="H1594" s="39" t="n">
        <v>3</v>
      </c>
      <c r="I1594" s="39" t="inlineStr">
        <is>
          <t>이그나이트 2set</t>
        </is>
      </c>
      <c r="J1594" s="20" t="n">
        <v>200720</v>
      </c>
      <c r="L1594" s="39">
        <f>VLOOKUP($P1594,매칭테이블!$G:$J,2,0)*H1594</f>
        <v/>
      </c>
      <c r="M1594" s="39">
        <f>L1594-L1594*VLOOKUP($P1594,매칭테이블!$G:$J,3,0)</f>
        <v/>
      </c>
      <c r="N1594" s="39">
        <f>VLOOKUP($P1594,매칭테이블!$G:$J,4,0)*H1594</f>
        <v/>
      </c>
      <c r="O1594" s="55">
        <f>L1594/1.1</f>
        <v/>
      </c>
      <c r="P1594" s="39">
        <f>F1594&amp;E1594&amp;I1594&amp;J1594</f>
        <v/>
      </c>
    </row>
    <row r="1595">
      <c r="B1595" s="51" t="n">
        <v>44076</v>
      </c>
      <c r="C1595" s="39" t="inlineStr">
        <is>
          <t>수</t>
        </is>
      </c>
      <c r="E1595" s="39" t="inlineStr">
        <is>
          <t>쇼핑백</t>
        </is>
      </c>
      <c r="F1595" s="39" t="inlineStr">
        <is>
          <t>카페24</t>
        </is>
      </c>
      <c r="H1595" s="39" t="n">
        <v>3</v>
      </c>
      <c r="I1595" s="39" t="inlineStr">
        <is>
          <t>유즈쇼핑백</t>
        </is>
      </c>
      <c r="J1595" s="20" t="n">
        <v>200720</v>
      </c>
      <c r="L1595" s="39">
        <f>VLOOKUP($P1595,매칭테이블!$G:$J,2,0)*H1595</f>
        <v/>
      </c>
      <c r="M1595" s="39">
        <f>L1595-L1595*VLOOKUP($P1595,매칭테이블!$G:$J,3,0)</f>
        <v/>
      </c>
      <c r="N1595" s="39">
        <f>VLOOKUP($P1595,매칭테이블!$G:$J,4,0)*H1595</f>
        <v/>
      </c>
      <c r="O1595" s="55">
        <f>L1595/1.1</f>
        <v/>
      </c>
      <c r="P1595" s="39">
        <f>F1595&amp;E1595&amp;I1595&amp;J1595</f>
        <v/>
      </c>
    </row>
    <row r="1596">
      <c r="B1596" s="51" t="n">
        <v>44077</v>
      </c>
      <c r="C1596" s="39" t="inlineStr">
        <is>
          <t>목</t>
        </is>
      </c>
      <c r="E1596" s="39" t="inlineStr">
        <is>
          <t>고체향수</t>
        </is>
      </c>
      <c r="F1596" s="39" t="inlineStr">
        <is>
          <t>카페24</t>
        </is>
      </c>
      <c r="H1596" s="39" t="n">
        <v>3</v>
      </c>
      <c r="I1596" s="39" t="inlineStr">
        <is>
          <t>이그나이트 + 스테이포에버</t>
        </is>
      </c>
      <c r="J1596" s="20" t="n">
        <v>200720</v>
      </c>
      <c r="L1596" s="39">
        <f>VLOOKUP($P1596,매칭테이블!$G:$J,2,0)*H1596</f>
        <v/>
      </c>
      <c r="M1596" s="39">
        <f>L1596-L1596*VLOOKUP($P1596,매칭테이블!$G:$J,3,0)</f>
        <v/>
      </c>
      <c r="N1596" s="39">
        <f>VLOOKUP($P1596,매칭테이블!$G:$J,4,0)*H1596</f>
        <v/>
      </c>
      <c r="O1596" s="55">
        <f>L1596/1.1</f>
        <v/>
      </c>
      <c r="P1596" s="39">
        <f>F1596&amp;E1596&amp;I1596&amp;J1596</f>
        <v/>
      </c>
    </row>
    <row r="1597">
      <c r="B1597" s="51" t="n">
        <v>44077</v>
      </c>
      <c r="C1597" s="39" t="inlineStr">
        <is>
          <t>목</t>
        </is>
      </c>
      <c r="E1597" s="39" t="inlineStr">
        <is>
          <t>고체향수</t>
        </is>
      </c>
      <c r="F1597" s="39" t="inlineStr">
        <is>
          <t>카페24</t>
        </is>
      </c>
      <c r="H1597" s="39" t="n">
        <v>66</v>
      </c>
      <c r="I1597" s="39" t="inlineStr">
        <is>
          <t>스테이포에버</t>
        </is>
      </c>
      <c r="J1597" s="20" t="n">
        <v>200720</v>
      </c>
      <c r="L1597" s="39">
        <f>VLOOKUP($P1597,매칭테이블!$G:$J,2,0)*H1597</f>
        <v/>
      </c>
      <c r="M1597" s="39">
        <f>L1597-L1597*VLOOKUP($P1597,매칭테이블!$G:$J,3,0)</f>
        <v/>
      </c>
      <c r="N1597" s="39">
        <f>VLOOKUP($P1597,매칭테이블!$G:$J,4,0)*H1597</f>
        <v/>
      </c>
      <c r="O1597" s="55">
        <f>L1597/1.1</f>
        <v/>
      </c>
      <c r="P1597" s="39">
        <f>F1597&amp;E1597&amp;I1597&amp;J1597</f>
        <v/>
      </c>
    </row>
    <row r="1598">
      <c r="B1598" s="51" t="n">
        <v>44077</v>
      </c>
      <c r="C1598" s="39" t="inlineStr">
        <is>
          <t>목</t>
        </is>
      </c>
      <c r="E1598" s="39" t="inlineStr">
        <is>
          <t>고체향수</t>
        </is>
      </c>
      <c r="F1598" s="39" t="inlineStr">
        <is>
          <t>카페24</t>
        </is>
      </c>
      <c r="G1598" s="39" t="n"/>
      <c r="H1598" s="39" t="n">
        <v>16</v>
      </c>
      <c r="I1598" s="39" t="inlineStr">
        <is>
          <t>스테이포에버 2set</t>
        </is>
      </c>
      <c r="J1598" s="20" t="n">
        <v>200720</v>
      </c>
      <c r="L1598" s="39">
        <f>VLOOKUP($P1598,매칭테이블!$G:$J,2,0)*H1598</f>
        <v/>
      </c>
      <c r="M1598" s="39">
        <f>L1598-L1598*VLOOKUP($P1598,매칭테이블!$G:$J,3,0)</f>
        <v/>
      </c>
      <c r="N1598" s="39">
        <f>VLOOKUP($P1598,매칭테이블!$G:$J,4,0)*H1598</f>
        <v/>
      </c>
      <c r="O1598" s="55">
        <f>L1598/1.1</f>
        <v/>
      </c>
      <c r="P1598" s="39">
        <f>F1598&amp;E1598&amp;I1598&amp;J1598</f>
        <v/>
      </c>
    </row>
    <row r="1599">
      <c r="B1599" s="51" t="n">
        <v>44077</v>
      </c>
      <c r="C1599" s="39" t="inlineStr">
        <is>
          <t>목</t>
        </is>
      </c>
      <c r="E1599" s="39" t="inlineStr">
        <is>
          <t>고체향수</t>
        </is>
      </c>
      <c r="F1599" s="39" t="inlineStr">
        <is>
          <t>카페24</t>
        </is>
      </c>
      <c r="H1599" s="39" t="n">
        <v>1</v>
      </c>
      <c r="I1599" s="39" t="inlineStr">
        <is>
          <t>이그나이트</t>
        </is>
      </c>
      <c r="J1599" s="20" t="n">
        <v>200720</v>
      </c>
      <c r="L1599" s="39">
        <f>VLOOKUP($P1599,매칭테이블!$G:$J,2,0)*H1599</f>
        <v/>
      </c>
      <c r="M1599" s="39">
        <f>L1599-L1599*VLOOKUP($P1599,매칭테이블!$G:$J,3,0)</f>
        <v/>
      </c>
      <c r="N1599" s="39">
        <f>VLOOKUP($P1599,매칭테이블!$G:$J,4,0)*H1599</f>
        <v/>
      </c>
      <c r="O1599" s="55">
        <f>L1599/1.1</f>
        <v/>
      </c>
      <c r="P1599" s="39">
        <f>F1599&amp;E1599&amp;I1599&amp;J1599</f>
        <v/>
      </c>
    </row>
    <row r="1600">
      <c r="B1600" s="51" t="n">
        <v>44077</v>
      </c>
      <c r="C1600" s="39" t="inlineStr">
        <is>
          <t>목</t>
        </is>
      </c>
      <c r="E1600" s="39" t="inlineStr">
        <is>
          <t>고체향수</t>
        </is>
      </c>
      <c r="F1600" s="39" t="inlineStr">
        <is>
          <t>카페24</t>
        </is>
      </c>
      <c r="G1600" s="39" t="n"/>
      <c r="H1600" s="39" t="n">
        <v>1</v>
      </c>
      <c r="I1600" s="39" t="inlineStr">
        <is>
          <t>이그나이트 2set</t>
        </is>
      </c>
      <c r="J1600" s="20" t="n">
        <v>200720</v>
      </c>
      <c r="L1600" s="39">
        <f>VLOOKUP($P1600,매칭테이블!$G:$J,2,0)*H1600</f>
        <v/>
      </c>
      <c r="M1600" s="39">
        <f>L1600-L1600*VLOOKUP($P1600,매칭테이블!$G:$J,3,0)</f>
        <v/>
      </c>
      <c r="N1600" s="39">
        <f>VLOOKUP($P1600,매칭테이블!$G:$J,4,0)*H1600</f>
        <v/>
      </c>
      <c r="O1600" s="55">
        <f>L1600/1.1</f>
        <v/>
      </c>
      <c r="P1600" s="39">
        <f>F1600&amp;E1600&amp;I1600&amp;J1600</f>
        <v/>
      </c>
    </row>
    <row r="1601">
      <c r="B1601" s="51" t="n">
        <v>44077</v>
      </c>
      <c r="C1601" s="39" t="inlineStr">
        <is>
          <t>목</t>
        </is>
      </c>
      <c r="E1601" s="39" t="inlineStr">
        <is>
          <t>쇼핑백</t>
        </is>
      </c>
      <c r="F1601" s="39" t="inlineStr">
        <is>
          <t>카페24</t>
        </is>
      </c>
      <c r="H1601" s="39" t="n">
        <v>2</v>
      </c>
      <c r="I1601" s="39" t="inlineStr">
        <is>
          <t>유즈쇼핑백</t>
        </is>
      </c>
      <c r="J1601" s="20" t="n">
        <v>200720</v>
      </c>
      <c r="L1601" s="39">
        <f>VLOOKUP($P1601,매칭테이블!$G:$J,2,0)*H1601</f>
        <v/>
      </c>
      <c r="M1601" s="39">
        <f>L1601-L1601*VLOOKUP($P1601,매칭테이블!$G:$J,3,0)</f>
        <v/>
      </c>
      <c r="N1601" s="39">
        <f>VLOOKUP($P1601,매칭테이블!$G:$J,4,0)*H1601</f>
        <v/>
      </c>
      <c r="O1601" s="55">
        <f>L1601/1.1</f>
        <v/>
      </c>
      <c r="P1601" s="39">
        <f>F1601&amp;E1601&amp;I1601&amp;J1601</f>
        <v/>
      </c>
    </row>
    <row r="1602">
      <c r="B1602" s="51" t="n">
        <v>44078</v>
      </c>
      <c r="C1602" s="39" t="inlineStr">
        <is>
          <t>금</t>
        </is>
      </c>
      <c r="E1602" s="39" t="inlineStr">
        <is>
          <t>고체향수</t>
        </is>
      </c>
      <c r="F1602" s="39" t="inlineStr">
        <is>
          <t>카페24</t>
        </is>
      </c>
      <c r="H1602" s="39" t="n">
        <v>4</v>
      </c>
      <c r="I1602" s="39" t="inlineStr">
        <is>
          <t>이그나이트 + 스테이포에버</t>
        </is>
      </c>
      <c r="J1602" s="20" t="n">
        <v>200720</v>
      </c>
      <c r="L1602" s="39">
        <f>VLOOKUP($P1602,매칭테이블!$G:$J,2,0)*H1602</f>
        <v/>
      </c>
      <c r="M1602" s="39">
        <f>L1602-L1602*VLOOKUP($P1602,매칭테이블!$G:$J,3,0)</f>
        <v/>
      </c>
      <c r="N1602" s="39">
        <f>VLOOKUP($P1602,매칭테이블!$G:$J,4,0)*H1602</f>
        <v/>
      </c>
      <c r="O1602" s="55">
        <f>L1602/1.1</f>
        <v/>
      </c>
      <c r="P1602" s="39">
        <f>F1602&amp;E1602&amp;I1602&amp;J1602</f>
        <v/>
      </c>
    </row>
    <row r="1603">
      <c r="B1603" s="51" t="n">
        <v>44078</v>
      </c>
      <c r="C1603" s="39" t="inlineStr">
        <is>
          <t>금</t>
        </is>
      </c>
      <c r="E1603" s="39" t="inlineStr">
        <is>
          <t>고체향수</t>
        </is>
      </c>
      <c r="F1603" s="39" t="inlineStr">
        <is>
          <t>카페24</t>
        </is>
      </c>
      <c r="H1603" s="39" t="n">
        <v>79</v>
      </c>
      <c r="I1603" s="39" t="inlineStr">
        <is>
          <t>스테이포에버</t>
        </is>
      </c>
      <c r="J1603" s="20" t="n">
        <v>200720</v>
      </c>
      <c r="L1603" s="39">
        <f>VLOOKUP($P1603,매칭테이블!$G:$J,2,0)*H1603</f>
        <v/>
      </c>
      <c r="M1603" s="39">
        <f>L1603-L1603*VLOOKUP($P1603,매칭테이블!$G:$J,3,0)</f>
        <v/>
      </c>
      <c r="N1603" s="39">
        <f>VLOOKUP($P1603,매칭테이블!$G:$J,4,0)*H1603</f>
        <v/>
      </c>
      <c r="O1603" s="55">
        <f>L1603/1.1</f>
        <v/>
      </c>
      <c r="P1603" s="39">
        <f>F1603&amp;E1603&amp;I1603&amp;J1603</f>
        <v/>
      </c>
    </row>
    <row r="1604">
      <c r="B1604" s="51" t="n">
        <v>44078</v>
      </c>
      <c r="C1604" s="39" t="inlineStr">
        <is>
          <t>금</t>
        </is>
      </c>
      <c r="E1604" s="39" t="inlineStr">
        <is>
          <t>고체향수</t>
        </is>
      </c>
      <c r="F1604" s="39" t="inlineStr">
        <is>
          <t>카페24</t>
        </is>
      </c>
      <c r="G1604" s="39" t="n"/>
      <c r="H1604" s="39" t="n">
        <v>13</v>
      </c>
      <c r="I1604" s="39" t="inlineStr">
        <is>
          <t>스테이포에버 2set</t>
        </is>
      </c>
      <c r="J1604" s="20" t="n">
        <v>200720</v>
      </c>
      <c r="L1604" s="39">
        <f>VLOOKUP($P1604,매칭테이블!$G:$J,2,0)*H1604</f>
        <v/>
      </c>
      <c r="M1604" s="39">
        <f>L1604-L1604*VLOOKUP($P1604,매칭테이블!$G:$J,3,0)</f>
        <v/>
      </c>
      <c r="N1604" s="39">
        <f>VLOOKUP($P1604,매칭테이블!$G:$J,4,0)*H1604</f>
        <v/>
      </c>
      <c r="O1604" s="55">
        <f>L1604/1.1</f>
        <v/>
      </c>
      <c r="P1604" s="39">
        <f>F1604&amp;E1604&amp;I1604&amp;J1604</f>
        <v/>
      </c>
    </row>
    <row r="1605">
      <c r="B1605" s="51" t="n">
        <v>44078</v>
      </c>
      <c r="C1605" s="39" t="inlineStr">
        <is>
          <t>금</t>
        </is>
      </c>
      <c r="E1605" s="39" t="inlineStr">
        <is>
          <t>고체향수</t>
        </is>
      </c>
      <c r="F1605" s="39" t="inlineStr">
        <is>
          <t>카페24</t>
        </is>
      </c>
      <c r="G1605" s="39" t="n"/>
      <c r="H1605" s="39" t="n">
        <v>1</v>
      </c>
      <c r="I1605" s="39" t="inlineStr">
        <is>
          <t>이그나이트 2set</t>
        </is>
      </c>
      <c r="J1605" s="20" t="n">
        <v>200720</v>
      </c>
      <c r="L1605" s="39">
        <f>VLOOKUP($P1605,매칭테이블!$G:$J,2,0)*H1605</f>
        <v/>
      </c>
      <c r="M1605" s="39">
        <f>L1605-L1605*VLOOKUP($P1605,매칭테이블!$G:$J,3,0)</f>
        <v/>
      </c>
      <c r="N1605" s="39">
        <f>VLOOKUP($P1605,매칭테이블!$G:$J,4,0)*H1605</f>
        <v/>
      </c>
      <c r="O1605" s="55">
        <f>L1605/1.1</f>
        <v/>
      </c>
      <c r="P1605" s="39">
        <f>F1605&amp;E1605&amp;I1605&amp;J1605</f>
        <v/>
      </c>
    </row>
    <row r="1606">
      <c r="B1606" s="51" t="n">
        <v>44079</v>
      </c>
      <c r="C1606" s="39" t="inlineStr">
        <is>
          <t>토</t>
        </is>
      </c>
      <c r="E1606" s="39" t="inlineStr">
        <is>
          <t>고체향수</t>
        </is>
      </c>
      <c r="F1606" s="39" t="inlineStr">
        <is>
          <t>카페24</t>
        </is>
      </c>
      <c r="H1606" s="39" t="n">
        <v>4</v>
      </c>
      <c r="I1606" s="39" t="inlineStr">
        <is>
          <t>이그나이트 + 스테이포에버</t>
        </is>
      </c>
      <c r="J1606" s="20" t="n">
        <v>200720</v>
      </c>
      <c r="L1606" s="39">
        <f>VLOOKUP($P1606,매칭테이블!$G:$J,2,0)*H1606</f>
        <v/>
      </c>
      <c r="M1606" s="39">
        <f>L1606-L1606*VLOOKUP($P1606,매칭테이블!$G:$J,3,0)</f>
        <v/>
      </c>
      <c r="N1606" s="39">
        <f>VLOOKUP($P1606,매칭테이블!$G:$J,4,0)*H1606</f>
        <v/>
      </c>
      <c r="O1606" s="55">
        <f>L1606/1.1</f>
        <v/>
      </c>
      <c r="P1606" s="39">
        <f>F1606&amp;E1606&amp;I1606&amp;J1606</f>
        <v/>
      </c>
    </row>
    <row r="1607">
      <c r="B1607" s="51" t="n">
        <v>44079</v>
      </c>
      <c r="C1607" s="39" t="inlineStr">
        <is>
          <t>토</t>
        </is>
      </c>
      <c r="E1607" s="39" t="inlineStr">
        <is>
          <t>고체향수</t>
        </is>
      </c>
      <c r="F1607" s="39" t="inlineStr">
        <is>
          <t>카페24</t>
        </is>
      </c>
      <c r="H1607" s="39" t="n">
        <v>67</v>
      </c>
      <c r="I1607" s="39" t="inlineStr">
        <is>
          <t>스테이포에버</t>
        </is>
      </c>
      <c r="J1607" s="20" t="n">
        <v>200720</v>
      </c>
      <c r="L1607" s="39">
        <f>VLOOKUP($P1607,매칭테이블!$G:$J,2,0)*H1607</f>
        <v/>
      </c>
      <c r="M1607" s="39">
        <f>L1607-L1607*VLOOKUP($P1607,매칭테이블!$G:$J,3,0)</f>
        <v/>
      </c>
      <c r="N1607" s="39">
        <f>VLOOKUP($P1607,매칭테이블!$G:$J,4,0)*H1607</f>
        <v/>
      </c>
      <c r="O1607" s="55">
        <f>L1607/1.1</f>
        <v/>
      </c>
      <c r="P1607" s="39">
        <f>F1607&amp;E1607&amp;I1607&amp;J1607</f>
        <v/>
      </c>
    </row>
    <row r="1608">
      <c r="B1608" s="51" t="n">
        <v>44079</v>
      </c>
      <c r="C1608" s="39" t="inlineStr">
        <is>
          <t>토</t>
        </is>
      </c>
      <c r="E1608" s="39" t="inlineStr">
        <is>
          <t>고체향수</t>
        </is>
      </c>
      <c r="F1608" s="39" t="inlineStr">
        <is>
          <t>카페24</t>
        </is>
      </c>
      <c r="G1608" s="39" t="n"/>
      <c r="H1608" s="39" t="n">
        <v>9</v>
      </c>
      <c r="I1608" s="39" t="inlineStr">
        <is>
          <t>스테이포에버 2set</t>
        </is>
      </c>
      <c r="J1608" s="20" t="n">
        <v>200720</v>
      </c>
      <c r="L1608" s="39">
        <f>VLOOKUP($P1608,매칭테이블!$G:$J,2,0)*H1608</f>
        <v/>
      </c>
      <c r="M1608" s="39">
        <f>L1608-L1608*VLOOKUP($P1608,매칭테이블!$G:$J,3,0)</f>
        <v/>
      </c>
      <c r="N1608" s="39">
        <f>VLOOKUP($P1608,매칭테이블!$G:$J,4,0)*H1608</f>
        <v/>
      </c>
      <c r="O1608" s="55">
        <f>L1608/1.1</f>
        <v/>
      </c>
      <c r="P1608" s="39">
        <f>F1608&amp;E1608&amp;I1608&amp;J1608</f>
        <v/>
      </c>
    </row>
    <row r="1609">
      <c r="B1609" s="51" t="n">
        <v>44079</v>
      </c>
      <c r="C1609" s="39" t="inlineStr">
        <is>
          <t>토</t>
        </is>
      </c>
      <c r="E1609" s="39" t="inlineStr">
        <is>
          <t>쇼핑백</t>
        </is>
      </c>
      <c r="F1609" s="39" t="inlineStr">
        <is>
          <t>카페24</t>
        </is>
      </c>
      <c r="H1609" s="39" t="n">
        <v>2</v>
      </c>
      <c r="I1609" s="39" t="inlineStr">
        <is>
          <t>유즈쇼핑백</t>
        </is>
      </c>
      <c r="J1609" s="20" t="n">
        <v>200720</v>
      </c>
      <c r="L1609" s="39">
        <f>VLOOKUP($P1609,매칭테이블!$G:$J,2,0)*H1609</f>
        <v/>
      </c>
      <c r="M1609" s="39">
        <f>L1609-L1609*VLOOKUP($P1609,매칭테이블!$G:$J,3,0)</f>
        <v/>
      </c>
      <c r="N1609" s="39">
        <f>VLOOKUP($P1609,매칭테이블!$G:$J,4,0)*H1609</f>
        <v/>
      </c>
      <c r="O1609" s="55">
        <f>L1609/1.1</f>
        <v/>
      </c>
      <c r="P1609" s="39">
        <f>F1609&amp;E1609&amp;I1609&amp;J1609</f>
        <v/>
      </c>
    </row>
    <row r="1610">
      <c r="B1610" s="51" t="n">
        <v>44080</v>
      </c>
      <c r="C1610" s="39" t="inlineStr">
        <is>
          <t>일</t>
        </is>
      </c>
      <c r="E1610" s="39" t="inlineStr">
        <is>
          <t>고체향수</t>
        </is>
      </c>
      <c r="F1610" s="39" t="inlineStr">
        <is>
          <t>카페24</t>
        </is>
      </c>
      <c r="H1610" s="39" t="n">
        <v>3</v>
      </c>
      <c r="I1610" s="39" t="inlineStr">
        <is>
          <t>이그나이트 + 스테이포에버</t>
        </is>
      </c>
      <c r="J1610" s="20" t="n">
        <v>200720</v>
      </c>
      <c r="L1610" s="39">
        <f>VLOOKUP($P1610,매칭테이블!$G:$J,2,0)*H1610</f>
        <v/>
      </c>
      <c r="M1610" s="39">
        <f>L1610-L1610*VLOOKUP($P1610,매칭테이블!$G:$J,3,0)</f>
        <v/>
      </c>
      <c r="N1610" s="39">
        <f>VLOOKUP($P1610,매칭테이블!$G:$J,4,0)*H1610</f>
        <v/>
      </c>
      <c r="O1610" s="55">
        <f>L1610/1.1</f>
        <v/>
      </c>
      <c r="P1610" s="39">
        <f>F1610&amp;E1610&amp;I1610&amp;J1610</f>
        <v/>
      </c>
    </row>
    <row r="1611">
      <c r="B1611" s="51" t="n">
        <v>44080</v>
      </c>
      <c r="C1611" s="39" t="inlineStr">
        <is>
          <t>일</t>
        </is>
      </c>
      <c r="E1611" s="39" t="inlineStr">
        <is>
          <t>고체향수</t>
        </is>
      </c>
      <c r="F1611" s="39" t="inlineStr">
        <is>
          <t>카페24</t>
        </is>
      </c>
      <c r="H1611" s="39" t="n">
        <v>1</v>
      </c>
      <c r="I1611" s="39" t="inlineStr">
        <is>
          <t>이그나이트 + 스테이포에버 2set</t>
        </is>
      </c>
      <c r="J1611" s="20" t="n">
        <v>200720</v>
      </c>
      <c r="L1611" s="39">
        <f>VLOOKUP($P1611,매칭테이블!$G:$J,2,0)*H1611</f>
        <v/>
      </c>
      <c r="M1611" s="39">
        <f>L1611-L1611*VLOOKUP($P1611,매칭테이블!$G:$J,3,0)</f>
        <v/>
      </c>
      <c r="N1611" s="39">
        <f>VLOOKUP($P1611,매칭테이블!$G:$J,4,0)*H1611</f>
        <v/>
      </c>
      <c r="O1611" s="55">
        <f>L1611/1.1</f>
        <v/>
      </c>
      <c r="P1611" s="39">
        <f>F1611&amp;E1611&amp;I1611&amp;J1611</f>
        <v/>
      </c>
    </row>
    <row r="1612">
      <c r="B1612" s="51" t="n">
        <v>44080</v>
      </c>
      <c r="C1612" s="39" t="inlineStr">
        <is>
          <t>일</t>
        </is>
      </c>
      <c r="E1612" s="39" t="inlineStr">
        <is>
          <t>고체향수</t>
        </is>
      </c>
      <c r="F1612" s="39" t="inlineStr">
        <is>
          <t>카페24</t>
        </is>
      </c>
      <c r="H1612" s="39" t="n">
        <v>72</v>
      </c>
      <c r="I1612" s="39" t="inlineStr">
        <is>
          <t>스테이포에버</t>
        </is>
      </c>
      <c r="J1612" s="20" t="n">
        <v>200720</v>
      </c>
      <c r="L1612" s="39">
        <f>VLOOKUP($P1612,매칭테이블!$G:$J,2,0)*H1612</f>
        <v/>
      </c>
      <c r="M1612" s="39">
        <f>L1612-L1612*VLOOKUP($P1612,매칭테이블!$G:$J,3,0)</f>
        <v/>
      </c>
      <c r="N1612" s="39">
        <f>VLOOKUP($P1612,매칭테이블!$G:$J,4,0)*H1612</f>
        <v/>
      </c>
      <c r="O1612" s="55">
        <f>L1612/1.1</f>
        <v/>
      </c>
      <c r="P1612" s="39">
        <f>F1612&amp;E1612&amp;I1612&amp;J1612</f>
        <v/>
      </c>
    </row>
    <row r="1613">
      <c r="B1613" s="51" t="n">
        <v>44080</v>
      </c>
      <c r="C1613" s="39" t="inlineStr">
        <is>
          <t>일</t>
        </is>
      </c>
      <c r="E1613" s="39" t="inlineStr">
        <is>
          <t>고체향수</t>
        </is>
      </c>
      <c r="F1613" s="39" t="inlineStr">
        <is>
          <t>카페24</t>
        </is>
      </c>
      <c r="G1613" s="39" t="n"/>
      <c r="H1613" s="39" t="n">
        <v>7</v>
      </c>
      <c r="I1613" s="39" t="inlineStr">
        <is>
          <t>스테이포에버 2set</t>
        </is>
      </c>
      <c r="J1613" s="20" t="n">
        <v>200720</v>
      </c>
      <c r="L1613" s="39">
        <f>VLOOKUP($P1613,매칭테이블!$G:$J,2,0)*H1613</f>
        <v/>
      </c>
      <c r="M1613" s="39">
        <f>L1613-L1613*VLOOKUP($P1613,매칭테이블!$G:$J,3,0)</f>
        <v/>
      </c>
      <c r="N1613" s="39">
        <f>VLOOKUP($P1613,매칭테이블!$G:$J,4,0)*H1613</f>
        <v/>
      </c>
      <c r="O1613" s="55">
        <f>L1613/1.1</f>
        <v/>
      </c>
      <c r="P1613" s="39">
        <f>F1613&amp;E1613&amp;I1613&amp;J1613</f>
        <v/>
      </c>
    </row>
    <row r="1614">
      <c r="B1614" s="51" t="n">
        <v>44080</v>
      </c>
      <c r="C1614" s="39" t="inlineStr">
        <is>
          <t>일</t>
        </is>
      </c>
      <c r="E1614" s="39" t="inlineStr">
        <is>
          <t>쇼핑백</t>
        </is>
      </c>
      <c r="F1614" s="39" t="inlineStr">
        <is>
          <t>카페24</t>
        </is>
      </c>
      <c r="H1614" s="39" t="n">
        <v>1</v>
      </c>
      <c r="I1614" s="39" t="inlineStr">
        <is>
          <t>유즈쇼핑백</t>
        </is>
      </c>
      <c r="J1614" s="20" t="n">
        <v>200720</v>
      </c>
      <c r="L1614" s="39">
        <f>VLOOKUP($P1614,매칭테이블!$G:$J,2,0)*H1614</f>
        <v/>
      </c>
      <c r="M1614" s="39">
        <f>L1614-L1614*VLOOKUP($P1614,매칭테이블!$G:$J,3,0)</f>
        <v/>
      </c>
      <c r="N1614" s="39">
        <f>VLOOKUP($P1614,매칭테이블!$G:$J,4,0)*H1614</f>
        <v/>
      </c>
      <c r="O1614" s="55">
        <f>L1614/1.1</f>
        <v/>
      </c>
      <c r="P1614" s="39">
        <f>F1614&amp;E1614&amp;I1614&amp;J1614</f>
        <v/>
      </c>
    </row>
    <row r="1615" ht="19.35" customHeight="1" s="47">
      <c r="B1615" s="51" t="n">
        <v>44081</v>
      </c>
      <c r="C1615" s="39" t="inlineStr">
        <is>
          <t>월</t>
        </is>
      </c>
      <c r="E1615" s="39" t="inlineStr">
        <is>
          <t>고체향수</t>
        </is>
      </c>
      <c r="F1615" s="39" t="inlineStr">
        <is>
          <t>유즈 CS</t>
        </is>
      </c>
      <c r="G1615" s="39" t="n"/>
      <c r="H1615" s="39" t="n">
        <v>1</v>
      </c>
      <c r="I1615" s="39" t="inlineStr">
        <is>
          <t>스테이포에버</t>
        </is>
      </c>
      <c r="J1615" s="39" t="n">
        <v>200520</v>
      </c>
      <c r="L1615" s="39">
        <f>VLOOKUP($P1615,매칭테이블!$G:$J,2,0)*H1615</f>
        <v/>
      </c>
      <c r="M1615" s="39">
        <f>L1615-L1615*VLOOKUP($P1615,매칭테이블!$G:$J,3,0)</f>
        <v/>
      </c>
      <c r="N1615" s="39">
        <f>VLOOKUP($P1615,매칭테이블!$G:$J,4,0)*H1615</f>
        <v/>
      </c>
      <c r="O1615" s="55">
        <f>L1615/1.1</f>
        <v/>
      </c>
      <c r="P1615" s="39">
        <f>F1615&amp;E1615&amp;I1615&amp;J1615</f>
        <v/>
      </c>
    </row>
    <row r="1616">
      <c r="B1616" s="51" t="n">
        <v>44081</v>
      </c>
      <c r="C1616" s="39" t="inlineStr">
        <is>
          <t>월</t>
        </is>
      </c>
      <c r="E1616" s="39" t="inlineStr">
        <is>
          <t>고체향수</t>
        </is>
      </c>
      <c r="F1616" s="39" t="inlineStr">
        <is>
          <t>카페24</t>
        </is>
      </c>
      <c r="H1616" s="39" t="n">
        <v>3</v>
      </c>
      <c r="I1616" s="39" t="inlineStr">
        <is>
          <t>이그나이트 + 스테이포에버</t>
        </is>
      </c>
      <c r="J1616" s="20" t="n">
        <v>200720</v>
      </c>
      <c r="L1616" s="39">
        <f>VLOOKUP($P1616,매칭테이블!$G:$J,2,0)*H1616</f>
        <v/>
      </c>
      <c r="M1616" s="39">
        <f>L1616-L1616*VLOOKUP($P1616,매칭테이블!$G:$J,3,0)</f>
        <v/>
      </c>
      <c r="N1616" s="39">
        <f>VLOOKUP($P1616,매칭테이블!$G:$J,4,0)*H1616</f>
        <v/>
      </c>
      <c r="O1616" s="55">
        <f>L1616/1.1</f>
        <v/>
      </c>
      <c r="P1616" s="39">
        <f>F1616&amp;E1616&amp;I1616&amp;J1616</f>
        <v/>
      </c>
    </row>
    <row r="1617">
      <c r="B1617" s="51" t="n">
        <v>44081</v>
      </c>
      <c r="C1617" s="39" t="inlineStr">
        <is>
          <t>월</t>
        </is>
      </c>
      <c r="E1617" s="39" t="inlineStr">
        <is>
          <t>고체향수</t>
        </is>
      </c>
      <c r="F1617" s="39" t="inlineStr">
        <is>
          <t>카페24</t>
        </is>
      </c>
      <c r="H1617" s="39" t="n">
        <v>71</v>
      </c>
      <c r="I1617" s="39" t="inlineStr">
        <is>
          <t>스테이포에버</t>
        </is>
      </c>
      <c r="J1617" s="20" t="n">
        <v>200720</v>
      </c>
      <c r="L1617" s="39">
        <f>VLOOKUP($P1617,매칭테이블!$G:$J,2,0)*H1617</f>
        <v/>
      </c>
      <c r="M1617" s="39">
        <f>L1617-L1617*VLOOKUP($P1617,매칭테이블!$G:$J,3,0)</f>
        <v/>
      </c>
      <c r="N1617" s="39">
        <f>VLOOKUP($P1617,매칭테이블!$G:$J,4,0)*H1617</f>
        <v/>
      </c>
      <c r="O1617" s="55">
        <f>L1617/1.1</f>
        <v/>
      </c>
      <c r="P1617" s="39">
        <f>F1617&amp;E1617&amp;I1617&amp;J1617</f>
        <v/>
      </c>
    </row>
    <row r="1618">
      <c r="B1618" s="51" t="n">
        <v>44081</v>
      </c>
      <c r="C1618" s="39" t="inlineStr">
        <is>
          <t>월</t>
        </is>
      </c>
      <c r="E1618" s="39" t="inlineStr">
        <is>
          <t>고체향수</t>
        </is>
      </c>
      <c r="F1618" s="39" t="inlineStr">
        <is>
          <t>카페24</t>
        </is>
      </c>
      <c r="G1618" s="39" t="n"/>
      <c r="H1618" s="39" t="n">
        <v>8</v>
      </c>
      <c r="I1618" s="39" t="inlineStr">
        <is>
          <t>스테이포에버 2set</t>
        </is>
      </c>
      <c r="J1618" s="20" t="n">
        <v>200720</v>
      </c>
      <c r="L1618" s="39">
        <f>VLOOKUP($P1618,매칭테이블!$G:$J,2,0)*H1618</f>
        <v/>
      </c>
      <c r="M1618" s="39">
        <f>L1618-L1618*VLOOKUP($P1618,매칭테이블!$G:$J,3,0)</f>
        <v/>
      </c>
      <c r="N1618" s="39">
        <f>VLOOKUP($P1618,매칭테이블!$G:$J,4,0)*H1618</f>
        <v/>
      </c>
      <c r="O1618" s="55">
        <f>L1618/1.1</f>
        <v/>
      </c>
      <c r="P1618" s="39">
        <f>F1618&amp;E1618&amp;I1618&amp;J1618</f>
        <v/>
      </c>
    </row>
    <row r="1619">
      <c r="B1619" s="51" t="n">
        <v>44081</v>
      </c>
      <c r="C1619" s="39" t="inlineStr">
        <is>
          <t>월</t>
        </is>
      </c>
      <c r="E1619" s="39" t="inlineStr">
        <is>
          <t>고체향수</t>
        </is>
      </c>
      <c r="F1619" s="39" t="inlineStr">
        <is>
          <t>카페24</t>
        </is>
      </c>
      <c r="G1619" s="39" t="n"/>
      <c r="H1619" s="39" t="n">
        <v>1</v>
      </c>
      <c r="I1619" s="39" t="inlineStr">
        <is>
          <t>이그나이트</t>
        </is>
      </c>
      <c r="J1619" s="20" t="n">
        <v>200720</v>
      </c>
      <c r="L1619" s="39">
        <f>VLOOKUP($P1619,매칭테이블!$G:$J,2,0)*H1619</f>
        <v/>
      </c>
      <c r="M1619" s="39">
        <f>L1619-L1619*VLOOKUP($P1619,매칭테이블!$G:$J,3,0)</f>
        <v/>
      </c>
      <c r="N1619" s="39">
        <f>VLOOKUP($P1619,매칭테이블!$G:$J,4,0)*H1619</f>
        <v/>
      </c>
      <c r="O1619" s="55">
        <f>L1619/1.1</f>
        <v/>
      </c>
      <c r="P1619" s="39">
        <f>F1619&amp;E1619&amp;I1619&amp;J1619</f>
        <v/>
      </c>
    </row>
    <row r="1620">
      <c r="B1620" s="51" t="n">
        <v>44081</v>
      </c>
      <c r="C1620" s="39" t="inlineStr">
        <is>
          <t>월</t>
        </is>
      </c>
      <c r="E1620" s="39" t="inlineStr">
        <is>
          <t>쇼핑백</t>
        </is>
      </c>
      <c r="F1620" s="39" t="inlineStr">
        <is>
          <t>카페24</t>
        </is>
      </c>
      <c r="H1620" s="39" t="n">
        <v>4</v>
      </c>
      <c r="I1620" s="39" t="inlineStr">
        <is>
          <t>유즈쇼핑백</t>
        </is>
      </c>
      <c r="J1620" s="20" t="n">
        <v>200720</v>
      </c>
      <c r="L1620" s="39">
        <f>VLOOKUP($P1620,매칭테이블!$G:$J,2,0)*H1620</f>
        <v/>
      </c>
      <c r="M1620" s="39">
        <f>L1620-L1620*VLOOKUP($P1620,매칭테이블!$G:$J,3,0)</f>
        <v/>
      </c>
      <c r="N1620" s="39">
        <f>VLOOKUP($P1620,매칭테이블!$G:$J,4,0)*H1620</f>
        <v/>
      </c>
      <c r="O1620" s="55">
        <f>L1620/1.1</f>
        <v/>
      </c>
      <c r="P1620" s="39">
        <f>F1620&amp;E1620&amp;I1620&amp;J1620</f>
        <v/>
      </c>
    </row>
    <row r="1621" ht="18" customHeight="1" s="47">
      <c r="B1621" s="51" t="n">
        <v>44082</v>
      </c>
      <c r="C1621" s="39" t="inlineStr">
        <is>
          <t>화</t>
        </is>
      </c>
      <c r="E1621" s="39" t="inlineStr">
        <is>
          <t>고체향수</t>
        </is>
      </c>
      <c r="F1621" s="39" t="inlineStr">
        <is>
          <t>유즈 CS</t>
        </is>
      </c>
      <c r="G1621" s="39" t="n"/>
      <c r="H1621" s="39" t="n">
        <v>3</v>
      </c>
      <c r="I1621" s="39" t="inlineStr">
        <is>
          <t>스테이포에버</t>
        </is>
      </c>
      <c r="J1621" s="39" t="n">
        <v>200520</v>
      </c>
      <c r="L1621" s="39">
        <f>VLOOKUP($P1621,매칭테이블!$G:$J,2,0)*H1621</f>
        <v/>
      </c>
      <c r="M1621" s="39">
        <f>L1621-L1621*VLOOKUP($P1621,매칭테이블!$G:$J,3,0)</f>
        <v/>
      </c>
      <c r="N1621" s="39">
        <f>VLOOKUP($P1621,매칭테이블!$G:$J,4,0)*H1621</f>
        <v/>
      </c>
      <c r="O1621" s="55">
        <f>L1621/1.1</f>
        <v/>
      </c>
      <c r="P1621" s="39">
        <f>F1621&amp;E1621&amp;I1621&amp;J1621</f>
        <v/>
      </c>
    </row>
    <row r="1622">
      <c r="B1622" s="51" t="n">
        <v>44082</v>
      </c>
      <c r="C1622" s="39" t="inlineStr">
        <is>
          <t>화</t>
        </is>
      </c>
      <c r="E1622" s="39" t="inlineStr">
        <is>
          <t>고체향수</t>
        </is>
      </c>
      <c r="F1622" s="39" t="inlineStr">
        <is>
          <t>유즈 CS</t>
        </is>
      </c>
      <c r="G1622" s="39" t="n"/>
      <c r="H1622" s="39" t="n">
        <v>3</v>
      </c>
      <c r="I1622" s="39" t="inlineStr">
        <is>
          <t>이그나이트</t>
        </is>
      </c>
      <c r="J1622" s="39" t="n">
        <v>200520</v>
      </c>
      <c r="L1622" s="39">
        <f>VLOOKUP($P1622,매칭테이블!$G:$J,2,0)*H1622</f>
        <v/>
      </c>
      <c r="M1622" s="39">
        <f>L1622-L1622*VLOOKUP($P1622,매칭테이블!$G:$J,3,0)</f>
        <v/>
      </c>
      <c r="N1622" s="39">
        <f>VLOOKUP($P1622,매칭테이블!$G:$J,4,0)*H1622</f>
        <v/>
      </c>
      <c r="O1622" s="55">
        <f>L1622/1.1</f>
        <v/>
      </c>
      <c r="P1622" s="39">
        <f>F1622&amp;E1622&amp;I1622&amp;J1622</f>
        <v/>
      </c>
    </row>
    <row r="1623">
      <c r="B1623" s="51" t="n">
        <v>44082</v>
      </c>
      <c r="C1623" s="39" t="inlineStr">
        <is>
          <t>화</t>
        </is>
      </c>
      <c r="E1623" s="39" t="inlineStr">
        <is>
          <t>고체향수</t>
        </is>
      </c>
      <c r="F1623" s="39" t="inlineStr">
        <is>
          <t>카페24</t>
        </is>
      </c>
      <c r="H1623" s="39" t="n">
        <v>9</v>
      </c>
      <c r="I1623" s="39" t="inlineStr">
        <is>
          <t>이그나이트 + 스테이포에버</t>
        </is>
      </c>
      <c r="J1623" s="20" t="n">
        <v>200720</v>
      </c>
      <c r="L1623" s="39">
        <f>VLOOKUP($P1623,매칭테이블!$G:$J,2,0)*H1623</f>
        <v/>
      </c>
      <c r="M1623" s="39">
        <f>L1623-L1623*VLOOKUP($P1623,매칭테이블!$G:$J,3,0)</f>
        <v/>
      </c>
      <c r="N1623" s="39">
        <f>VLOOKUP($P1623,매칭테이블!$G:$J,4,0)*H1623</f>
        <v/>
      </c>
      <c r="O1623" s="55">
        <f>L1623/1.1</f>
        <v/>
      </c>
      <c r="P1623" s="39">
        <f>F1623&amp;E1623&amp;I1623&amp;J1623</f>
        <v/>
      </c>
    </row>
    <row r="1624">
      <c r="B1624" s="51" t="n">
        <v>44082</v>
      </c>
      <c r="C1624" s="39" t="inlineStr">
        <is>
          <t>화</t>
        </is>
      </c>
      <c r="E1624" s="39" t="inlineStr">
        <is>
          <t>고체향수</t>
        </is>
      </c>
      <c r="F1624" s="39" t="inlineStr">
        <is>
          <t>카페24</t>
        </is>
      </c>
      <c r="H1624" s="39" t="n">
        <v>60</v>
      </c>
      <c r="I1624" s="39" t="inlineStr">
        <is>
          <t>스테이포에버</t>
        </is>
      </c>
      <c r="J1624" s="20" t="n">
        <v>200720</v>
      </c>
      <c r="L1624" s="39">
        <f>VLOOKUP($P1624,매칭테이블!$G:$J,2,0)*H1624</f>
        <v/>
      </c>
      <c r="M1624" s="39">
        <f>L1624-L1624*VLOOKUP($P1624,매칭테이블!$G:$J,3,0)</f>
        <v/>
      </c>
      <c r="N1624" s="39">
        <f>VLOOKUP($P1624,매칭테이블!$G:$J,4,0)*H1624</f>
        <v/>
      </c>
      <c r="O1624" s="55">
        <f>L1624/1.1</f>
        <v/>
      </c>
      <c r="P1624" s="39">
        <f>F1624&amp;E1624&amp;I1624&amp;J1624</f>
        <v/>
      </c>
    </row>
    <row r="1625">
      <c r="B1625" s="51" t="n">
        <v>44082</v>
      </c>
      <c r="C1625" s="39" t="inlineStr">
        <is>
          <t>화</t>
        </is>
      </c>
      <c r="E1625" s="39" t="inlineStr">
        <is>
          <t>고체향수</t>
        </is>
      </c>
      <c r="F1625" s="39" t="inlineStr">
        <is>
          <t>카페24</t>
        </is>
      </c>
      <c r="G1625" s="39" t="n"/>
      <c r="H1625" s="39" t="n">
        <v>8</v>
      </c>
      <c r="I1625" s="39" t="inlineStr">
        <is>
          <t>스테이포에버 2set</t>
        </is>
      </c>
      <c r="J1625" s="20" t="n">
        <v>200720</v>
      </c>
      <c r="L1625" s="39">
        <f>VLOOKUP($P1625,매칭테이블!$G:$J,2,0)*H1625</f>
        <v/>
      </c>
      <c r="M1625" s="39">
        <f>L1625-L1625*VLOOKUP($P1625,매칭테이블!$G:$J,3,0)</f>
        <v/>
      </c>
      <c r="N1625" s="39">
        <f>VLOOKUP($P1625,매칭테이블!$G:$J,4,0)*H1625</f>
        <v/>
      </c>
      <c r="O1625" s="55">
        <f>L1625/1.1</f>
        <v/>
      </c>
      <c r="P1625" s="39">
        <f>F1625&amp;E1625&amp;I1625&amp;J1625</f>
        <v/>
      </c>
    </row>
    <row r="1626">
      <c r="B1626" s="51" t="n">
        <v>44082</v>
      </c>
      <c r="C1626" s="39" t="inlineStr">
        <is>
          <t>화</t>
        </is>
      </c>
      <c r="E1626" s="39" t="inlineStr">
        <is>
          <t>고체향수</t>
        </is>
      </c>
      <c r="F1626" s="39" t="inlineStr">
        <is>
          <t>카페24</t>
        </is>
      </c>
      <c r="G1626" s="39" t="n"/>
      <c r="H1626" s="39" t="n">
        <v>1</v>
      </c>
      <c r="I1626" s="39" t="inlineStr">
        <is>
          <t>이그나이트 2set</t>
        </is>
      </c>
      <c r="J1626" s="20" t="n">
        <v>200720</v>
      </c>
      <c r="L1626" s="39">
        <f>VLOOKUP($P1626,매칭테이블!$G:$J,2,0)*H1626</f>
        <v/>
      </c>
      <c r="M1626" s="39">
        <f>L1626-L1626*VLOOKUP($P1626,매칭테이블!$G:$J,3,0)</f>
        <v/>
      </c>
      <c r="N1626" s="39">
        <f>VLOOKUP($P1626,매칭테이블!$G:$J,4,0)*H1626</f>
        <v/>
      </c>
      <c r="O1626" s="55">
        <f>L1626/1.1</f>
        <v/>
      </c>
      <c r="P1626" s="39">
        <f>F1626&amp;E1626&amp;I1626&amp;J1626</f>
        <v/>
      </c>
    </row>
    <row r="1627">
      <c r="B1627" s="51" t="n">
        <v>44082</v>
      </c>
      <c r="C1627" s="39" t="inlineStr">
        <is>
          <t>화</t>
        </is>
      </c>
      <c r="E1627" s="39" t="inlineStr">
        <is>
          <t>쇼핑백</t>
        </is>
      </c>
      <c r="F1627" s="39" t="inlineStr">
        <is>
          <t>카페24</t>
        </is>
      </c>
      <c r="H1627" s="39" t="n">
        <v>7</v>
      </c>
      <c r="I1627" s="39" t="inlineStr">
        <is>
          <t>유즈쇼핑백</t>
        </is>
      </c>
      <c r="J1627" s="20" t="n">
        <v>200720</v>
      </c>
      <c r="L1627" s="39">
        <f>VLOOKUP($P1627,매칭테이블!$G:$J,2,0)*H1627</f>
        <v/>
      </c>
      <c r="M1627" s="39">
        <f>L1627-L1627*VLOOKUP($P1627,매칭테이블!$G:$J,3,0)</f>
        <v/>
      </c>
      <c r="N1627" s="39">
        <f>VLOOKUP($P1627,매칭테이블!$G:$J,4,0)*H1627</f>
        <v/>
      </c>
      <c r="O1627" s="55">
        <f>L1627/1.1</f>
        <v/>
      </c>
      <c r="P1627" s="39">
        <f>F1627&amp;E1627&amp;I1627&amp;J1627</f>
        <v/>
      </c>
    </row>
    <row r="1628">
      <c r="B1628" s="51" t="n">
        <v>44083</v>
      </c>
      <c r="C1628" s="39" t="inlineStr">
        <is>
          <t>수</t>
        </is>
      </c>
      <c r="E1628" s="39" t="inlineStr">
        <is>
          <t>고체향수</t>
        </is>
      </c>
      <c r="F1628" s="39" t="inlineStr">
        <is>
          <t>유즈 CS</t>
        </is>
      </c>
      <c r="G1628" s="39" t="n"/>
      <c r="H1628" s="39" t="n">
        <v>11</v>
      </c>
      <c r="I1628" s="39" t="inlineStr">
        <is>
          <t>스테이포에버</t>
        </is>
      </c>
      <c r="J1628" s="39" t="n">
        <v>200520</v>
      </c>
      <c r="L1628" s="39">
        <f>VLOOKUP($P1628,매칭테이블!$G:$J,2,0)*H1628</f>
        <v/>
      </c>
      <c r="M1628" s="39">
        <f>L1628-L1628*VLOOKUP($P1628,매칭테이블!$G:$J,3,0)</f>
        <v/>
      </c>
      <c r="N1628" s="39">
        <f>VLOOKUP($P1628,매칭테이블!$G:$J,4,0)*H1628</f>
        <v/>
      </c>
      <c r="O1628" s="55">
        <f>L1628/1.1</f>
        <v/>
      </c>
      <c r="P1628" s="39">
        <f>F1628&amp;E1628&amp;I1628&amp;J1628</f>
        <v/>
      </c>
    </row>
    <row r="1629">
      <c r="B1629" s="51" t="n">
        <v>44083</v>
      </c>
      <c r="C1629" s="39" t="inlineStr">
        <is>
          <t>수</t>
        </is>
      </c>
      <c r="E1629" s="39" t="inlineStr">
        <is>
          <t>고체향수</t>
        </is>
      </c>
      <c r="F1629" s="39" t="inlineStr">
        <is>
          <t>유즈 CS</t>
        </is>
      </c>
      <c r="G1629" s="39" t="n"/>
      <c r="H1629" s="39" t="n">
        <v>1</v>
      </c>
      <c r="I1629" s="39" t="inlineStr">
        <is>
          <t>이그나이트</t>
        </is>
      </c>
      <c r="J1629" s="39" t="n">
        <v>200520</v>
      </c>
      <c r="L1629" s="39">
        <f>VLOOKUP($P1629,매칭테이블!$G:$J,2,0)*H1629</f>
        <v/>
      </c>
      <c r="M1629" s="39">
        <f>L1629-L1629*VLOOKUP($P1629,매칭테이블!$G:$J,3,0)</f>
        <v/>
      </c>
      <c r="N1629" s="39">
        <f>VLOOKUP($P1629,매칭테이블!$G:$J,4,0)*H1629</f>
        <v/>
      </c>
      <c r="O1629" s="55">
        <f>L1629/1.1</f>
        <v/>
      </c>
      <c r="P1629" s="39">
        <f>F1629&amp;E1629&amp;I1629&amp;J1629</f>
        <v/>
      </c>
    </row>
    <row r="1630">
      <c r="B1630" s="51" t="n">
        <v>44083</v>
      </c>
      <c r="C1630" s="39" t="inlineStr">
        <is>
          <t>수</t>
        </is>
      </c>
      <c r="E1630" s="39" t="inlineStr">
        <is>
          <t>고체향수</t>
        </is>
      </c>
      <c r="F1630" s="39" t="inlineStr">
        <is>
          <t>카페24</t>
        </is>
      </c>
      <c r="H1630" s="39" t="n">
        <v>6</v>
      </c>
      <c r="I1630" s="39" t="inlineStr">
        <is>
          <t>이그나이트 + 스테이포에버</t>
        </is>
      </c>
      <c r="J1630" s="20" t="n">
        <v>200720</v>
      </c>
      <c r="L1630" s="39">
        <f>VLOOKUP($P1630,매칭테이블!$G:$J,2,0)*H1630</f>
        <v/>
      </c>
      <c r="M1630" s="39">
        <f>L1630-L1630*VLOOKUP($P1630,매칭테이블!$G:$J,3,0)</f>
        <v/>
      </c>
      <c r="N1630" s="39">
        <f>VLOOKUP($P1630,매칭테이블!$G:$J,4,0)*H1630</f>
        <v/>
      </c>
      <c r="O1630" s="55">
        <f>L1630/1.1</f>
        <v/>
      </c>
      <c r="P1630" s="39">
        <f>F1630&amp;E1630&amp;I1630&amp;J1630</f>
        <v/>
      </c>
    </row>
    <row r="1631">
      <c r="B1631" s="51" t="n">
        <v>44083</v>
      </c>
      <c r="C1631" s="39" t="inlineStr">
        <is>
          <t>수</t>
        </is>
      </c>
      <c r="E1631" s="39" t="inlineStr">
        <is>
          <t>고체향수</t>
        </is>
      </c>
      <c r="F1631" s="39" t="inlineStr">
        <is>
          <t>카페24</t>
        </is>
      </c>
      <c r="H1631" s="39" t="n">
        <v>69</v>
      </c>
      <c r="I1631" s="39" t="inlineStr">
        <is>
          <t>스테이포에버</t>
        </is>
      </c>
      <c r="J1631" s="20" t="n">
        <v>200720</v>
      </c>
      <c r="L1631" s="39">
        <f>VLOOKUP($P1631,매칭테이블!$G:$J,2,0)*H1631</f>
        <v/>
      </c>
      <c r="M1631" s="39">
        <f>L1631-L1631*VLOOKUP($P1631,매칭테이블!$G:$J,3,0)</f>
        <v/>
      </c>
      <c r="N1631" s="39">
        <f>VLOOKUP($P1631,매칭테이블!$G:$J,4,0)*H1631</f>
        <v/>
      </c>
      <c r="O1631" s="55">
        <f>L1631/1.1</f>
        <v/>
      </c>
      <c r="P1631" s="39">
        <f>F1631&amp;E1631&amp;I1631&amp;J1631</f>
        <v/>
      </c>
    </row>
    <row r="1632">
      <c r="B1632" s="51" t="n">
        <v>44083</v>
      </c>
      <c r="C1632" s="39" t="inlineStr">
        <is>
          <t>수</t>
        </is>
      </c>
      <c r="E1632" s="39" t="inlineStr">
        <is>
          <t>고체향수</t>
        </is>
      </c>
      <c r="F1632" s="39" t="inlineStr">
        <is>
          <t>카페24</t>
        </is>
      </c>
      <c r="G1632" s="39" t="n"/>
      <c r="H1632" s="39" t="n">
        <v>13</v>
      </c>
      <c r="I1632" s="39" t="inlineStr">
        <is>
          <t>스테이포에버 2set</t>
        </is>
      </c>
      <c r="J1632" s="20" t="n">
        <v>200720</v>
      </c>
      <c r="L1632" s="39">
        <f>VLOOKUP($P1632,매칭테이블!$G:$J,2,0)*H1632</f>
        <v/>
      </c>
      <c r="M1632" s="39">
        <f>L1632-L1632*VLOOKUP($P1632,매칭테이블!$G:$J,3,0)</f>
        <v/>
      </c>
      <c r="N1632" s="39">
        <f>VLOOKUP($P1632,매칭테이블!$G:$J,4,0)*H1632</f>
        <v/>
      </c>
      <c r="O1632" s="55">
        <f>L1632/1.1</f>
        <v/>
      </c>
      <c r="P1632" s="39">
        <f>F1632&amp;E1632&amp;I1632&amp;J1632</f>
        <v/>
      </c>
    </row>
    <row r="1633">
      <c r="B1633" s="51" t="n">
        <v>44083</v>
      </c>
      <c r="C1633" s="39" t="inlineStr">
        <is>
          <t>수</t>
        </is>
      </c>
      <c r="E1633" s="39" t="inlineStr">
        <is>
          <t>고체향수</t>
        </is>
      </c>
      <c r="F1633" s="39" t="inlineStr">
        <is>
          <t>카페24</t>
        </is>
      </c>
      <c r="G1633" s="39" t="n"/>
      <c r="H1633" s="39" t="n">
        <v>1</v>
      </c>
      <c r="I1633" s="39" t="inlineStr">
        <is>
          <t>이그나이트</t>
        </is>
      </c>
      <c r="J1633" s="20" t="n">
        <v>200720</v>
      </c>
      <c r="L1633" s="39">
        <f>VLOOKUP($P1633,매칭테이블!$G:$J,2,0)*H1633</f>
        <v/>
      </c>
      <c r="M1633" s="39">
        <f>L1633-L1633*VLOOKUP($P1633,매칭테이블!$G:$J,3,0)</f>
        <v/>
      </c>
      <c r="N1633" s="39">
        <f>VLOOKUP($P1633,매칭테이블!$G:$J,4,0)*H1633</f>
        <v/>
      </c>
      <c r="O1633" s="55">
        <f>L1633/1.1</f>
        <v/>
      </c>
      <c r="P1633" s="39">
        <f>F1633&amp;E1633&amp;I1633&amp;J1633</f>
        <v/>
      </c>
    </row>
    <row r="1634">
      <c r="B1634" s="51" t="n">
        <v>44083</v>
      </c>
      <c r="C1634" s="39" t="inlineStr">
        <is>
          <t>수</t>
        </is>
      </c>
      <c r="E1634" s="39" t="inlineStr">
        <is>
          <t>쇼핑백</t>
        </is>
      </c>
      <c r="F1634" s="39" t="inlineStr">
        <is>
          <t>카페24</t>
        </is>
      </c>
      <c r="H1634" s="39" t="n">
        <v>2</v>
      </c>
      <c r="I1634" s="39" t="inlineStr">
        <is>
          <t>유즈쇼핑백</t>
        </is>
      </c>
      <c r="J1634" s="20" t="n">
        <v>200720</v>
      </c>
      <c r="L1634" s="39">
        <f>VLOOKUP($P1634,매칭테이블!$G:$J,2,0)*H1634</f>
        <v/>
      </c>
      <c r="M1634" s="39">
        <f>L1634-L1634*VLOOKUP($P1634,매칭테이블!$G:$J,3,0)</f>
        <v/>
      </c>
      <c r="N1634" s="39">
        <f>VLOOKUP($P1634,매칭테이블!$G:$J,4,0)*H1634</f>
        <v/>
      </c>
      <c r="O1634" s="55">
        <f>L1634/1.1</f>
        <v/>
      </c>
      <c r="P1634" s="39">
        <f>F1634&amp;E1634&amp;I1634&amp;J1634</f>
        <v/>
      </c>
    </row>
    <row r="1635">
      <c r="B1635" s="51" t="n">
        <v>44084</v>
      </c>
      <c r="C1635" s="39" t="inlineStr">
        <is>
          <t>목</t>
        </is>
      </c>
      <c r="E1635" s="39" t="inlineStr">
        <is>
          <t>고체향수</t>
        </is>
      </c>
      <c r="F1635" s="39" t="inlineStr">
        <is>
          <t>유즈 CS</t>
        </is>
      </c>
      <c r="G1635" s="39" t="n"/>
      <c r="H1635" s="39" t="n">
        <v>9</v>
      </c>
      <c r="I1635" s="39" t="inlineStr">
        <is>
          <t>스테이포에버</t>
        </is>
      </c>
      <c r="J1635" s="39" t="n">
        <v>200520</v>
      </c>
      <c r="L1635" s="39">
        <f>VLOOKUP($P1635,매칭테이블!$G:$J,2,0)*H1635</f>
        <v/>
      </c>
      <c r="M1635" s="39">
        <f>L1635-L1635*VLOOKUP($P1635,매칭테이블!$G:$J,3,0)</f>
        <v/>
      </c>
      <c r="N1635" s="39">
        <f>VLOOKUP($P1635,매칭테이블!$G:$J,4,0)*H1635</f>
        <v/>
      </c>
      <c r="O1635" s="55">
        <f>L1635/1.1</f>
        <v/>
      </c>
      <c r="P1635" s="39">
        <f>F1635&amp;E1635&amp;I1635&amp;J1635</f>
        <v/>
      </c>
    </row>
    <row r="1636">
      <c r="B1636" s="51" t="n">
        <v>44084</v>
      </c>
      <c r="C1636" s="39" t="inlineStr">
        <is>
          <t>목</t>
        </is>
      </c>
      <c r="E1636" s="39" t="inlineStr">
        <is>
          <t>고체향수</t>
        </is>
      </c>
      <c r="F1636" s="39" t="inlineStr">
        <is>
          <t>유즈 CS</t>
        </is>
      </c>
      <c r="G1636" s="39" t="n"/>
      <c r="H1636" s="39" t="n">
        <v>1</v>
      </c>
      <c r="I1636" s="39" t="inlineStr">
        <is>
          <t>이그나이트</t>
        </is>
      </c>
      <c r="J1636" s="39" t="n">
        <v>200520</v>
      </c>
      <c r="L1636" s="39">
        <f>VLOOKUP($P1636,매칭테이블!$G:$J,2,0)*H1636</f>
        <v/>
      </c>
      <c r="M1636" s="39">
        <f>L1636-L1636*VLOOKUP($P1636,매칭테이블!$G:$J,3,0)</f>
        <v/>
      </c>
      <c r="N1636" s="39">
        <f>VLOOKUP($P1636,매칭테이블!$G:$J,4,0)*H1636</f>
        <v/>
      </c>
      <c r="O1636" s="55">
        <f>L1636/1.1</f>
        <v/>
      </c>
      <c r="P1636" s="39">
        <f>F1636&amp;E1636&amp;I1636&amp;J1636</f>
        <v/>
      </c>
    </row>
    <row r="1637">
      <c r="B1637" s="51" t="n">
        <v>44084</v>
      </c>
      <c r="C1637" s="39" t="inlineStr">
        <is>
          <t>목</t>
        </is>
      </c>
      <c r="E1637" s="39" t="inlineStr">
        <is>
          <t>고체향수</t>
        </is>
      </c>
      <c r="F1637" s="39" t="inlineStr">
        <is>
          <t>카페24</t>
        </is>
      </c>
      <c r="H1637" s="39" t="n">
        <v>3</v>
      </c>
      <c r="I1637" s="39" t="inlineStr">
        <is>
          <t>이그나이트 + 스테이포에버</t>
        </is>
      </c>
      <c r="J1637" s="20" t="n">
        <v>200720</v>
      </c>
      <c r="L1637" s="39">
        <f>VLOOKUP($P1637,매칭테이블!$G:$J,2,0)*H1637</f>
        <v/>
      </c>
      <c r="M1637" s="39">
        <f>L1637-L1637*VLOOKUP($P1637,매칭테이블!$G:$J,3,0)</f>
        <v/>
      </c>
      <c r="N1637" s="39">
        <f>VLOOKUP($P1637,매칭테이블!$G:$J,4,0)*H1637</f>
        <v/>
      </c>
      <c r="O1637" s="55">
        <f>L1637/1.1</f>
        <v/>
      </c>
      <c r="P1637" s="39">
        <f>F1637&amp;E1637&amp;I1637&amp;J1637</f>
        <v/>
      </c>
    </row>
    <row r="1638">
      <c r="B1638" s="51" t="n">
        <v>44084</v>
      </c>
      <c r="C1638" s="39" t="inlineStr">
        <is>
          <t>목</t>
        </is>
      </c>
      <c r="E1638" s="39" t="inlineStr">
        <is>
          <t>고체향수</t>
        </is>
      </c>
      <c r="F1638" s="39" t="inlineStr">
        <is>
          <t>카페24</t>
        </is>
      </c>
      <c r="H1638" s="39" t="n">
        <v>66</v>
      </c>
      <c r="I1638" s="39" t="inlineStr">
        <is>
          <t>스테이포에버</t>
        </is>
      </c>
      <c r="J1638" s="20" t="n">
        <v>200720</v>
      </c>
      <c r="L1638" s="39">
        <f>VLOOKUP($P1638,매칭테이블!$G:$J,2,0)*H1638</f>
        <v/>
      </c>
      <c r="M1638" s="39">
        <f>L1638-L1638*VLOOKUP($P1638,매칭테이블!$G:$J,3,0)</f>
        <v/>
      </c>
      <c r="N1638" s="39">
        <f>VLOOKUP($P1638,매칭테이블!$G:$J,4,0)*H1638</f>
        <v/>
      </c>
      <c r="O1638" s="55">
        <f>L1638/1.1</f>
        <v/>
      </c>
      <c r="P1638" s="39">
        <f>F1638&amp;E1638&amp;I1638&amp;J1638</f>
        <v/>
      </c>
    </row>
    <row r="1639">
      <c r="B1639" s="51" t="n">
        <v>44084</v>
      </c>
      <c r="C1639" s="39" t="inlineStr">
        <is>
          <t>목</t>
        </is>
      </c>
      <c r="E1639" s="39" t="inlineStr">
        <is>
          <t>고체향수</t>
        </is>
      </c>
      <c r="F1639" s="39" t="inlineStr">
        <is>
          <t>카페24</t>
        </is>
      </c>
      <c r="G1639" s="39" t="n"/>
      <c r="H1639" s="39" t="n">
        <v>8</v>
      </c>
      <c r="I1639" s="39" t="inlineStr">
        <is>
          <t>스테이포에버 2set</t>
        </is>
      </c>
      <c r="J1639" s="20" t="n">
        <v>200720</v>
      </c>
      <c r="L1639" s="39">
        <f>VLOOKUP($P1639,매칭테이블!$G:$J,2,0)*H1639</f>
        <v/>
      </c>
      <c r="M1639" s="39">
        <f>L1639-L1639*VLOOKUP($P1639,매칭테이블!$G:$J,3,0)</f>
        <v/>
      </c>
      <c r="N1639" s="39">
        <f>VLOOKUP($P1639,매칭테이블!$G:$J,4,0)*H1639</f>
        <v/>
      </c>
      <c r="O1639" s="55">
        <f>L1639/1.1</f>
        <v/>
      </c>
      <c r="P1639" s="39">
        <f>F1639&amp;E1639&amp;I1639&amp;J1639</f>
        <v/>
      </c>
    </row>
    <row r="1640">
      <c r="B1640" s="51" t="n">
        <v>44084</v>
      </c>
      <c r="C1640" s="39" t="inlineStr">
        <is>
          <t>목</t>
        </is>
      </c>
      <c r="E1640" s="39" t="inlineStr">
        <is>
          <t>고체향수</t>
        </is>
      </c>
      <c r="F1640" s="39" t="inlineStr">
        <is>
          <t>카페24</t>
        </is>
      </c>
      <c r="G1640" s="39" t="n"/>
      <c r="H1640" s="39" t="n">
        <v>3</v>
      </c>
      <c r="I1640" s="39" t="inlineStr">
        <is>
          <t>이그나이트</t>
        </is>
      </c>
      <c r="J1640" s="20" t="n">
        <v>200720</v>
      </c>
      <c r="L1640" s="39">
        <f>VLOOKUP($P1640,매칭테이블!$G:$J,2,0)*H1640</f>
        <v/>
      </c>
      <c r="M1640" s="39">
        <f>L1640-L1640*VLOOKUP($P1640,매칭테이블!$G:$J,3,0)</f>
        <v/>
      </c>
      <c r="N1640" s="39">
        <f>VLOOKUP($P1640,매칭테이블!$G:$J,4,0)*H1640</f>
        <v/>
      </c>
      <c r="O1640" s="55">
        <f>L1640/1.1</f>
        <v/>
      </c>
      <c r="P1640" s="39">
        <f>F1640&amp;E1640&amp;I1640&amp;J1640</f>
        <v/>
      </c>
    </row>
    <row r="1641">
      <c r="B1641" s="51" t="n">
        <v>44084</v>
      </c>
      <c r="C1641" s="39" t="inlineStr">
        <is>
          <t>목</t>
        </is>
      </c>
      <c r="E1641" s="39" t="inlineStr">
        <is>
          <t>쇼핑백</t>
        </is>
      </c>
      <c r="F1641" s="39" t="inlineStr">
        <is>
          <t>카페24</t>
        </is>
      </c>
      <c r="H1641" s="39" t="n">
        <v>1</v>
      </c>
      <c r="I1641" s="39" t="inlineStr">
        <is>
          <t>유즈쇼핑백</t>
        </is>
      </c>
      <c r="J1641" s="20" t="n">
        <v>200720</v>
      </c>
      <c r="L1641" s="39">
        <f>VLOOKUP($P1641,매칭테이블!$G:$J,2,0)*H1641</f>
        <v/>
      </c>
      <c r="M1641" s="39">
        <f>L1641-L1641*VLOOKUP($P1641,매칭테이블!$G:$J,3,0)</f>
        <v/>
      </c>
      <c r="N1641" s="39">
        <f>VLOOKUP($P1641,매칭테이블!$G:$J,4,0)*H1641</f>
        <v/>
      </c>
      <c r="O1641" s="55">
        <f>L1641/1.1</f>
        <v/>
      </c>
      <c r="P1641" s="39">
        <f>F1641&amp;E1641&amp;I1641&amp;J1641</f>
        <v/>
      </c>
    </row>
    <row r="1642">
      <c r="B1642" s="51" t="n">
        <v>44085</v>
      </c>
      <c r="C1642" s="39" t="inlineStr">
        <is>
          <t>금</t>
        </is>
      </c>
      <c r="E1642" s="39" t="inlineStr">
        <is>
          <t>고체향수</t>
        </is>
      </c>
      <c r="F1642" s="39" t="inlineStr">
        <is>
          <t>카페24</t>
        </is>
      </c>
      <c r="H1642" s="39" t="n">
        <v>5</v>
      </c>
      <c r="I1642" s="39" t="inlineStr">
        <is>
          <t>이그나이트 + 스테이포에버</t>
        </is>
      </c>
      <c r="J1642" s="20" t="n">
        <v>200720</v>
      </c>
      <c r="L1642" s="39">
        <f>VLOOKUP($P1642,매칭테이블!$G:$J,2,0)*H1642</f>
        <v/>
      </c>
      <c r="M1642" s="39">
        <f>L1642-L1642*VLOOKUP($P1642,매칭테이블!$G:$J,3,0)</f>
        <v/>
      </c>
      <c r="N1642" s="39">
        <f>VLOOKUP($P1642,매칭테이블!$G:$J,4,0)*H1642</f>
        <v/>
      </c>
      <c r="O1642" s="55">
        <f>L1642/1.1</f>
        <v/>
      </c>
      <c r="P1642" s="39">
        <f>F1642&amp;E1642&amp;I1642&amp;J1642</f>
        <v/>
      </c>
    </row>
    <row r="1643">
      <c r="B1643" s="51" t="n">
        <v>44085</v>
      </c>
      <c r="C1643" s="39" t="inlineStr">
        <is>
          <t>금</t>
        </is>
      </c>
      <c r="E1643" s="39" t="inlineStr">
        <is>
          <t>고체향수</t>
        </is>
      </c>
      <c r="F1643" s="39" t="inlineStr">
        <is>
          <t>카페24</t>
        </is>
      </c>
      <c r="H1643" s="39" t="n">
        <v>66</v>
      </c>
      <c r="I1643" s="39" t="inlineStr">
        <is>
          <t>스테이포에버</t>
        </is>
      </c>
      <c r="J1643" s="20" t="n">
        <v>200720</v>
      </c>
      <c r="L1643" s="39">
        <f>VLOOKUP($P1643,매칭테이블!$G:$J,2,0)*H1643</f>
        <v/>
      </c>
      <c r="M1643" s="39">
        <f>L1643-L1643*VLOOKUP($P1643,매칭테이블!$G:$J,3,0)</f>
        <v/>
      </c>
      <c r="N1643" s="39">
        <f>VLOOKUP($P1643,매칭테이블!$G:$J,4,0)*H1643</f>
        <v/>
      </c>
      <c r="O1643" s="55">
        <f>L1643/1.1</f>
        <v/>
      </c>
      <c r="P1643" s="39">
        <f>F1643&amp;E1643&amp;I1643&amp;J1643</f>
        <v/>
      </c>
    </row>
    <row r="1644">
      <c r="B1644" s="51" t="n">
        <v>44085</v>
      </c>
      <c r="C1644" s="39" t="inlineStr">
        <is>
          <t>금</t>
        </is>
      </c>
      <c r="E1644" s="39" t="inlineStr">
        <is>
          <t>고체향수</t>
        </is>
      </c>
      <c r="F1644" s="39" t="inlineStr">
        <is>
          <t>카페24</t>
        </is>
      </c>
      <c r="G1644" s="39" t="n"/>
      <c r="H1644" s="39" t="n">
        <v>15</v>
      </c>
      <c r="I1644" s="39" t="inlineStr">
        <is>
          <t>스테이포에버 2set</t>
        </is>
      </c>
      <c r="J1644" s="20" t="n">
        <v>200720</v>
      </c>
      <c r="L1644" s="39">
        <f>VLOOKUP($P1644,매칭테이블!$G:$J,2,0)*H1644</f>
        <v/>
      </c>
      <c r="M1644" s="39">
        <f>L1644-L1644*VLOOKUP($P1644,매칭테이블!$G:$J,3,0)</f>
        <v/>
      </c>
      <c r="N1644" s="39">
        <f>VLOOKUP($P1644,매칭테이블!$G:$J,4,0)*H1644</f>
        <v/>
      </c>
      <c r="O1644" s="55">
        <f>L1644/1.1</f>
        <v/>
      </c>
      <c r="P1644" s="39">
        <f>F1644&amp;E1644&amp;I1644&amp;J1644</f>
        <v/>
      </c>
    </row>
    <row r="1645">
      <c r="B1645" s="51" t="n">
        <v>44085</v>
      </c>
      <c r="C1645" s="39" t="inlineStr">
        <is>
          <t>금</t>
        </is>
      </c>
      <c r="E1645" s="39" t="inlineStr">
        <is>
          <t>고체향수</t>
        </is>
      </c>
      <c r="F1645" s="39" t="inlineStr">
        <is>
          <t>카페24</t>
        </is>
      </c>
      <c r="G1645" s="39" t="n"/>
      <c r="H1645" s="39" t="n">
        <v>1</v>
      </c>
      <c r="I1645" s="39" t="inlineStr">
        <is>
          <t>이그나이트</t>
        </is>
      </c>
      <c r="J1645" s="20" t="n">
        <v>200720</v>
      </c>
      <c r="L1645" s="39">
        <f>VLOOKUP($P1645,매칭테이블!$G:$J,2,0)*H1645</f>
        <v/>
      </c>
      <c r="M1645" s="39">
        <f>L1645-L1645*VLOOKUP($P1645,매칭테이블!$G:$J,3,0)</f>
        <v/>
      </c>
      <c r="N1645" s="39">
        <f>VLOOKUP($P1645,매칭테이블!$G:$J,4,0)*H1645</f>
        <v/>
      </c>
      <c r="O1645" s="55">
        <f>L1645/1.1</f>
        <v/>
      </c>
      <c r="P1645" s="39">
        <f>F1645&amp;E1645&amp;I1645&amp;J1645</f>
        <v/>
      </c>
    </row>
    <row r="1646">
      <c r="B1646" s="51" t="n">
        <v>44085</v>
      </c>
      <c r="C1646" s="39" t="inlineStr">
        <is>
          <t>금</t>
        </is>
      </c>
      <c r="E1646" s="39" t="inlineStr">
        <is>
          <t>쇼핑백</t>
        </is>
      </c>
      <c r="F1646" s="39" t="inlineStr">
        <is>
          <t>카페24</t>
        </is>
      </c>
      <c r="H1646" s="39" t="n">
        <v>3</v>
      </c>
      <c r="I1646" s="39" t="inlineStr">
        <is>
          <t>유즈쇼핑백</t>
        </is>
      </c>
      <c r="J1646" s="20" t="n">
        <v>200720</v>
      </c>
      <c r="L1646" s="39">
        <f>VLOOKUP($P1646,매칭테이블!$G:$J,2,0)*H1646</f>
        <v/>
      </c>
      <c r="M1646" s="39">
        <f>L1646-L1646*VLOOKUP($P1646,매칭테이블!$G:$J,3,0)</f>
        <v/>
      </c>
      <c r="N1646" s="39">
        <f>VLOOKUP($P1646,매칭테이블!$G:$J,4,0)*H1646</f>
        <v/>
      </c>
      <c r="O1646" s="55">
        <f>L1646/1.1</f>
        <v/>
      </c>
      <c r="P1646" s="39">
        <f>F1646&amp;E1646&amp;I1646&amp;J1646</f>
        <v/>
      </c>
    </row>
    <row r="1647">
      <c r="B1647" s="51" t="n">
        <v>44086</v>
      </c>
      <c r="C1647" s="39" t="inlineStr">
        <is>
          <t>토</t>
        </is>
      </c>
      <c r="E1647" s="39" t="inlineStr">
        <is>
          <t>고체향수</t>
        </is>
      </c>
      <c r="F1647" s="39" t="inlineStr">
        <is>
          <t>카페24</t>
        </is>
      </c>
      <c r="H1647" s="39" t="n">
        <v>5</v>
      </c>
      <c r="I1647" s="39" t="inlineStr">
        <is>
          <t>이그나이트 + 스테이포에버</t>
        </is>
      </c>
      <c r="J1647" s="20" t="n">
        <v>200720</v>
      </c>
      <c r="L1647" s="39">
        <f>VLOOKUP($P1647,매칭테이블!$G:$J,2,0)*H1647</f>
        <v/>
      </c>
      <c r="M1647" s="39">
        <f>L1647-L1647*VLOOKUP($P1647,매칭테이블!$G:$J,3,0)</f>
        <v/>
      </c>
      <c r="N1647" s="39">
        <f>VLOOKUP($P1647,매칭테이블!$G:$J,4,0)*H1647</f>
        <v/>
      </c>
      <c r="O1647" s="55">
        <f>L1647/1.1</f>
        <v/>
      </c>
      <c r="P1647" s="39">
        <f>F1647&amp;E1647&amp;I1647&amp;J1647</f>
        <v/>
      </c>
    </row>
    <row r="1648">
      <c r="B1648" s="51" t="n">
        <v>44086</v>
      </c>
      <c r="C1648" s="39" t="inlineStr">
        <is>
          <t>토</t>
        </is>
      </c>
      <c r="E1648" s="39" t="inlineStr">
        <is>
          <t>고체향수</t>
        </is>
      </c>
      <c r="F1648" s="39" t="inlineStr">
        <is>
          <t>카페24</t>
        </is>
      </c>
      <c r="H1648" s="39" t="n">
        <v>64</v>
      </c>
      <c r="I1648" s="39" t="inlineStr">
        <is>
          <t>스테이포에버</t>
        </is>
      </c>
      <c r="J1648" s="20" t="n">
        <v>200720</v>
      </c>
      <c r="L1648" s="39">
        <f>VLOOKUP($P1648,매칭테이블!$G:$J,2,0)*H1648</f>
        <v/>
      </c>
      <c r="M1648" s="39">
        <f>L1648-L1648*VLOOKUP($P1648,매칭테이블!$G:$J,3,0)</f>
        <v/>
      </c>
      <c r="N1648" s="39">
        <f>VLOOKUP($P1648,매칭테이블!$G:$J,4,0)*H1648</f>
        <v/>
      </c>
      <c r="O1648" s="55">
        <f>L1648/1.1</f>
        <v/>
      </c>
      <c r="P1648" s="39">
        <f>F1648&amp;E1648&amp;I1648&amp;J1648</f>
        <v/>
      </c>
    </row>
    <row r="1649">
      <c r="B1649" s="51" t="n">
        <v>44086</v>
      </c>
      <c r="C1649" s="39" t="inlineStr">
        <is>
          <t>토</t>
        </is>
      </c>
      <c r="E1649" s="39" t="inlineStr">
        <is>
          <t>고체향수</t>
        </is>
      </c>
      <c r="F1649" s="39" t="inlineStr">
        <is>
          <t>카페24</t>
        </is>
      </c>
      <c r="G1649" s="39" t="n"/>
      <c r="H1649" s="39" t="n">
        <v>8</v>
      </c>
      <c r="I1649" s="39" t="inlineStr">
        <is>
          <t>스테이포에버 2set</t>
        </is>
      </c>
      <c r="J1649" s="20" t="n">
        <v>200720</v>
      </c>
      <c r="L1649" s="39">
        <f>VLOOKUP($P1649,매칭테이블!$G:$J,2,0)*H1649</f>
        <v/>
      </c>
      <c r="M1649" s="39">
        <f>L1649-L1649*VLOOKUP($P1649,매칭테이블!$G:$J,3,0)</f>
        <v/>
      </c>
      <c r="N1649" s="39">
        <f>VLOOKUP($P1649,매칭테이블!$G:$J,4,0)*H1649</f>
        <v/>
      </c>
      <c r="O1649" s="55">
        <f>L1649/1.1</f>
        <v/>
      </c>
      <c r="P1649" s="39">
        <f>F1649&amp;E1649&amp;I1649&amp;J1649</f>
        <v/>
      </c>
    </row>
    <row r="1650">
      <c r="B1650" s="51" t="n">
        <v>44086</v>
      </c>
      <c r="C1650" s="39" t="inlineStr">
        <is>
          <t>토</t>
        </is>
      </c>
      <c r="E1650" s="39" t="inlineStr">
        <is>
          <t>쇼핑백</t>
        </is>
      </c>
      <c r="F1650" s="39" t="inlineStr">
        <is>
          <t>카페24</t>
        </is>
      </c>
      <c r="H1650" s="39" t="n">
        <v>2</v>
      </c>
      <c r="I1650" s="39" t="inlineStr">
        <is>
          <t>유즈쇼핑백</t>
        </is>
      </c>
      <c r="J1650" s="20" t="n">
        <v>200720</v>
      </c>
      <c r="L1650" s="39">
        <f>VLOOKUP($P1650,매칭테이블!$G:$J,2,0)*H1650</f>
        <v/>
      </c>
      <c r="M1650" s="39">
        <f>L1650-L1650*VLOOKUP($P1650,매칭테이블!$G:$J,3,0)</f>
        <v/>
      </c>
      <c r="N1650" s="39">
        <f>VLOOKUP($P1650,매칭테이블!$G:$J,4,0)*H1650</f>
        <v/>
      </c>
      <c r="O1650" s="55">
        <f>L1650/1.1</f>
        <v/>
      </c>
      <c r="P1650" s="39">
        <f>F1650&amp;E1650&amp;I1650&amp;J1650</f>
        <v/>
      </c>
    </row>
    <row r="1651">
      <c r="B1651" s="51" t="n">
        <v>44087</v>
      </c>
      <c r="C1651" s="39" t="inlineStr">
        <is>
          <t>일</t>
        </is>
      </c>
      <c r="E1651" s="39" t="inlineStr">
        <is>
          <t>고체향수</t>
        </is>
      </c>
      <c r="F1651" s="39" t="inlineStr">
        <is>
          <t>카페24</t>
        </is>
      </c>
      <c r="H1651" s="39" t="n">
        <v>4</v>
      </c>
      <c r="I1651" s="39" t="inlineStr">
        <is>
          <t>이그나이트 + 스테이포에버</t>
        </is>
      </c>
      <c r="J1651" s="20" t="n">
        <v>200720</v>
      </c>
      <c r="L1651" s="39">
        <f>VLOOKUP($P1651,매칭테이블!$G:$J,2,0)*H1651</f>
        <v/>
      </c>
      <c r="M1651" s="39">
        <f>L1651-L1651*VLOOKUP($P1651,매칭테이블!$G:$J,3,0)</f>
        <v/>
      </c>
      <c r="N1651" s="39">
        <f>VLOOKUP($P1651,매칭테이블!$G:$J,4,0)*H1651</f>
        <v/>
      </c>
      <c r="O1651" s="55">
        <f>L1651/1.1</f>
        <v/>
      </c>
      <c r="P1651" s="39">
        <f>F1651&amp;E1651&amp;I1651&amp;J1651</f>
        <v/>
      </c>
    </row>
    <row r="1652">
      <c r="B1652" s="51" t="n">
        <v>44087</v>
      </c>
      <c r="C1652" s="39" t="inlineStr">
        <is>
          <t>일</t>
        </is>
      </c>
      <c r="E1652" s="39" t="inlineStr">
        <is>
          <t>고체향수</t>
        </is>
      </c>
      <c r="F1652" s="39" t="inlineStr">
        <is>
          <t>카페24</t>
        </is>
      </c>
      <c r="H1652" s="39" t="n">
        <v>59</v>
      </c>
      <c r="I1652" s="39" t="inlineStr">
        <is>
          <t>스테이포에버</t>
        </is>
      </c>
      <c r="J1652" s="20" t="n">
        <v>200720</v>
      </c>
      <c r="L1652" s="39">
        <f>VLOOKUP($P1652,매칭테이블!$G:$J,2,0)*H1652</f>
        <v/>
      </c>
      <c r="M1652" s="39">
        <f>L1652-L1652*VLOOKUP($P1652,매칭테이블!$G:$J,3,0)</f>
        <v/>
      </c>
      <c r="N1652" s="39">
        <f>VLOOKUP($P1652,매칭테이블!$G:$J,4,0)*H1652</f>
        <v/>
      </c>
      <c r="O1652" s="55">
        <f>L1652/1.1</f>
        <v/>
      </c>
      <c r="P1652" s="39">
        <f>F1652&amp;E1652&amp;I1652&amp;J1652</f>
        <v/>
      </c>
    </row>
    <row r="1653">
      <c r="B1653" s="51" t="n">
        <v>44087</v>
      </c>
      <c r="C1653" s="39" t="inlineStr">
        <is>
          <t>일</t>
        </is>
      </c>
      <c r="E1653" s="39" t="inlineStr">
        <is>
          <t>고체향수</t>
        </is>
      </c>
      <c r="F1653" s="39" t="inlineStr">
        <is>
          <t>카페24</t>
        </is>
      </c>
      <c r="G1653" s="39" t="n"/>
      <c r="H1653" s="39" t="n">
        <v>16</v>
      </c>
      <c r="I1653" s="39" t="inlineStr">
        <is>
          <t>스테이포에버 2set</t>
        </is>
      </c>
      <c r="J1653" s="20" t="n">
        <v>200720</v>
      </c>
      <c r="L1653" s="39">
        <f>VLOOKUP($P1653,매칭테이블!$G:$J,2,0)*H1653</f>
        <v/>
      </c>
      <c r="M1653" s="39">
        <f>L1653-L1653*VLOOKUP($P1653,매칭테이블!$G:$J,3,0)</f>
        <v/>
      </c>
      <c r="N1653" s="39">
        <f>VLOOKUP($P1653,매칭테이블!$G:$J,4,0)*H1653</f>
        <v/>
      </c>
      <c r="O1653" s="55">
        <f>L1653/1.1</f>
        <v/>
      </c>
      <c r="P1653" s="39">
        <f>F1653&amp;E1653&amp;I1653&amp;J1653</f>
        <v/>
      </c>
    </row>
    <row r="1654">
      <c r="B1654" s="51" t="n">
        <v>44087</v>
      </c>
      <c r="C1654" s="39" t="inlineStr">
        <is>
          <t>일</t>
        </is>
      </c>
      <c r="E1654" s="39" t="inlineStr">
        <is>
          <t>고체향수</t>
        </is>
      </c>
      <c r="F1654" s="39" t="inlineStr">
        <is>
          <t>카페24</t>
        </is>
      </c>
      <c r="G1654" s="39" t="n"/>
      <c r="H1654" s="39" t="n">
        <v>3</v>
      </c>
      <c r="I1654" s="39" t="inlineStr">
        <is>
          <t>이그나이트</t>
        </is>
      </c>
      <c r="J1654" s="20" t="n">
        <v>200720</v>
      </c>
      <c r="L1654" s="39">
        <f>VLOOKUP($P1654,매칭테이블!$G:$J,2,0)*H1654</f>
        <v/>
      </c>
      <c r="M1654" s="39">
        <f>L1654-L1654*VLOOKUP($P1654,매칭테이블!$G:$J,3,0)</f>
        <v/>
      </c>
      <c r="N1654" s="39">
        <f>VLOOKUP($P1654,매칭테이블!$G:$J,4,0)*H1654</f>
        <v/>
      </c>
      <c r="O1654" s="55">
        <f>L1654/1.1</f>
        <v/>
      </c>
      <c r="P1654" s="39">
        <f>F1654&amp;E1654&amp;I1654&amp;J1654</f>
        <v/>
      </c>
    </row>
    <row r="1655">
      <c r="B1655" s="51" t="n">
        <v>44087</v>
      </c>
      <c r="C1655" s="39" t="inlineStr">
        <is>
          <t>일</t>
        </is>
      </c>
      <c r="E1655" s="39" t="inlineStr">
        <is>
          <t>쇼핑백</t>
        </is>
      </c>
      <c r="F1655" s="39" t="inlineStr">
        <is>
          <t>카페24</t>
        </is>
      </c>
      <c r="H1655" s="39" t="n">
        <v>3</v>
      </c>
      <c r="I1655" s="39" t="inlineStr">
        <is>
          <t>유즈쇼핑백</t>
        </is>
      </c>
      <c r="J1655" s="20" t="n">
        <v>200720</v>
      </c>
      <c r="L1655" s="39">
        <f>VLOOKUP($P1655,매칭테이블!$G:$J,2,0)*H1655</f>
        <v/>
      </c>
      <c r="M1655" s="39">
        <f>L1655-L1655*VLOOKUP($P1655,매칭테이블!$G:$J,3,0)</f>
        <v/>
      </c>
      <c r="N1655" s="39">
        <f>VLOOKUP($P1655,매칭테이블!$G:$J,4,0)*H1655</f>
        <v/>
      </c>
      <c r="O1655" s="55">
        <f>L1655/1.1</f>
        <v/>
      </c>
      <c r="P1655" s="39">
        <f>F1655&amp;E1655&amp;I1655&amp;J1655</f>
        <v/>
      </c>
    </row>
    <row r="1656">
      <c r="B1656" s="51" t="n">
        <v>44088</v>
      </c>
      <c r="C1656" s="39" t="inlineStr">
        <is>
          <t>월</t>
        </is>
      </c>
      <c r="E1656" s="39" t="inlineStr">
        <is>
          <t>고체향수</t>
        </is>
      </c>
      <c r="F1656" s="39" t="inlineStr">
        <is>
          <t>유즈 CS</t>
        </is>
      </c>
      <c r="G1656" s="39" t="n"/>
      <c r="H1656" s="39" t="n">
        <v>4</v>
      </c>
      <c r="I1656" s="39" t="inlineStr">
        <is>
          <t>스테이포에버</t>
        </is>
      </c>
      <c r="J1656" s="39" t="n">
        <v>200520</v>
      </c>
      <c r="L1656" s="39">
        <f>VLOOKUP($P1656,매칭테이블!$G:$J,2,0)*H1656</f>
        <v/>
      </c>
      <c r="M1656" s="39">
        <f>L1656-L1656*VLOOKUP($P1656,매칭테이블!$G:$J,3,0)</f>
        <v/>
      </c>
      <c r="N1656" s="39">
        <f>VLOOKUP($P1656,매칭테이블!$G:$J,4,0)*H1656</f>
        <v/>
      </c>
      <c r="O1656" s="55">
        <f>L1656/1.1</f>
        <v/>
      </c>
      <c r="P1656" s="39">
        <f>F1656&amp;E1656&amp;I1656&amp;J1656</f>
        <v/>
      </c>
    </row>
    <row r="1657">
      <c r="B1657" s="51" t="n">
        <v>44088</v>
      </c>
      <c r="C1657" s="39" t="inlineStr">
        <is>
          <t>월</t>
        </is>
      </c>
      <c r="E1657" s="39" t="inlineStr">
        <is>
          <t>고체향수</t>
        </is>
      </c>
      <c r="F1657" s="39" t="inlineStr">
        <is>
          <t>카페24</t>
        </is>
      </c>
      <c r="H1657" s="39" t="n">
        <v>4</v>
      </c>
      <c r="I1657" s="39" t="inlineStr">
        <is>
          <t>이그나이트 + 스테이포에버</t>
        </is>
      </c>
      <c r="J1657" s="20" t="n">
        <v>200720</v>
      </c>
      <c r="L1657" s="39">
        <f>VLOOKUP($P1657,매칭테이블!$G:$J,2,0)*H1657</f>
        <v/>
      </c>
      <c r="M1657" s="39">
        <f>L1657-L1657*VLOOKUP($P1657,매칭테이블!$G:$J,3,0)</f>
        <v/>
      </c>
      <c r="N1657" s="39">
        <f>VLOOKUP($P1657,매칭테이블!$G:$J,4,0)*H1657</f>
        <v/>
      </c>
      <c r="O1657" s="55">
        <f>L1657/1.1</f>
        <v/>
      </c>
      <c r="P1657" s="39">
        <f>F1657&amp;E1657&amp;I1657&amp;J1657</f>
        <v/>
      </c>
    </row>
    <row r="1658">
      <c r="B1658" s="51" t="n">
        <v>44088</v>
      </c>
      <c r="C1658" s="39" t="inlineStr">
        <is>
          <t>월</t>
        </is>
      </c>
      <c r="E1658" s="39" t="inlineStr">
        <is>
          <t>고체향수</t>
        </is>
      </c>
      <c r="F1658" s="39" t="inlineStr">
        <is>
          <t>카페24</t>
        </is>
      </c>
      <c r="H1658" s="39" t="n">
        <v>1</v>
      </c>
      <c r="I1658" s="39" t="inlineStr">
        <is>
          <t>이그나이트 + 스테이포에버 2set</t>
        </is>
      </c>
      <c r="J1658" s="20" t="n">
        <v>200720</v>
      </c>
      <c r="L1658" s="39">
        <f>VLOOKUP($P1658,매칭테이블!$G:$J,2,0)*H1658</f>
        <v/>
      </c>
      <c r="M1658" s="39">
        <f>L1658-L1658*VLOOKUP($P1658,매칭테이블!$G:$J,3,0)</f>
        <v/>
      </c>
      <c r="N1658" s="39">
        <f>VLOOKUP($P1658,매칭테이블!$G:$J,4,0)*H1658</f>
        <v/>
      </c>
      <c r="O1658" s="55">
        <f>L1658/1.1</f>
        <v/>
      </c>
      <c r="P1658" s="39">
        <f>F1658&amp;E1658&amp;I1658&amp;J1658</f>
        <v/>
      </c>
    </row>
    <row r="1659">
      <c r="B1659" s="51" t="n">
        <v>44088</v>
      </c>
      <c r="C1659" s="39" t="inlineStr">
        <is>
          <t>월</t>
        </is>
      </c>
      <c r="E1659" s="39" t="inlineStr">
        <is>
          <t>고체향수</t>
        </is>
      </c>
      <c r="F1659" s="39" t="inlineStr">
        <is>
          <t>카페24</t>
        </is>
      </c>
      <c r="H1659" s="39" t="n">
        <v>73</v>
      </c>
      <c r="I1659" s="39" t="inlineStr">
        <is>
          <t>스테이포에버</t>
        </is>
      </c>
      <c r="J1659" s="20" t="n">
        <v>200720</v>
      </c>
      <c r="L1659" s="39">
        <f>VLOOKUP($P1659,매칭테이블!$G:$J,2,0)*H1659</f>
        <v/>
      </c>
      <c r="M1659" s="39">
        <f>L1659-L1659*VLOOKUP($P1659,매칭테이블!$G:$J,3,0)</f>
        <v/>
      </c>
      <c r="N1659" s="39">
        <f>VLOOKUP($P1659,매칭테이블!$G:$J,4,0)*H1659</f>
        <v/>
      </c>
      <c r="O1659" s="55">
        <f>L1659/1.1</f>
        <v/>
      </c>
      <c r="P1659" s="39">
        <f>F1659&amp;E1659&amp;I1659&amp;J1659</f>
        <v/>
      </c>
    </row>
    <row r="1660">
      <c r="B1660" s="51" t="n">
        <v>44088</v>
      </c>
      <c r="C1660" s="39" t="inlineStr">
        <is>
          <t>월</t>
        </is>
      </c>
      <c r="E1660" s="39" t="inlineStr">
        <is>
          <t>고체향수</t>
        </is>
      </c>
      <c r="F1660" s="39" t="inlineStr">
        <is>
          <t>카페24</t>
        </is>
      </c>
      <c r="G1660" s="39" t="n"/>
      <c r="H1660" s="39" t="n">
        <v>13</v>
      </c>
      <c r="I1660" s="39" t="inlineStr">
        <is>
          <t>스테이포에버 2set</t>
        </is>
      </c>
      <c r="J1660" s="20" t="n">
        <v>200720</v>
      </c>
      <c r="L1660" s="39">
        <f>VLOOKUP($P1660,매칭테이블!$G:$J,2,0)*H1660</f>
        <v/>
      </c>
      <c r="M1660" s="39">
        <f>L1660-L1660*VLOOKUP($P1660,매칭테이블!$G:$J,3,0)</f>
        <v/>
      </c>
      <c r="N1660" s="39">
        <f>VLOOKUP($P1660,매칭테이블!$G:$J,4,0)*H1660</f>
        <v/>
      </c>
      <c r="O1660" s="55">
        <f>L1660/1.1</f>
        <v/>
      </c>
      <c r="P1660" s="39">
        <f>F1660&amp;E1660&amp;I1660&amp;J1660</f>
        <v/>
      </c>
    </row>
    <row r="1661">
      <c r="B1661" s="51" t="n">
        <v>44088</v>
      </c>
      <c r="C1661" s="39" t="inlineStr">
        <is>
          <t>월</t>
        </is>
      </c>
      <c r="E1661" s="39" t="inlineStr">
        <is>
          <t>고체향수</t>
        </is>
      </c>
      <c r="F1661" s="39" t="inlineStr">
        <is>
          <t>카페24</t>
        </is>
      </c>
      <c r="G1661" s="39" t="n"/>
      <c r="H1661" s="39" t="n">
        <v>1</v>
      </c>
      <c r="I1661" s="39" t="inlineStr">
        <is>
          <t>이그나이트</t>
        </is>
      </c>
      <c r="J1661" s="20" t="n">
        <v>200720</v>
      </c>
      <c r="L1661" s="39">
        <f>VLOOKUP($P1661,매칭테이블!$G:$J,2,0)*H1661</f>
        <v/>
      </c>
      <c r="M1661" s="39">
        <f>L1661-L1661*VLOOKUP($P1661,매칭테이블!$G:$J,3,0)</f>
        <v/>
      </c>
      <c r="N1661" s="39">
        <f>VLOOKUP($P1661,매칭테이블!$G:$J,4,0)*H1661</f>
        <v/>
      </c>
      <c r="O1661" s="55">
        <f>L1661/1.1</f>
        <v/>
      </c>
      <c r="P1661" s="39">
        <f>F1661&amp;E1661&amp;I1661&amp;J1661</f>
        <v/>
      </c>
    </row>
    <row r="1662">
      <c r="B1662" s="51" t="n">
        <v>44088</v>
      </c>
      <c r="C1662" s="39" t="inlineStr">
        <is>
          <t>월</t>
        </is>
      </c>
      <c r="E1662" s="39" t="inlineStr">
        <is>
          <t>쇼핑백</t>
        </is>
      </c>
      <c r="F1662" s="39" t="inlineStr">
        <is>
          <t>카페24</t>
        </is>
      </c>
      <c r="H1662" s="39" t="n">
        <v>3</v>
      </c>
      <c r="I1662" s="39" t="inlineStr">
        <is>
          <t>유즈쇼핑백</t>
        </is>
      </c>
      <c r="J1662" s="20" t="n">
        <v>200720</v>
      </c>
      <c r="L1662" s="39">
        <f>VLOOKUP($P1662,매칭테이블!$G:$J,2,0)*H1662</f>
        <v/>
      </c>
      <c r="M1662" s="39">
        <f>L1662-L1662*VLOOKUP($P1662,매칭테이블!$G:$J,3,0)</f>
        <v/>
      </c>
      <c r="N1662" s="39">
        <f>VLOOKUP($P1662,매칭테이블!$G:$J,4,0)*H1662</f>
        <v/>
      </c>
      <c r="O1662" s="55">
        <f>L1662/1.1</f>
        <v/>
      </c>
      <c r="P1662" s="39">
        <f>F1662&amp;E1662&amp;I1662&amp;J1662</f>
        <v/>
      </c>
    </row>
    <row r="1663">
      <c r="B1663" s="51" t="n">
        <v>44089</v>
      </c>
      <c r="C1663" s="39" t="inlineStr">
        <is>
          <t>화</t>
        </is>
      </c>
      <c r="E1663" s="39" t="inlineStr">
        <is>
          <t>고체향수</t>
        </is>
      </c>
      <c r="F1663" s="39" t="inlineStr">
        <is>
          <t>카페24</t>
        </is>
      </c>
      <c r="H1663" s="39" t="n">
        <v>5</v>
      </c>
      <c r="I1663" s="39" t="inlineStr">
        <is>
          <t>이그나이트 + 스테이포에버</t>
        </is>
      </c>
      <c r="J1663" s="20" t="n">
        <v>200720</v>
      </c>
      <c r="L1663" s="39">
        <f>VLOOKUP($P1663,매칭테이블!$G:$J,2,0)*H1663</f>
        <v/>
      </c>
      <c r="M1663" s="39">
        <f>L1663-L1663*VLOOKUP($P1663,매칭테이블!$G:$J,3,0)</f>
        <v/>
      </c>
      <c r="N1663" s="39">
        <f>VLOOKUP($P1663,매칭테이블!$G:$J,4,0)*H1663</f>
        <v/>
      </c>
      <c r="O1663" s="55">
        <f>L1663/1.1</f>
        <v/>
      </c>
      <c r="P1663" s="39">
        <f>F1663&amp;E1663&amp;I1663&amp;J1663</f>
        <v/>
      </c>
    </row>
    <row r="1664">
      <c r="B1664" s="51" t="n">
        <v>44089</v>
      </c>
      <c r="C1664" s="39" t="inlineStr">
        <is>
          <t>화</t>
        </is>
      </c>
      <c r="E1664" s="39" t="inlineStr">
        <is>
          <t>고체향수</t>
        </is>
      </c>
      <c r="F1664" s="39" t="inlineStr">
        <is>
          <t>카페24</t>
        </is>
      </c>
      <c r="H1664" s="39" t="n">
        <v>72</v>
      </c>
      <c r="I1664" s="39" t="inlineStr">
        <is>
          <t>스테이포에버</t>
        </is>
      </c>
      <c r="J1664" s="20" t="n">
        <v>200720</v>
      </c>
      <c r="L1664" s="39">
        <f>VLOOKUP($P1664,매칭테이블!$G:$J,2,0)*H1664</f>
        <v/>
      </c>
      <c r="M1664" s="39">
        <f>L1664-L1664*VLOOKUP($P1664,매칭테이블!$G:$J,3,0)</f>
        <v/>
      </c>
      <c r="N1664" s="39">
        <f>VLOOKUP($P1664,매칭테이블!$G:$J,4,0)*H1664</f>
        <v/>
      </c>
      <c r="O1664" s="55">
        <f>L1664/1.1</f>
        <v/>
      </c>
      <c r="P1664" s="39">
        <f>F1664&amp;E1664&amp;I1664&amp;J1664</f>
        <v/>
      </c>
    </row>
    <row r="1665">
      <c r="B1665" s="51" t="n">
        <v>44089</v>
      </c>
      <c r="C1665" s="39" t="inlineStr">
        <is>
          <t>화</t>
        </is>
      </c>
      <c r="E1665" s="39" t="inlineStr">
        <is>
          <t>고체향수</t>
        </is>
      </c>
      <c r="F1665" s="39" t="inlineStr">
        <is>
          <t>카페24</t>
        </is>
      </c>
      <c r="G1665" s="39" t="n"/>
      <c r="H1665" s="39" t="n">
        <v>18</v>
      </c>
      <c r="I1665" s="39" t="inlineStr">
        <is>
          <t>스테이포에버 2set</t>
        </is>
      </c>
      <c r="J1665" s="20" t="n">
        <v>200720</v>
      </c>
      <c r="L1665" s="39">
        <f>VLOOKUP($P1665,매칭테이블!$G:$J,2,0)*H1665</f>
        <v/>
      </c>
      <c r="M1665" s="39">
        <f>L1665-L1665*VLOOKUP($P1665,매칭테이블!$G:$J,3,0)</f>
        <v/>
      </c>
      <c r="N1665" s="39">
        <f>VLOOKUP($P1665,매칭테이블!$G:$J,4,0)*H1665</f>
        <v/>
      </c>
      <c r="O1665" s="55">
        <f>L1665/1.1</f>
        <v/>
      </c>
      <c r="P1665" s="39">
        <f>F1665&amp;E1665&amp;I1665&amp;J1665</f>
        <v/>
      </c>
    </row>
    <row r="1666">
      <c r="B1666" s="51" t="n">
        <v>44089</v>
      </c>
      <c r="C1666" s="39" t="inlineStr">
        <is>
          <t>화</t>
        </is>
      </c>
      <c r="E1666" s="39" t="inlineStr">
        <is>
          <t>고체향수</t>
        </is>
      </c>
      <c r="F1666" s="39" t="inlineStr">
        <is>
          <t>카페24</t>
        </is>
      </c>
      <c r="G1666" s="39" t="n"/>
      <c r="H1666" s="39" t="n">
        <v>3</v>
      </c>
      <c r="I1666" s="39" t="inlineStr">
        <is>
          <t>이그나이트</t>
        </is>
      </c>
      <c r="J1666" s="20" t="n">
        <v>200720</v>
      </c>
      <c r="L1666" s="39">
        <f>VLOOKUP($P1666,매칭테이블!$G:$J,2,0)*H1666</f>
        <v/>
      </c>
      <c r="M1666" s="39">
        <f>L1666-L1666*VLOOKUP($P1666,매칭테이블!$G:$J,3,0)</f>
        <v/>
      </c>
      <c r="N1666" s="39">
        <f>VLOOKUP($P1666,매칭테이블!$G:$J,4,0)*H1666</f>
        <v/>
      </c>
      <c r="O1666" s="55">
        <f>L1666/1.1</f>
        <v/>
      </c>
      <c r="P1666" s="39">
        <f>F1666&amp;E1666&amp;I1666&amp;J1666</f>
        <v/>
      </c>
    </row>
    <row r="1667">
      <c r="B1667" s="51" t="n">
        <v>44089</v>
      </c>
      <c r="C1667" s="39" t="inlineStr">
        <is>
          <t>화</t>
        </is>
      </c>
      <c r="E1667" s="39" t="inlineStr">
        <is>
          <t>쇼핑백</t>
        </is>
      </c>
      <c r="F1667" s="39" t="inlineStr">
        <is>
          <t>카페24</t>
        </is>
      </c>
      <c r="H1667" s="39" t="n">
        <v>1</v>
      </c>
      <c r="I1667" s="39" t="inlineStr">
        <is>
          <t>유즈쇼핑백</t>
        </is>
      </c>
      <c r="J1667" s="20" t="n">
        <v>200720</v>
      </c>
      <c r="L1667" s="39">
        <f>VLOOKUP($P1667,매칭테이블!$G:$J,2,0)*H1667</f>
        <v/>
      </c>
      <c r="M1667" s="39">
        <f>L1667-L1667*VLOOKUP($P1667,매칭테이블!$G:$J,3,0)</f>
        <v/>
      </c>
      <c r="N1667" s="39">
        <f>VLOOKUP($P1667,매칭테이블!$G:$J,4,0)*H1667</f>
        <v/>
      </c>
      <c r="O1667" s="55">
        <f>L1667/1.1</f>
        <v/>
      </c>
      <c r="P1667" s="39">
        <f>F1667&amp;E1667&amp;I1667&amp;J1667</f>
        <v/>
      </c>
    </row>
    <row r="1668">
      <c r="B1668" s="51" t="n">
        <v>44090</v>
      </c>
      <c r="C1668" s="39" t="inlineStr">
        <is>
          <t>수</t>
        </is>
      </c>
      <c r="E1668" s="39" t="inlineStr">
        <is>
          <t>고체향수</t>
        </is>
      </c>
      <c r="F1668" s="39" t="inlineStr">
        <is>
          <t>카페24</t>
        </is>
      </c>
      <c r="H1668" s="39" t="n">
        <v>1</v>
      </c>
      <c r="I1668" s="39" t="inlineStr">
        <is>
          <t>이그나이트 + 스테이포에버</t>
        </is>
      </c>
      <c r="J1668" s="20" t="n">
        <v>200720</v>
      </c>
      <c r="L1668" s="39">
        <f>VLOOKUP($P1668,매칭테이블!$G:$J,2,0)*H1668</f>
        <v/>
      </c>
      <c r="M1668" s="39">
        <f>L1668-L1668*VLOOKUP($P1668,매칭테이블!$G:$J,3,0)</f>
        <v/>
      </c>
      <c r="N1668" s="39">
        <f>VLOOKUP($P1668,매칭테이블!$G:$J,4,0)*H1668</f>
        <v/>
      </c>
      <c r="O1668" s="55">
        <f>L1668/1.1</f>
        <v/>
      </c>
      <c r="P1668" s="39">
        <f>F1668&amp;E1668&amp;I1668&amp;J1668</f>
        <v/>
      </c>
    </row>
    <row r="1669">
      <c r="B1669" s="51" t="n">
        <v>44090</v>
      </c>
      <c r="C1669" s="39" t="inlineStr">
        <is>
          <t>수</t>
        </is>
      </c>
      <c r="E1669" s="39" t="inlineStr">
        <is>
          <t>고체향수</t>
        </is>
      </c>
      <c r="F1669" s="39" t="inlineStr">
        <is>
          <t>카페24</t>
        </is>
      </c>
      <c r="H1669" s="39" t="n">
        <v>63</v>
      </c>
      <c r="I1669" s="39" t="inlineStr">
        <is>
          <t>스테이포에버</t>
        </is>
      </c>
      <c r="J1669" s="20" t="n">
        <v>200720</v>
      </c>
      <c r="L1669" s="39">
        <f>VLOOKUP($P1669,매칭테이블!$G:$J,2,0)*H1669</f>
        <v/>
      </c>
      <c r="M1669" s="39">
        <f>L1669-L1669*VLOOKUP($P1669,매칭테이블!$G:$J,3,0)</f>
        <v/>
      </c>
      <c r="N1669" s="39">
        <f>VLOOKUP($P1669,매칭테이블!$G:$J,4,0)*H1669</f>
        <v/>
      </c>
      <c r="O1669" s="55">
        <f>L1669/1.1</f>
        <v/>
      </c>
      <c r="P1669" s="39">
        <f>F1669&amp;E1669&amp;I1669&amp;J1669</f>
        <v/>
      </c>
    </row>
    <row r="1670">
      <c r="B1670" s="51" t="n">
        <v>44090</v>
      </c>
      <c r="C1670" s="39" t="inlineStr">
        <is>
          <t>수</t>
        </is>
      </c>
      <c r="E1670" s="39" t="inlineStr">
        <is>
          <t>고체향수</t>
        </is>
      </c>
      <c r="F1670" s="39" t="inlineStr">
        <is>
          <t>카페24</t>
        </is>
      </c>
      <c r="G1670" s="39" t="n"/>
      <c r="H1670" s="39" t="n">
        <v>12</v>
      </c>
      <c r="I1670" s="39" t="inlineStr">
        <is>
          <t>스테이포에버 2set</t>
        </is>
      </c>
      <c r="J1670" s="20" t="n">
        <v>200720</v>
      </c>
      <c r="L1670" s="39">
        <f>VLOOKUP($P1670,매칭테이블!$G:$J,2,0)*H1670</f>
        <v/>
      </c>
      <c r="M1670" s="39">
        <f>L1670-L1670*VLOOKUP($P1670,매칭테이블!$G:$J,3,0)</f>
        <v/>
      </c>
      <c r="N1670" s="39">
        <f>VLOOKUP($P1670,매칭테이블!$G:$J,4,0)*H1670</f>
        <v/>
      </c>
      <c r="O1670" s="55">
        <f>L1670/1.1</f>
        <v/>
      </c>
      <c r="P1670" s="39">
        <f>F1670&amp;E1670&amp;I1670&amp;J1670</f>
        <v/>
      </c>
    </row>
    <row r="1671">
      <c r="B1671" s="51" t="n">
        <v>44090</v>
      </c>
      <c r="C1671" s="39" t="inlineStr">
        <is>
          <t>수</t>
        </is>
      </c>
      <c r="E1671" s="39" t="inlineStr">
        <is>
          <t>고체향수</t>
        </is>
      </c>
      <c r="F1671" s="39" t="inlineStr">
        <is>
          <t>카페24</t>
        </is>
      </c>
      <c r="G1671" s="39" t="n"/>
      <c r="H1671" s="39" t="n">
        <v>1</v>
      </c>
      <c r="I1671" s="39" t="inlineStr">
        <is>
          <t>이그나이트 2set</t>
        </is>
      </c>
      <c r="J1671" s="20" t="n">
        <v>200720</v>
      </c>
      <c r="L1671" s="39">
        <f>VLOOKUP($P1671,매칭테이블!$G:$J,2,0)*H1671</f>
        <v/>
      </c>
      <c r="M1671" s="39">
        <f>L1671-L1671*VLOOKUP($P1671,매칭테이블!$G:$J,3,0)</f>
        <v/>
      </c>
      <c r="N1671" s="39">
        <f>VLOOKUP($P1671,매칭테이블!$G:$J,4,0)*H1671</f>
        <v/>
      </c>
      <c r="O1671" s="55">
        <f>L1671/1.1</f>
        <v/>
      </c>
      <c r="P1671" s="39">
        <f>F1671&amp;E1671&amp;I1671&amp;J1671</f>
        <v/>
      </c>
    </row>
    <row r="1672">
      <c r="B1672" s="51" t="n">
        <v>44090</v>
      </c>
      <c r="C1672" s="39" t="inlineStr">
        <is>
          <t>수</t>
        </is>
      </c>
      <c r="E1672" s="39" t="inlineStr">
        <is>
          <t>쇼핑백</t>
        </is>
      </c>
      <c r="F1672" s="39" t="inlineStr">
        <is>
          <t>카페24</t>
        </is>
      </c>
      <c r="H1672" s="39" t="n">
        <v>1</v>
      </c>
      <c r="I1672" s="39" t="inlineStr">
        <is>
          <t>유즈쇼핑백</t>
        </is>
      </c>
      <c r="J1672" s="20" t="n">
        <v>200720</v>
      </c>
      <c r="L1672" s="39">
        <f>VLOOKUP($P1672,매칭테이블!$G:$J,2,0)*H1672</f>
        <v/>
      </c>
      <c r="M1672" s="39">
        <f>L1672-L1672*VLOOKUP($P1672,매칭테이블!$G:$J,3,0)</f>
        <v/>
      </c>
      <c r="N1672" s="39">
        <f>VLOOKUP($P1672,매칭테이블!$G:$J,4,0)*H1672</f>
        <v/>
      </c>
      <c r="O1672" s="55">
        <f>L1672/1.1</f>
        <v/>
      </c>
      <c r="P1672" s="39">
        <f>F1672&amp;E1672&amp;I1672&amp;J1672</f>
        <v/>
      </c>
    </row>
    <row r="1673">
      <c r="B1673" s="51" t="n">
        <v>44091</v>
      </c>
      <c r="C1673" s="39" t="inlineStr">
        <is>
          <t>목</t>
        </is>
      </c>
      <c r="E1673" s="39" t="inlineStr">
        <is>
          <t>고체향수</t>
        </is>
      </c>
      <c r="F1673" s="39" t="inlineStr">
        <is>
          <t>카페24</t>
        </is>
      </c>
      <c r="H1673" s="39" t="n">
        <v>5</v>
      </c>
      <c r="I1673" s="39" t="inlineStr">
        <is>
          <t>이그나이트 + 스테이포에버</t>
        </is>
      </c>
      <c r="J1673" s="20" t="n">
        <v>200720</v>
      </c>
      <c r="L1673" s="39">
        <f>VLOOKUP($P1673,매칭테이블!$G:$J,2,0)*H1673</f>
        <v/>
      </c>
      <c r="M1673" s="39">
        <f>L1673-L1673*VLOOKUP($P1673,매칭테이블!$G:$J,3,0)</f>
        <v/>
      </c>
      <c r="N1673" s="39">
        <f>VLOOKUP($P1673,매칭테이블!$G:$J,4,0)*H1673</f>
        <v/>
      </c>
      <c r="O1673" s="55">
        <f>L1673/1.1</f>
        <v/>
      </c>
      <c r="P1673" s="39">
        <f>F1673&amp;E1673&amp;I1673&amp;J1673</f>
        <v/>
      </c>
    </row>
    <row r="1674">
      <c r="B1674" s="51" t="n">
        <v>44091</v>
      </c>
      <c r="C1674" s="39" t="inlineStr">
        <is>
          <t>목</t>
        </is>
      </c>
      <c r="E1674" s="39" t="inlineStr">
        <is>
          <t>고체향수</t>
        </is>
      </c>
      <c r="F1674" s="39" t="inlineStr">
        <is>
          <t>카페24</t>
        </is>
      </c>
      <c r="H1674" s="39" t="n">
        <v>69</v>
      </c>
      <c r="I1674" s="39" t="inlineStr">
        <is>
          <t>스테이포에버</t>
        </is>
      </c>
      <c r="J1674" s="20" t="n">
        <v>200720</v>
      </c>
      <c r="L1674" s="39">
        <f>VLOOKUP($P1674,매칭테이블!$G:$J,2,0)*H1674</f>
        <v/>
      </c>
      <c r="M1674" s="39">
        <f>L1674-L1674*VLOOKUP($P1674,매칭테이블!$G:$J,3,0)</f>
        <v/>
      </c>
      <c r="N1674" s="39">
        <f>VLOOKUP($P1674,매칭테이블!$G:$J,4,0)*H1674</f>
        <v/>
      </c>
      <c r="O1674" s="55">
        <f>L1674/1.1</f>
        <v/>
      </c>
      <c r="P1674" s="39">
        <f>F1674&amp;E1674&amp;I1674&amp;J1674</f>
        <v/>
      </c>
    </row>
    <row r="1675">
      <c r="B1675" s="51" t="n">
        <v>44091</v>
      </c>
      <c r="C1675" s="39" t="inlineStr">
        <is>
          <t>목</t>
        </is>
      </c>
      <c r="E1675" s="39" t="inlineStr">
        <is>
          <t>고체향수</t>
        </is>
      </c>
      <c r="F1675" s="39" t="inlineStr">
        <is>
          <t>카페24</t>
        </is>
      </c>
      <c r="G1675" s="39" t="n"/>
      <c r="H1675" s="39" t="n">
        <v>13</v>
      </c>
      <c r="I1675" s="39" t="inlineStr">
        <is>
          <t>스테이포에버 2set</t>
        </is>
      </c>
      <c r="J1675" s="20" t="n">
        <v>200720</v>
      </c>
      <c r="L1675" s="39">
        <f>VLOOKUP($P1675,매칭테이블!$G:$J,2,0)*H1675</f>
        <v/>
      </c>
      <c r="M1675" s="39">
        <f>L1675-L1675*VLOOKUP($P1675,매칭테이블!$G:$J,3,0)</f>
        <v/>
      </c>
      <c r="N1675" s="39">
        <f>VLOOKUP($P1675,매칭테이블!$G:$J,4,0)*H1675</f>
        <v/>
      </c>
      <c r="O1675" s="55">
        <f>L1675/1.1</f>
        <v/>
      </c>
      <c r="P1675" s="39">
        <f>F1675&amp;E1675&amp;I1675&amp;J1675</f>
        <v/>
      </c>
    </row>
    <row r="1676">
      <c r="B1676" s="51" t="n">
        <v>44091</v>
      </c>
      <c r="C1676" s="39" t="inlineStr">
        <is>
          <t>목</t>
        </is>
      </c>
      <c r="E1676" s="39" t="inlineStr">
        <is>
          <t>고체향수</t>
        </is>
      </c>
      <c r="F1676" s="39" t="inlineStr">
        <is>
          <t>카페24</t>
        </is>
      </c>
      <c r="G1676" s="39" t="n"/>
      <c r="H1676" s="39" t="n">
        <v>1</v>
      </c>
      <c r="I1676" s="39" t="inlineStr">
        <is>
          <t>이그나이트 2set</t>
        </is>
      </c>
      <c r="J1676" s="20" t="n">
        <v>200720</v>
      </c>
      <c r="L1676" s="39">
        <f>VLOOKUP($P1676,매칭테이블!$G:$J,2,0)*H1676</f>
        <v/>
      </c>
      <c r="M1676" s="39">
        <f>L1676-L1676*VLOOKUP($P1676,매칭테이블!$G:$J,3,0)</f>
        <v/>
      </c>
      <c r="N1676" s="39">
        <f>VLOOKUP($P1676,매칭테이블!$G:$J,4,0)*H1676</f>
        <v/>
      </c>
      <c r="O1676" s="55">
        <f>L1676/1.1</f>
        <v/>
      </c>
      <c r="P1676" s="39">
        <f>F1676&amp;E1676&amp;I1676&amp;J1676</f>
        <v/>
      </c>
    </row>
    <row r="1677">
      <c r="B1677" s="51" t="n">
        <v>44091</v>
      </c>
      <c r="C1677" s="39" t="inlineStr">
        <is>
          <t>목</t>
        </is>
      </c>
      <c r="E1677" s="39" t="inlineStr">
        <is>
          <t>쇼핑백</t>
        </is>
      </c>
      <c r="F1677" s="39" t="inlineStr">
        <is>
          <t>카페24</t>
        </is>
      </c>
      <c r="H1677" s="39" t="n">
        <v>1</v>
      </c>
      <c r="I1677" s="39" t="inlineStr">
        <is>
          <t>유즈쇼핑백</t>
        </is>
      </c>
      <c r="J1677" s="20" t="n">
        <v>200720</v>
      </c>
      <c r="L1677" s="39">
        <f>VLOOKUP($P1677,매칭테이블!$G:$J,2,0)*H1677</f>
        <v/>
      </c>
      <c r="M1677" s="39">
        <f>L1677-L1677*VLOOKUP($P1677,매칭테이블!$G:$J,3,0)</f>
        <v/>
      </c>
      <c r="N1677" s="39">
        <f>VLOOKUP($P1677,매칭테이블!$G:$J,4,0)*H1677</f>
        <v/>
      </c>
      <c r="O1677" s="55">
        <f>L1677/1.1</f>
        <v/>
      </c>
      <c r="P1677" s="39">
        <f>F1677&amp;E1677&amp;I1677&amp;J1677</f>
        <v/>
      </c>
    </row>
    <row r="1678">
      <c r="B1678" s="51" t="n">
        <v>44092</v>
      </c>
      <c r="C1678" s="39" t="inlineStr">
        <is>
          <t>금</t>
        </is>
      </c>
      <c r="E1678" s="39" t="inlineStr">
        <is>
          <t>고체향수</t>
        </is>
      </c>
      <c r="F1678" s="39" t="inlineStr">
        <is>
          <t>카페24</t>
        </is>
      </c>
      <c r="H1678" s="39" t="n">
        <v>3</v>
      </c>
      <c r="I1678" s="39" t="inlineStr">
        <is>
          <t>이그나이트 + 스테이포에버</t>
        </is>
      </c>
      <c r="J1678" s="20" t="n">
        <v>200720</v>
      </c>
      <c r="L1678" s="39">
        <f>VLOOKUP($P1678,매칭테이블!$G:$J,2,0)*H1678</f>
        <v/>
      </c>
      <c r="M1678" s="39">
        <f>L1678-L1678*VLOOKUP($P1678,매칭테이블!$G:$J,3,0)</f>
        <v/>
      </c>
      <c r="N1678" s="39">
        <f>VLOOKUP($P1678,매칭테이블!$G:$J,4,0)*H1678</f>
        <v/>
      </c>
      <c r="O1678" s="55">
        <f>L1678/1.1</f>
        <v/>
      </c>
      <c r="P1678" s="39">
        <f>F1678&amp;E1678&amp;I1678&amp;J1678</f>
        <v/>
      </c>
    </row>
    <row r="1679">
      <c r="B1679" s="51" t="n">
        <v>44092</v>
      </c>
      <c r="C1679" s="39" t="inlineStr">
        <is>
          <t>금</t>
        </is>
      </c>
      <c r="E1679" s="39" t="inlineStr">
        <is>
          <t>고체향수</t>
        </is>
      </c>
      <c r="F1679" s="39" t="inlineStr">
        <is>
          <t>카페24</t>
        </is>
      </c>
      <c r="H1679" s="39" t="n">
        <v>57</v>
      </c>
      <c r="I1679" s="39" t="inlineStr">
        <is>
          <t>스테이포에버</t>
        </is>
      </c>
      <c r="J1679" s="20" t="n">
        <v>200720</v>
      </c>
      <c r="L1679" s="39">
        <f>VLOOKUP($P1679,매칭테이블!$G:$J,2,0)*H1679</f>
        <v/>
      </c>
      <c r="M1679" s="39">
        <f>L1679-L1679*VLOOKUP($P1679,매칭테이블!$G:$J,3,0)</f>
        <v/>
      </c>
      <c r="N1679" s="39">
        <f>VLOOKUP($P1679,매칭테이블!$G:$J,4,0)*H1679</f>
        <v/>
      </c>
      <c r="O1679" s="55">
        <f>L1679/1.1</f>
        <v/>
      </c>
      <c r="P1679" s="39">
        <f>F1679&amp;E1679&amp;I1679&amp;J1679</f>
        <v/>
      </c>
    </row>
    <row r="1680">
      <c r="B1680" s="51" t="n">
        <v>44092</v>
      </c>
      <c r="C1680" s="39" t="inlineStr">
        <is>
          <t>금</t>
        </is>
      </c>
      <c r="E1680" s="39" t="inlineStr">
        <is>
          <t>고체향수</t>
        </is>
      </c>
      <c r="F1680" s="39" t="inlineStr">
        <is>
          <t>카페24</t>
        </is>
      </c>
      <c r="G1680" s="39" t="n"/>
      <c r="H1680" s="39" t="n">
        <v>23</v>
      </c>
      <c r="I1680" s="39" t="inlineStr">
        <is>
          <t>스테이포에버 2set</t>
        </is>
      </c>
      <c r="J1680" s="20" t="n">
        <v>200720</v>
      </c>
      <c r="L1680" s="39">
        <f>VLOOKUP($P1680,매칭테이블!$G:$J,2,0)*H1680</f>
        <v/>
      </c>
      <c r="M1680" s="39">
        <f>L1680-L1680*VLOOKUP($P1680,매칭테이블!$G:$J,3,0)</f>
        <v/>
      </c>
      <c r="N1680" s="39">
        <f>VLOOKUP($P1680,매칭테이블!$G:$J,4,0)*H1680</f>
        <v/>
      </c>
      <c r="O1680" s="55">
        <f>L1680/1.1</f>
        <v/>
      </c>
      <c r="P1680" s="39">
        <f>F1680&amp;E1680&amp;I1680&amp;J1680</f>
        <v/>
      </c>
    </row>
    <row r="1681">
      <c r="B1681" s="51" t="n">
        <v>44092</v>
      </c>
      <c r="C1681" s="39" t="inlineStr">
        <is>
          <t>금</t>
        </is>
      </c>
      <c r="E1681" s="39" t="inlineStr">
        <is>
          <t>고체향수</t>
        </is>
      </c>
      <c r="F1681" s="39" t="inlineStr">
        <is>
          <t>카페24</t>
        </is>
      </c>
      <c r="G1681" s="39" t="n"/>
      <c r="H1681" s="39" t="n">
        <v>3</v>
      </c>
      <c r="I1681" s="39" t="inlineStr">
        <is>
          <t>이그나이트</t>
        </is>
      </c>
      <c r="J1681" s="20" t="n">
        <v>200720</v>
      </c>
      <c r="L1681" s="39">
        <f>VLOOKUP($P1681,매칭테이블!$G:$J,2,0)*H1681</f>
        <v/>
      </c>
      <c r="M1681" s="39">
        <f>L1681-L1681*VLOOKUP($P1681,매칭테이블!$G:$J,3,0)</f>
        <v/>
      </c>
      <c r="N1681" s="39">
        <f>VLOOKUP($P1681,매칭테이블!$G:$J,4,0)*H1681</f>
        <v/>
      </c>
      <c r="O1681" s="55">
        <f>L1681/1.1</f>
        <v/>
      </c>
      <c r="P1681" s="39">
        <f>F1681&amp;E1681&amp;I1681&amp;J1681</f>
        <v/>
      </c>
    </row>
    <row r="1682">
      <c r="B1682" s="51" t="n">
        <v>44093</v>
      </c>
      <c r="C1682" s="39" t="inlineStr">
        <is>
          <t>토</t>
        </is>
      </c>
      <c r="E1682" s="39" t="inlineStr">
        <is>
          <t>고체향수</t>
        </is>
      </c>
      <c r="F1682" s="39" t="inlineStr">
        <is>
          <t>카페24</t>
        </is>
      </c>
      <c r="H1682" s="39" t="n">
        <v>6</v>
      </c>
      <c r="I1682" s="39" t="inlineStr">
        <is>
          <t>이그나이트 + 스테이포에버</t>
        </is>
      </c>
      <c r="J1682" s="20" t="n">
        <v>200720</v>
      </c>
      <c r="L1682" s="39">
        <f>VLOOKUP($P1682,매칭테이블!$G:$J,2,0)*H1682</f>
        <v/>
      </c>
      <c r="M1682" s="39">
        <f>L1682-L1682*VLOOKUP($P1682,매칭테이블!$G:$J,3,0)</f>
        <v/>
      </c>
      <c r="N1682" s="39">
        <f>VLOOKUP($P1682,매칭테이블!$G:$J,4,0)*H1682</f>
        <v/>
      </c>
      <c r="O1682" s="55">
        <f>L1682/1.1</f>
        <v/>
      </c>
      <c r="P1682" s="39">
        <f>F1682&amp;E1682&amp;I1682&amp;J1682</f>
        <v/>
      </c>
    </row>
    <row r="1683">
      <c r="B1683" s="51" t="n">
        <v>44093</v>
      </c>
      <c r="C1683" s="39" t="inlineStr">
        <is>
          <t>토</t>
        </is>
      </c>
      <c r="E1683" s="39" t="inlineStr">
        <is>
          <t>고체향수</t>
        </is>
      </c>
      <c r="F1683" s="39" t="inlineStr">
        <is>
          <t>카페24</t>
        </is>
      </c>
      <c r="H1683" s="39" t="n">
        <v>60</v>
      </c>
      <c r="I1683" s="39" t="inlineStr">
        <is>
          <t>스테이포에버</t>
        </is>
      </c>
      <c r="J1683" s="20" t="n">
        <v>200720</v>
      </c>
      <c r="L1683" s="39">
        <f>VLOOKUP($P1683,매칭테이블!$G:$J,2,0)*H1683</f>
        <v/>
      </c>
      <c r="M1683" s="39">
        <f>L1683-L1683*VLOOKUP($P1683,매칭테이블!$G:$J,3,0)</f>
        <v/>
      </c>
      <c r="N1683" s="39">
        <f>VLOOKUP($P1683,매칭테이블!$G:$J,4,0)*H1683</f>
        <v/>
      </c>
      <c r="O1683" s="55">
        <f>L1683/1.1</f>
        <v/>
      </c>
      <c r="P1683" s="39">
        <f>F1683&amp;E1683&amp;I1683&amp;J1683</f>
        <v/>
      </c>
    </row>
    <row r="1684">
      <c r="B1684" s="51" t="n">
        <v>44093</v>
      </c>
      <c r="C1684" s="39" t="inlineStr">
        <is>
          <t>토</t>
        </is>
      </c>
      <c r="E1684" s="39" t="inlineStr">
        <is>
          <t>고체향수</t>
        </is>
      </c>
      <c r="F1684" s="39" t="inlineStr">
        <is>
          <t>카페24</t>
        </is>
      </c>
      <c r="G1684" s="39" t="n"/>
      <c r="H1684" s="39" t="n">
        <v>17</v>
      </c>
      <c r="I1684" s="39" t="inlineStr">
        <is>
          <t>스테이포에버 2set</t>
        </is>
      </c>
      <c r="J1684" s="20" t="n">
        <v>200720</v>
      </c>
      <c r="L1684" s="39">
        <f>VLOOKUP($P1684,매칭테이블!$G:$J,2,0)*H1684</f>
        <v/>
      </c>
      <c r="M1684" s="39">
        <f>L1684-L1684*VLOOKUP($P1684,매칭테이블!$G:$J,3,0)</f>
        <v/>
      </c>
      <c r="N1684" s="39">
        <f>VLOOKUP($P1684,매칭테이블!$G:$J,4,0)*H1684</f>
        <v/>
      </c>
      <c r="O1684" s="55">
        <f>L1684/1.1</f>
        <v/>
      </c>
      <c r="P1684" s="39">
        <f>F1684&amp;E1684&amp;I1684&amp;J1684</f>
        <v/>
      </c>
    </row>
    <row r="1685">
      <c r="B1685" s="51" t="n">
        <v>44093</v>
      </c>
      <c r="C1685" s="39" t="inlineStr">
        <is>
          <t>토</t>
        </is>
      </c>
      <c r="E1685" s="39" t="inlineStr">
        <is>
          <t>고체향수</t>
        </is>
      </c>
      <c r="F1685" s="39" t="inlineStr">
        <is>
          <t>카페24</t>
        </is>
      </c>
      <c r="G1685" s="39" t="n"/>
      <c r="H1685" s="39" t="n">
        <v>1</v>
      </c>
      <c r="I1685" s="39" t="inlineStr">
        <is>
          <t>이그나이트</t>
        </is>
      </c>
      <c r="J1685" s="20" t="n">
        <v>200720</v>
      </c>
      <c r="L1685" s="39">
        <f>VLOOKUP($P1685,매칭테이블!$G:$J,2,0)*H1685</f>
        <v/>
      </c>
      <c r="M1685" s="39">
        <f>L1685-L1685*VLOOKUP($P1685,매칭테이블!$G:$J,3,0)</f>
        <v/>
      </c>
      <c r="N1685" s="39">
        <f>VLOOKUP($P1685,매칭테이블!$G:$J,4,0)*H1685</f>
        <v/>
      </c>
      <c r="O1685" s="55">
        <f>L1685/1.1</f>
        <v/>
      </c>
      <c r="P1685" s="39">
        <f>F1685&amp;E1685&amp;I1685&amp;J1685</f>
        <v/>
      </c>
    </row>
    <row r="1686">
      <c r="B1686" s="51" t="n">
        <v>44093</v>
      </c>
      <c r="C1686" s="39" t="inlineStr">
        <is>
          <t>토</t>
        </is>
      </c>
      <c r="E1686" s="39" t="inlineStr">
        <is>
          <t>쇼핑백</t>
        </is>
      </c>
      <c r="F1686" s="39" t="inlineStr">
        <is>
          <t>카페24</t>
        </is>
      </c>
      <c r="H1686" s="39" t="n">
        <v>4</v>
      </c>
      <c r="I1686" s="39" t="inlineStr">
        <is>
          <t>유즈쇼핑백</t>
        </is>
      </c>
      <c r="J1686" s="20" t="n">
        <v>200720</v>
      </c>
      <c r="L1686" s="39">
        <f>VLOOKUP($P1686,매칭테이블!$G:$J,2,0)*H1686</f>
        <v/>
      </c>
      <c r="M1686" s="39">
        <f>L1686-L1686*VLOOKUP($P1686,매칭테이블!$G:$J,3,0)</f>
        <v/>
      </c>
      <c r="N1686" s="39">
        <f>VLOOKUP($P1686,매칭테이블!$G:$J,4,0)*H1686</f>
        <v/>
      </c>
      <c r="O1686" s="55">
        <f>L1686/1.1</f>
        <v/>
      </c>
      <c r="P1686" s="39">
        <f>F1686&amp;E1686&amp;I1686&amp;J1686</f>
        <v/>
      </c>
    </row>
    <row r="1687">
      <c r="B1687" s="51" t="n">
        <v>44094</v>
      </c>
      <c r="C1687" s="39" t="inlineStr">
        <is>
          <t>일</t>
        </is>
      </c>
      <c r="E1687" s="39" t="inlineStr">
        <is>
          <t>고체향수</t>
        </is>
      </c>
      <c r="F1687" s="39" t="inlineStr">
        <is>
          <t>카페24</t>
        </is>
      </c>
      <c r="H1687" s="39" t="n">
        <v>5</v>
      </c>
      <c r="I1687" s="39" t="inlineStr">
        <is>
          <t>이그나이트 + 스테이포에버</t>
        </is>
      </c>
      <c r="J1687" s="20" t="n">
        <v>200720</v>
      </c>
      <c r="L1687" s="39">
        <f>VLOOKUP($P1687,매칭테이블!$G:$J,2,0)*H1687</f>
        <v/>
      </c>
      <c r="M1687" s="39">
        <f>L1687-L1687*VLOOKUP($P1687,매칭테이블!$G:$J,3,0)</f>
        <v/>
      </c>
      <c r="N1687" s="39">
        <f>VLOOKUP($P1687,매칭테이블!$G:$J,4,0)*H1687</f>
        <v/>
      </c>
      <c r="O1687" s="55">
        <f>L1687/1.1</f>
        <v/>
      </c>
      <c r="P1687" s="39">
        <f>F1687&amp;E1687&amp;I1687&amp;J1687</f>
        <v/>
      </c>
    </row>
    <row r="1688">
      <c r="B1688" s="51" t="n">
        <v>44094</v>
      </c>
      <c r="C1688" s="39" t="inlineStr">
        <is>
          <t>일</t>
        </is>
      </c>
      <c r="E1688" s="39" t="inlineStr">
        <is>
          <t>고체향수</t>
        </is>
      </c>
      <c r="F1688" s="39" t="inlineStr">
        <is>
          <t>카페24</t>
        </is>
      </c>
      <c r="H1688" s="39" t="n">
        <v>81</v>
      </c>
      <c r="I1688" s="39" t="inlineStr">
        <is>
          <t>스테이포에버</t>
        </is>
      </c>
      <c r="J1688" s="20" t="n">
        <v>200720</v>
      </c>
      <c r="L1688" s="39">
        <f>VLOOKUP($P1688,매칭테이블!$G:$J,2,0)*H1688</f>
        <v/>
      </c>
      <c r="M1688" s="39">
        <f>L1688-L1688*VLOOKUP($P1688,매칭테이블!$G:$J,3,0)</f>
        <v/>
      </c>
      <c r="N1688" s="39">
        <f>VLOOKUP($P1688,매칭테이블!$G:$J,4,0)*H1688</f>
        <v/>
      </c>
      <c r="O1688" s="55">
        <f>L1688/1.1</f>
        <v/>
      </c>
      <c r="P1688" s="39">
        <f>F1688&amp;E1688&amp;I1688&amp;J1688</f>
        <v/>
      </c>
    </row>
    <row r="1689">
      <c r="B1689" s="51" t="n">
        <v>44094</v>
      </c>
      <c r="C1689" s="39" t="inlineStr">
        <is>
          <t>일</t>
        </is>
      </c>
      <c r="E1689" s="39" t="inlineStr">
        <is>
          <t>고체향수</t>
        </is>
      </c>
      <c r="F1689" s="39" t="inlineStr">
        <is>
          <t>카페24</t>
        </is>
      </c>
      <c r="G1689" s="39" t="n"/>
      <c r="H1689" s="39" t="n">
        <v>13</v>
      </c>
      <c r="I1689" s="39" t="inlineStr">
        <is>
          <t>스테이포에버 2set</t>
        </is>
      </c>
      <c r="J1689" s="20" t="n">
        <v>200720</v>
      </c>
      <c r="L1689" s="39">
        <f>VLOOKUP($P1689,매칭테이블!$G:$J,2,0)*H1689</f>
        <v/>
      </c>
      <c r="M1689" s="39">
        <f>L1689-L1689*VLOOKUP($P1689,매칭테이블!$G:$J,3,0)</f>
        <v/>
      </c>
      <c r="N1689" s="39">
        <f>VLOOKUP($P1689,매칭테이블!$G:$J,4,0)*H1689</f>
        <v/>
      </c>
      <c r="O1689" s="55">
        <f>L1689/1.1</f>
        <v/>
      </c>
      <c r="P1689" s="39">
        <f>F1689&amp;E1689&amp;I1689&amp;J1689</f>
        <v/>
      </c>
    </row>
    <row r="1690">
      <c r="B1690" s="51" t="n">
        <v>44094</v>
      </c>
      <c r="C1690" s="39" t="inlineStr">
        <is>
          <t>일</t>
        </is>
      </c>
      <c r="E1690" s="39" t="inlineStr">
        <is>
          <t>고체향수</t>
        </is>
      </c>
      <c r="F1690" s="39" t="inlineStr">
        <is>
          <t>카페24</t>
        </is>
      </c>
      <c r="G1690" s="39" t="n"/>
      <c r="H1690" s="39" t="n">
        <v>2</v>
      </c>
      <c r="I1690" s="39" t="inlineStr">
        <is>
          <t>이그나이트</t>
        </is>
      </c>
      <c r="J1690" s="20" t="n">
        <v>200720</v>
      </c>
      <c r="L1690" s="39">
        <f>VLOOKUP($P1690,매칭테이블!$G:$J,2,0)*H1690</f>
        <v/>
      </c>
      <c r="M1690" s="39">
        <f>L1690-L1690*VLOOKUP($P1690,매칭테이블!$G:$J,3,0)</f>
        <v/>
      </c>
      <c r="N1690" s="39">
        <f>VLOOKUP($P1690,매칭테이블!$G:$J,4,0)*H1690</f>
        <v/>
      </c>
      <c r="O1690" s="55">
        <f>L1690/1.1</f>
        <v/>
      </c>
      <c r="P1690" s="39">
        <f>F1690&amp;E1690&amp;I1690&amp;J1690</f>
        <v/>
      </c>
    </row>
    <row r="1691">
      <c r="B1691" s="51" t="n">
        <v>44094</v>
      </c>
      <c r="C1691" s="39" t="inlineStr">
        <is>
          <t>일</t>
        </is>
      </c>
      <c r="E1691" s="39" t="inlineStr">
        <is>
          <t>쇼핑백</t>
        </is>
      </c>
      <c r="F1691" s="39" t="inlineStr">
        <is>
          <t>카페24</t>
        </is>
      </c>
      <c r="H1691" s="39" t="n">
        <v>2</v>
      </c>
      <c r="I1691" s="39" t="inlineStr">
        <is>
          <t>유즈쇼핑백</t>
        </is>
      </c>
      <c r="J1691" s="20" t="n">
        <v>200720</v>
      </c>
      <c r="L1691" s="39">
        <f>VLOOKUP($P1691,매칭테이블!$G:$J,2,0)*H1691</f>
        <v/>
      </c>
      <c r="M1691" s="39">
        <f>L1691-L1691*VLOOKUP($P1691,매칭테이블!$G:$J,3,0)</f>
        <v/>
      </c>
      <c r="N1691" s="39">
        <f>VLOOKUP($P1691,매칭테이블!$G:$J,4,0)*H1691</f>
        <v/>
      </c>
      <c r="O1691" s="55">
        <f>L1691/1.1</f>
        <v/>
      </c>
      <c r="P1691" s="39">
        <f>F1691&amp;E1691&amp;I1691&amp;J1691</f>
        <v/>
      </c>
    </row>
    <row r="1692">
      <c r="B1692" s="51" t="n">
        <v>44095</v>
      </c>
      <c r="C1692" s="39" t="inlineStr">
        <is>
          <t>월</t>
        </is>
      </c>
      <c r="E1692" s="39" t="inlineStr">
        <is>
          <t>고체향수</t>
        </is>
      </c>
      <c r="F1692" s="39" t="inlineStr">
        <is>
          <t>카페24</t>
        </is>
      </c>
      <c r="H1692" s="39" t="n">
        <v>9</v>
      </c>
      <c r="I1692" s="39" t="inlineStr">
        <is>
          <t>이그나이트 + 스테이포에버</t>
        </is>
      </c>
      <c r="J1692" s="20" t="n">
        <v>200720</v>
      </c>
      <c r="L1692" s="39">
        <f>VLOOKUP($P1692,매칭테이블!$G:$J,2,0)*H1692</f>
        <v/>
      </c>
      <c r="M1692" s="39">
        <f>L1692-L1692*VLOOKUP($P1692,매칭테이블!$G:$J,3,0)</f>
        <v/>
      </c>
      <c r="N1692" s="39">
        <f>VLOOKUP($P1692,매칭테이블!$G:$J,4,0)*H1692</f>
        <v/>
      </c>
      <c r="O1692" s="55">
        <f>L1692/1.1</f>
        <v/>
      </c>
      <c r="P1692" s="39">
        <f>F1692&amp;E1692&amp;I1692&amp;J1692</f>
        <v/>
      </c>
    </row>
    <row r="1693">
      <c r="B1693" s="51" t="n">
        <v>44095</v>
      </c>
      <c r="C1693" s="39" t="inlineStr">
        <is>
          <t>월</t>
        </is>
      </c>
      <c r="E1693" s="39" t="inlineStr">
        <is>
          <t>고체향수</t>
        </is>
      </c>
      <c r="F1693" s="39" t="inlineStr">
        <is>
          <t>카페24</t>
        </is>
      </c>
      <c r="H1693" s="39" t="n">
        <v>63</v>
      </c>
      <c r="I1693" s="39" t="inlineStr">
        <is>
          <t>스테이포에버</t>
        </is>
      </c>
      <c r="J1693" s="20" t="n">
        <v>200720</v>
      </c>
      <c r="L1693" s="39">
        <f>VLOOKUP($P1693,매칭테이블!$G:$J,2,0)*H1693</f>
        <v/>
      </c>
      <c r="M1693" s="39">
        <f>L1693-L1693*VLOOKUP($P1693,매칭테이블!$G:$J,3,0)</f>
        <v/>
      </c>
      <c r="N1693" s="39">
        <f>VLOOKUP($P1693,매칭테이블!$G:$J,4,0)*H1693</f>
        <v/>
      </c>
      <c r="O1693" s="55">
        <f>L1693/1.1</f>
        <v/>
      </c>
      <c r="P1693" s="39">
        <f>F1693&amp;E1693&amp;I1693&amp;J1693</f>
        <v/>
      </c>
    </row>
    <row r="1694">
      <c r="B1694" s="51" t="n">
        <v>44095</v>
      </c>
      <c r="C1694" s="39" t="inlineStr">
        <is>
          <t>월</t>
        </is>
      </c>
      <c r="E1694" s="39" t="inlineStr">
        <is>
          <t>고체향수</t>
        </is>
      </c>
      <c r="F1694" s="39" t="inlineStr">
        <is>
          <t>카페24</t>
        </is>
      </c>
      <c r="G1694" s="39" t="n"/>
      <c r="H1694" s="39" t="n">
        <v>12</v>
      </c>
      <c r="I1694" s="39" t="inlineStr">
        <is>
          <t>스테이포에버 2set</t>
        </is>
      </c>
      <c r="J1694" s="20" t="n">
        <v>200720</v>
      </c>
      <c r="L1694" s="39">
        <f>VLOOKUP($P1694,매칭테이블!$G:$J,2,0)*H1694</f>
        <v/>
      </c>
      <c r="M1694" s="39">
        <f>L1694-L1694*VLOOKUP($P1694,매칭테이블!$G:$J,3,0)</f>
        <v/>
      </c>
      <c r="N1694" s="39">
        <f>VLOOKUP($P1694,매칭테이블!$G:$J,4,0)*H1694</f>
        <v/>
      </c>
      <c r="O1694" s="55">
        <f>L1694/1.1</f>
        <v/>
      </c>
      <c r="P1694" s="39">
        <f>F1694&amp;E1694&amp;I1694&amp;J1694</f>
        <v/>
      </c>
    </row>
    <row r="1695">
      <c r="B1695" s="51" t="n">
        <v>44095</v>
      </c>
      <c r="C1695" s="39" t="inlineStr">
        <is>
          <t>월</t>
        </is>
      </c>
      <c r="E1695" s="39" t="inlineStr">
        <is>
          <t>고체향수</t>
        </is>
      </c>
      <c r="F1695" s="39" t="inlineStr">
        <is>
          <t>카페24</t>
        </is>
      </c>
      <c r="G1695" s="39" t="n"/>
      <c r="H1695" s="39" t="n">
        <v>5</v>
      </c>
      <c r="I1695" s="39" t="inlineStr">
        <is>
          <t>이그나이트</t>
        </is>
      </c>
      <c r="J1695" s="20" t="n">
        <v>200720</v>
      </c>
      <c r="L1695" s="39">
        <f>VLOOKUP($P1695,매칭테이블!$G:$J,2,0)*H1695</f>
        <v/>
      </c>
      <c r="M1695" s="39">
        <f>L1695-L1695*VLOOKUP($P1695,매칭테이블!$G:$J,3,0)</f>
        <v/>
      </c>
      <c r="N1695" s="39">
        <f>VLOOKUP($P1695,매칭테이블!$G:$J,4,0)*H1695</f>
        <v/>
      </c>
      <c r="O1695" s="55">
        <f>L1695/1.1</f>
        <v/>
      </c>
      <c r="P1695" s="39">
        <f>F1695&amp;E1695&amp;I1695&amp;J1695</f>
        <v/>
      </c>
    </row>
    <row r="1696">
      <c r="B1696" s="51" t="n">
        <v>44095</v>
      </c>
      <c r="C1696" s="39" t="inlineStr">
        <is>
          <t>월</t>
        </is>
      </c>
      <c r="E1696" s="39" t="inlineStr">
        <is>
          <t>쇼핑백</t>
        </is>
      </c>
      <c r="F1696" s="39" t="inlineStr">
        <is>
          <t>카페24</t>
        </is>
      </c>
      <c r="H1696" s="39" t="n">
        <v>2</v>
      </c>
      <c r="I1696" s="39" t="inlineStr">
        <is>
          <t>유즈쇼핑백</t>
        </is>
      </c>
      <c r="J1696" s="20" t="n">
        <v>200720</v>
      </c>
      <c r="L1696" s="39">
        <f>VLOOKUP($P1696,매칭테이블!$G:$J,2,0)*H1696</f>
        <v/>
      </c>
      <c r="M1696" s="39">
        <f>L1696-L1696*VLOOKUP($P1696,매칭테이블!$G:$J,3,0)</f>
        <v/>
      </c>
      <c r="N1696" s="39">
        <f>VLOOKUP($P1696,매칭테이블!$G:$J,4,0)*H1696</f>
        <v/>
      </c>
      <c r="O1696" s="55">
        <f>L1696/1.1</f>
        <v/>
      </c>
      <c r="P1696" s="39">
        <f>F1696&amp;E1696&amp;I1696&amp;J1696</f>
        <v/>
      </c>
    </row>
    <row r="1697">
      <c r="B1697" s="51" t="n">
        <v>44095</v>
      </c>
      <c r="C1697" s="39" t="inlineStr">
        <is>
          <t>월</t>
        </is>
      </c>
      <c r="E1697" s="39" t="inlineStr">
        <is>
          <t>고체향수</t>
        </is>
      </c>
      <c r="F1697" s="39" t="inlineStr">
        <is>
          <t>유즈 CS</t>
        </is>
      </c>
      <c r="G1697" s="39" t="n"/>
      <c r="H1697" s="39" t="n">
        <v>1</v>
      </c>
      <c r="I1697" s="39" t="inlineStr">
        <is>
          <t>스테이포에버</t>
        </is>
      </c>
      <c r="J1697" s="39" t="n">
        <v>200520</v>
      </c>
      <c r="L1697" s="39">
        <f>VLOOKUP($P1697,매칭테이블!$G:$J,2,0)*H1697</f>
        <v/>
      </c>
      <c r="M1697" s="39">
        <f>L1697-L1697*VLOOKUP($P1697,매칭테이블!$G:$J,3,0)</f>
        <v/>
      </c>
      <c r="N1697" s="39">
        <f>VLOOKUP($P1697,매칭테이블!$G:$J,4,0)*H1697</f>
        <v/>
      </c>
      <c r="O1697" s="55">
        <f>L1697/1.1</f>
        <v/>
      </c>
      <c r="P1697" s="39">
        <f>F1697&amp;E1697&amp;I1697&amp;J1697</f>
        <v/>
      </c>
    </row>
    <row r="1698">
      <c r="B1698" s="51" t="n">
        <v>44096</v>
      </c>
      <c r="C1698" s="39" t="inlineStr">
        <is>
          <t>화</t>
        </is>
      </c>
      <c r="E1698" s="39" t="inlineStr">
        <is>
          <t>고체향수</t>
        </is>
      </c>
      <c r="F1698" s="39" t="inlineStr">
        <is>
          <t>카페24</t>
        </is>
      </c>
      <c r="H1698" s="39" t="n">
        <v>5</v>
      </c>
      <c r="I1698" s="39" t="inlineStr">
        <is>
          <t>이그나이트 + 스테이포에버</t>
        </is>
      </c>
      <c r="J1698" s="20" t="n">
        <v>200720</v>
      </c>
      <c r="L1698" s="39">
        <f>VLOOKUP($P1698,매칭테이블!$G:$J,2,0)*H1698</f>
        <v/>
      </c>
      <c r="M1698" s="39">
        <f>L1698-L1698*VLOOKUP($P1698,매칭테이블!$G:$J,3,0)</f>
        <v/>
      </c>
      <c r="N1698" s="39">
        <f>VLOOKUP($P1698,매칭테이블!$G:$J,4,0)*H1698</f>
        <v/>
      </c>
      <c r="O1698" s="55">
        <f>L1698/1.1</f>
        <v/>
      </c>
      <c r="P1698" s="39">
        <f>F1698&amp;E1698&amp;I1698&amp;J1698</f>
        <v/>
      </c>
    </row>
    <row r="1699">
      <c r="B1699" s="51" t="n">
        <v>44096</v>
      </c>
      <c r="C1699" s="39" t="inlineStr">
        <is>
          <t>화</t>
        </is>
      </c>
      <c r="E1699" s="39" t="inlineStr">
        <is>
          <t>고체향수</t>
        </is>
      </c>
      <c r="F1699" s="39" t="inlineStr">
        <is>
          <t>카페24</t>
        </is>
      </c>
      <c r="H1699" s="39" t="n">
        <v>76</v>
      </c>
      <c r="I1699" s="39" t="inlineStr">
        <is>
          <t>스테이포에버</t>
        </is>
      </c>
      <c r="J1699" s="20" t="n">
        <v>200720</v>
      </c>
      <c r="L1699" s="39">
        <f>VLOOKUP($P1699,매칭테이블!$G:$J,2,0)*H1699</f>
        <v/>
      </c>
      <c r="M1699" s="39">
        <f>L1699-L1699*VLOOKUP($P1699,매칭테이블!$G:$J,3,0)</f>
        <v/>
      </c>
      <c r="N1699" s="39">
        <f>VLOOKUP($P1699,매칭테이블!$G:$J,4,0)*H1699</f>
        <v/>
      </c>
      <c r="O1699" s="55">
        <f>L1699/1.1</f>
        <v/>
      </c>
      <c r="P1699" s="39">
        <f>F1699&amp;E1699&amp;I1699&amp;J1699</f>
        <v/>
      </c>
    </row>
    <row r="1700">
      <c r="B1700" s="51" t="n">
        <v>44096</v>
      </c>
      <c r="C1700" s="39" t="inlineStr">
        <is>
          <t>화</t>
        </is>
      </c>
      <c r="E1700" s="39" t="inlineStr">
        <is>
          <t>고체향수</t>
        </is>
      </c>
      <c r="F1700" s="39" t="inlineStr">
        <is>
          <t>카페24</t>
        </is>
      </c>
      <c r="G1700" s="39" t="n"/>
      <c r="H1700" s="39" t="n">
        <v>15</v>
      </c>
      <c r="I1700" s="39" t="inlineStr">
        <is>
          <t>스테이포에버 2set</t>
        </is>
      </c>
      <c r="J1700" s="20" t="n">
        <v>200720</v>
      </c>
      <c r="L1700" s="39">
        <f>VLOOKUP($P1700,매칭테이블!$G:$J,2,0)*H1700</f>
        <v/>
      </c>
      <c r="M1700" s="39">
        <f>L1700-L1700*VLOOKUP($P1700,매칭테이블!$G:$J,3,0)</f>
        <v/>
      </c>
      <c r="N1700" s="39">
        <f>VLOOKUP($P1700,매칭테이블!$G:$J,4,0)*H1700</f>
        <v/>
      </c>
      <c r="O1700" s="55">
        <f>L1700/1.1</f>
        <v/>
      </c>
      <c r="P1700" s="39">
        <f>F1700&amp;E1700&amp;I1700&amp;J1700</f>
        <v/>
      </c>
    </row>
    <row r="1701">
      <c r="B1701" s="51" t="n">
        <v>44096</v>
      </c>
      <c r="C1701" s="39" t="inlineStr">
        <is>
          <t>화</t>
        </is>
      </c>
      <c r="E1701" s="39" t="inlineStr">
        <is>
          <t>고체향수</t>
        </is>
      </c>
      <c r="F1701" s="39" t="inlineStr">
        <is>
          <t>카페24</t>
        </is>
      </c>
      <c r="G1701" s="39" t="n"/>
      <c r="H1701" s="39" t="n">
        <v>1</v>
      </c>
      <c r="I1701" s="39" t="inlineStr">
        <is>
          <t>이그나이트</t>
        </is>
      </c>
      <c r="J1701" s="20" t="n">
        <v>200720</v>
      </c>
      <c r="L1701" s="39">
        <f>VLOOKUP($P1701,매칭테이블!$G:$J,2,0)*H1701</f>
        <v/>
      </c>
      <c r="M1701" s="39">
        <f>L1701-L1701*VLOOKUP($P1701,매칭테이블!$G:$J,3,0)</f>
        <v/>
      </c>
      <c r="N1701" s="39">
        <f>VLOOKUP($P1701,매칭테이블!$G:$J,4,0)*H1701</f>
        <v/>
      </c>
      <c r="O1701" s="55">
        <f>L1701/1.1</f>
        <v/>
      </c>
      <c r="P1701" s="39">
        <f>F1701&amp;E1701&amp;I1701&amp;J1701</f>
        <v/>
      </c>
    </row>
    <row r="1702">
      <c r="B1702" s="51" t="n">
        <v>44096</v>
      </c>
      <c r="C1702" s="39" t="inlineStr">
        <is>
          <t>화</t>
        </is>
      </c>
      <c r="E1702" s="39" t="inlineStr">
        <is>
          <t>쇼핑백</t>
        </is>
      </c>
      <c r="F1702" s="39" t="inlineStr">
        <is>
          <t>카페24</t>
        </is>
      </c>
      <c r="H1702" s="39" t="n">
        <v>1</v>
      </c>
      <c r="I1702" s="39" t="inlineStr">
        <is>
          <t>유즈쇼핑백</t>
        </is>
      </c>
      <c r="J1702" s="20" t="n">
        <v>200720</v>
      </c>
      <c r="L1702" s="39">
        <f>VLOOKUP($P1702,매칭테이블!$G:$J,2,0)*H1702</f>
        <v/>
      </c>
      <c r="M1702" s="39">
        <f>L1702-L1702*VLOOKUP($P1702,매칭테이블!$G:$J,3,0)</f>
        <v/>
      </c>
      <c r="N1702" s="39">
        <f>VLOOKUP($P1702,매칭테이블!$G:$J,4,0)*H1702</f>
        <v/>
      </c>
      <c r="O1702" s="55">
        <f>L1702/1.1</f>
        <v/>
      </c>
      <c r="P1702" s="39">
        <f>F1702&amp;E1702&amp;I1702&amp;J1702</f>
        <v/>
      </c>
    </row>
    <row r="1703">
      <c r="B1703" s="51" t="n">
        <v>44097</v>
      </c>
      <c r="C1703" s="39" t="inlineStr">
        <is>
          <t>수</t>
        </is>
      </c>
      <c r="E1703" s="39" t="inlineStr">
        <is>
          <t>고체향수</t>
        </is>
      </c>
      <c r="F1703" s="39" t="inlineStr">
        <is>
          <t>카페24</t>
        </is>
      </c>
      <c r="H1703" s="39" t="n">
        <v>4</v>
      </c>
      <c r="I1703" s="39" t="inlineStr">
        <is>
          <t>이그나이트 + 스테이포에버</t>
        </is>
      </c>
      <c r="J1703" s="20" t="n">
        <v>200720</v>
      </c>
      <c r="L1703" s="39">
        <f>VLOOKUP($P1703,매칭테이블!$G:$J,2,0)*H1703</f>
        <v/>
      </c>
      <c r="M1703" s="39">
        <f>L1703-L1703*VLOOKUP($P1703,매칭테이블!$G:$J,3,0)</f>
        <v/>
      </c>
      <c r="N1703" s="39">
        <f>VLOOKUP($P1703,매칭테이블!$G:$J,4,0)*H1703</f>
        <v/>
      </c>
      <c r="O1703" s="55">
        <f>L1703/1.1</f>
        <v/>
      </c>
      <c r="P1703" s="39">
        <f>F1703&amp;E1703&amp;I1703&amp;J1703</f>
        <v/>
      </c>
    </row>
    <row r="1704">
      <c r="B1704" s="51" t="n">
        <v>44097</v>
      </c>
      <c r="C1704" s="39" t="inlineStr">
        <is>
          <t>수</t>
        </is>
      </c>
      <c r="E1704" s="39" t="inlineStr">
        <is>
          <t>고체향수</t>
        </is>
      </c>
      <c r="F1704" s="39" t="inlineStr">
        <is>
          <t>카페24</t>
        </is>
      </c>
      <c r="H1704" s="39" t="n">
        <v>77</v>
      </c>
      <c r="I1704" s="39" t="inlineStr">
        <is>
          <t>스테이포에버</t>
        </is>
      </c>
      <c r="J1704" s="20" t="n">
        <v>200720</v>
      </c>
      <c r="L1704" s="39">
        <f>VLOOKUP($P1704,매칭테이블!$G:$J,2,0)*H1704</f>
        <v/>
      </c>
      <c r="M1704" s="39">
        <f>L1704-L1704*VLOOKUP($P1704,매칭테이블!$G:$J,3,0)</f>
        <v/>
      </c>
      <c r="N1704" s="39">
        <f>VLOOKUP($P1704,매칭테이블!$G:$J,4,0)*H1704</f>
        <v/>
      </c>
      <c r="O1704" s="55">
        <f>L1704/1.1</f>
        <v/>
      </c>
      <c r="P1704" s="39">
        <f>F1704&amp;E1704&amp;I1704&amp;J1704</f>
        <v/>
      </c>
    </row>
    <row r="1705">
      <c r="B1705" s="51" t="n">
        <v>44097</v>
      </c>
      <c r="C1705" s="39" t="inlineStr">
        <is>
          <t>수</t>
        </is>
      </c>
      <c r="E1705" s="39" t="inlineStr">
        <is>
          <t>고체향수</t>
        </is>
      </c>
      <c r="F1705" s="39" t="inlineStr">
        <is>
          <t>카페24</t>
        </is>
      </c>
      <c r="G1705" s="39" t="n"/>
      <c r="H1705" s="39" t="n">
        <v>21</v>
      </c>
      <c r="I1705" s="39" t="inlineStr">
        <is>
          <t>스테이포에버 2set</t>
        </is>
      </c>
      <c r="J1705" s="20" t="n">
        <v>200720</v>
      </c>
      <c r="L1705" s="39">
        <f>VLOOKUP($P1705,매칭테이블!$G:$J,2,0)*H1705</f>
        <v/>
      </c>
      <c r="M1705" s="39">
        <f>L1705-L1705*VLOOKUP($P1705,매칭테이블!$G:$J,3,0)</f>
        <v/>
      </c>
      <c r="N1705" s="39">
        <f>VLOOKUP($P1705,매칭테이블!$G:$J,4,0)*H1705</f>
        <v/>
      </c>
      <c r="O1705" s="55">
        <f>L1705/1.1</f>
        <v/>
      </c>
      <c r="P1705" s="39">
        <f>F1705&amp;E1705&amp;I1705&amp;J1705</f>
        <v/>
      </c>
    </row>
    <row r="1706">
      <c r="B1706" s="51" t="n">
        <v>44097</v>
      </c>
      <c r="C1706" s="39" t="inlineStr">
        <is>
          <t>수</t>
        </is>
      </c>
      <c r="E1706" s="39" t="inlineStr">
        <is>
          <t>고체향수</t>
        </is>
      </c>
      <c r="F1706" s="39" t="inlineStr">
        <is>
          <t>카페24</t>
        </is>
      </c>
      <c r="G1706" s="39" t="n"/>
      <c r="H1706" s="39" t="n">
        <v>1</v>
      </c>
      <c r="I1706" s="39" t="inlineStr">
        <is>
          <t>이그나이트</t>
        </is>
      </c>
      <c r="J1706" s="20" t="n">
        <v>200720</v>
      </c>
      <c r="L1706" s="39">
        <f>VLOOKUP($P1706,매칭테이블!$G:$J,2,0)*H1706</f>
        <v/>
      </c>
      <c r="M1706" s="39">
        <f>L1706-L1706*VLOOKUP($P1706,매칭테이블!$G:$J,3,0)</f>
        <v/>
      </c>
      <c r="N1706" s="39">
        <f>VLOOKUP($P1706,매칭테이블!$G:$J,4,0)*H1706</f>
        <v/>
      </c>
      <c r="O1706" s="55">
        <f>L1706/1.1</f>
        <v/>
      </c>
      <c r="P1706" s="39">
        <f>F1706&amp;E1706&amp;I1706&amp;J1706</f>
        <v/>
      </c>
    </row>
    <row r="1707">
      <c r="B1707" s="51" t="n">
        <v>44097</v>
      </c>
      <c r="C1707" s="39" t="inlineStr">
        <is>
          <t>수</t>
        </is>
      </c>
      <c r="E1707" s="39" t="inlineStr">
        <is>
          <t>쇼핑백</t>
        </is>
      </c>
      <c r="F1707" s="39" t="inlineStr">
        <is>
          <t>카페24</t>
        </is>
      </c>
      <c r="H1707" s="39" t="n">
        <v>2</v>
      </c>
      <c r="I1707" s="39" t="inlineStr">
        <is>
          <t>유즈쇼핑백</t>
        </is>
      </c>
      <c r="J1707" s="20" t="n">
        <v>200720</v>
      </c>
      <c r="L1707" s="39">
        <f>VLOOKUP($P1707,매칭테이블!$G:$J,2,0)*H1707</f>
        <v/>
      </c>
      <c r="M1707" s="39">
        <f>L1707-L1707*VLOOKUP($P1707,매칭테이블!$G:$J,3,0)</f>
        <v/>
      </c>
      <c r="N1707" s="39">
        <f>VLOOKUP($P1707,매칭테이블!$G:$J,4,0)*H1707</f>
        <v/>
      </c>
      <c r="O1707" s="55">
        <f>L1707/1.1</f>
        <v/>
      </c>
      <c r="P1707" s="39">
        <f>F1707&amp;E1707&amp;I1707&amp;J1707</f>
        <v/>
      </c>
    </row>
    <row r="1708">
      <c r="B1708" s="51" t="n">
        <v>44098</v>
      </c>
      <c r="C1708" s="39" t="inlineStr">
        <is>
          <t>목</t>
        </is>
      </c>
      <c r="E1708" s="39" t="inlineStr">
        <is>
          <t>고체향수</t>
        </is>
      </c>
      <c r="F1708" s="39" t="inlineStr">
        <is>
          <t>카페24</t>
        </is>
      </c>
      <c r="H1708" s="39" t="n">
        <v>3</v>
      </c>
      <c r="I1708" s="39" t="inlineStr">
        <is>
          <t>이그나이트 + 스테이포에버</t>
        </is>
      </c>
      <c r="J1708" s="20" t="n">
        <v>200720</v>
      </c>
      <c r="L1708" s="39">
        <f>VLOOKUP($P1708,매칭테이블!$G:$J,2,0)*H1708</f>
        <v/>
      </c>
      <c r="M1708" s="39">
        <f>L1708-L1708*VLOOKUP($P1708,매칭테이블!$G:$J,3,0)</f>
        <v/>
      </c>
      <c r="N1708" s="39">
        <f>VLOOKUP($P1708,매칭테이블!$G:$J,4,0)*H1708</f>
        <v/>
      </c>
      <c r="O1708" s="55">
        <f>L1708/1.1</f>
        <v/>
      </c>
      <c r="P1708" s="39">
        <f>F1708&amp;E1708&amp;I1708&amp;J1708</f>
        <v/>
      </c>
    </row>
    <row r="1709">
      <c r="B1709" s="51" t="n">
        <v>44098</v>
      </c>
      <c r="C1709" s="39" t="inlineStr">
        <is>
          <t>목</t>
        </is>
      </c>
      <c r="E1709" s="39" t="inlineStr">
        <is>
          <t>고체향수</t>
        </is>
      </c>
      <c r="F1709" s="39" t="inlineStr">
        <is>
          <t>카페24</t>
        </is>
      </c>
      <c r="H1709" s="39" t="n">
        <v>83</v>
      </c>
      <c r="I1709" s="39" t="inlineStr">
        <is>
          <t>스테이포에버</t>
        </is>
      </c>
      <c r="J1709" s="20" t="n">
        <v>200720</v>
      </c>
      <c r="L1709" s="39">
        <f>VLOOKUP($P1709,매칭테이블!$G:$J,2,0)*H1709</f>
        <v/>
      </c>
      <c r="M1709" s="39">
        <f>L1709-L1709*VLOOKUP($P1709,매칭테이블!$G:$J,3,0)</f>
        <v/>
      </c>
      <c r="N1709" s="39">
        <f>VLOOKUP($P1709,매칭테이블!$G:$J,4,0)*H1709</f>
        <v/>
      </c>
      <c r="O1709" s="55">
        <f>L1709/1.1</f>
        <v/>
      </c>
      <c r="P1709" s="39">
        <f>F1709&amp;E1709&amp;I1709&amp;J1709</f>
        <v/>
      </c>
    </row>
    <row r="1710">
      <c r="B1710" s="51" t="n">
        <v>44098</v>
      </c>
      <c r="C1710" s="39" t="inlineStr">
        <is>
          <t>목</t>
        </is>
      </c>
      <c r="E1710" s="39" t="inlineStr">
        <is>
          <t>고체향수</t>
        </is>
      </c>
      <c r="F1710" s="39" t="inlineStr">
        <is>
          <t>카페24</t>
        </is>
      </c>
      <c r="G1710" s="39" t="n"/>
      <c r="H1710" s="39" t="n">
        <v>19</v>
      </c>
      <c r="I1710" s="39" t="inlineStr">
        <is>
          <t>스테이포에버 2set</t>
        </is>
      </c>
      <c r="J1710" s="20" t="n">
        <v>200720</v>
      </c>
      <c r="L1710" s="39">
        <f>VLOOKUP($P1710,매칭테이블!$G:$J,2,0)*H1710</f>
        <v/>
      </c>
      <c r="M1710" s="39">
        <f>L1710-L1710*VLOOKUP($P1710,매칭테이블!$G:$J,3,0)</f>
        <v/>
      </c>
      <c r="N1710" s="39">
        <f>VLOOKUP($P1710,매칭테이블!$G:$J,4,0)*H1710</f>
        <v/>
      </c>
      <c r="O1710" s="55">
        <f>L1710/1.1</f>
        <v/>
      </c>
      <c r="P1710" s="39">
        <f>F1710&amp;E1710&amp;I1710&amp;J1710</f>
        <v/>
      </c>
    </row>
    <row r="1711">
      <c r="B1711" s="51" t="n">
        <v>44098</v>
      </c>
      <c r="C1711" s="39" t="inlineStr">
        <is>
          <t>목</t>
        </is>
      </c>
      <c r="E1711" s="39" t="inlineStr">
        <is>
          <t>고체향수</t>
        </is>
      </c>
      <c r="F1711" s="39" t="inlineStr">
        <is>
          <t>카페24</t>
        </is>
      </c>
      <c r="G1711" s="39" t="n"/>
      <c r="H1711" s="39" t="n">
        <v>1</v>
      </c>
      <c r="I1711" s="39" t="inlineStr">
        <is>
          <t>이그나이트 2set</t>
        </is>
      </c>
      <c r="J1711" s="20" t="n">
        <v>200720</v>
      </c>
      <c r="L1711" s="39">
        <f>VLOOKUP($P1711,매칭테이블!$G:$J,2,0)*H1711</f>
        <v/>
      </c>
      <c r="M1711" s="39">
        <f>L1711-L1711*VLOOKUP($P1711,매칭테이블!$G:$J,3,0)</f>
        <v/>
      </c>
      <c r="N1711" s="39">
        <f>VLOOKUP($P1711,매칭테이블!$G:$J,4,0)*H1711</f>
        <v/>
      </c>
      <c r="O1711" s="55">
        <f>L1711/1.1</f>
        <v/>
      </c>
      <c r="P1711" s="39">
        <f>F1711&amp;E1711&amp;I1711&amp;J1711</f>
        <v/>
      </c>
    </row>
    <row r="1712">
      <c r="B1712" s="51" t="n">
        <v>44098</v>
      </c>
      <c r="C1712" s="39" t="inlineStr">
        <is>
          <t>목</t>
        </is>
      </c>
      <c r="E1712" s="39" t="inlineStr">
        <is>
          <t>쇼핑백</t>
        </is>
      </c>
      <c r="F1712" s="39" t="inlineStr">
        <is>
          <t>카페24</t>
        </is>
      </c>
      <c r="H1712" s="39" t="n">
        <v>4</v>
      </c>
      <c r="I1712" s="39" t="inlineStr">
        <is>
          <t>유즈쇼핑백</t>
        </is>
      </c>
      <c r="J1712" s="20" t="n">
        <v>200720</v>
      </c>
      <c r="L1712" s="39">
        <f>VLOOKUP($P1712,매칭테이블!$G:$J,2,0)*H1712</f>
        <v/>
      </c>
      <c r="M1712" s="39">
        <f>L1712-L1712*VLOOKUP($P1712,매칭테이블!$G:$J,3,0)</f>
        <v/>
      </c>
      <c r="N1712" s="39">
        <f>VLOOKUP($P1712,매칭테이블!$G:$J,4,0)*H1712</f>
        <v/>
      </c>
      <c r="O1712" s="55">
        <f>L1712/1.1</f>
        <v/>
      </c>
      <c r="P1712" s="39">
        <f>F1712&amp;E1712&amp;I1712&amp;J1712</f>
        <v/>
      </c>
    </row>
    <row r="1713">
      <c r="B1713" s="51" t="n">
        <v>44099</v>
      </c>
      <c r="C1713" s="39" t="inlineStr">
        <is>
          <t>금</t>
        </is>
      </c>
      <c r="E1713" s="39" t="inlineStr">
        <is>
          <t>고체향수</t>
        </is>
      </c>
      <c r="F1713" s="39" t="inlineStr">
        <is>
          <t>카페24</t>
        </is>
      </c>
      <c r="H1713" s="39" t="n">
        <v>6</v>
      </c>
      <c r="I1713" s="39" t="inlineStr">
        <is>
          <t>이그나이트 + 스테이포에버</t>
        </is>
      </c>
      <c r="J1713" s="20" t="n">
        <v>200720</v>
      </c>
      <c r="L1713" s="39">
        <f>VLOOKUP($P1713,매칭테이블!$G:$J,2,0)*H1713</f>
        <v/>
      </c>
      <c r="M1713" s="39">
        <f>L1713-L1713*VLOOKUP($P1713,매칭테이블!$G:$J,3,0)</f>
        <v/>
      </c>
      <c r="N1713" s="39">
        <f>VLOOKUP($P1713,매칭테이블!$G:$J,4,0)*H1713</f>
        <v/>
      </c>
      <c r="O1713" s="55">
        <f>L1713/1.1</f>
        <v/>
      </c>
      <c r="P1713" s="39">
        <f>F1713&amp;E1713&amp;I1713&amp;J1713</f>
        <v/>
      </c>
    </row>
    <row r="1714">
      <c r="B1714" s="51" t="n">
        <v>44099</v>
      </c>
      <c r="C1714" s="39" t="inlineStr">
        <is>
          <t>금</t>
        </is>
      </c>
      <c r="E1714" s="39" t="inlineStr">
        <is>
          <t>고체향수</t>
        </is>
      </c>
      <c r="F1714" s="39" t="inlineStr">
        <is>
          <t>카페24</t>
        </is>
      </c>
      <c r="H1714" s="39" t="n">
        <v>85</v>
      </c>
      <c r="I1714" s="39" t="inlineStr">
        <is>
          <t>스테이포에버</t>
        </is>
      </c>
      <c r="J1714" s="20" t="n">
        <v>200720</v>
      </c>
      <c r="L1714" s="39">
        <f>VLOOKUP($P1714,매칭테이블!$G:$J,2,0)*H1714</f>
        <v/>
      </c>
      <c r="M1714" s="39">
        <f>L1714-L1714*VLOOKUP($P1714,매칭테이블!$G:$J,3,0)</f>
        <v/>
      </c>
      <c r="N1714" s="39">
        <f>VLOOKUP($P1714,매칭테이블!$G:$J,4,0)*H1714</f>
        <v/>
      </c>
      <c r="O1714" s="55">
        <f>L1714/1.1</f>
        <v/>
      </c>
      <c r="P1714" s="39">
        <f>F1714&amp;E1714&amp;I1714&amp;J1714</f>
        <v/>
      </c>
    </row>
    <row r="1715">
      <c r="B1715" s="51" t="n">
        <v>44099</v>
      </c>
      <c r="C1715" s="39" t="inlineStr">
        <is>
          <t>금</t>
        </is>
      </c>
      <c r="E1715" s="39" t="inlineStr">
        <is>
          <t>고체향수</t>
        </is>
      </c>
      <c r="F1715" s="39" t="inlineStr">
        <is>
          <t>카페24</t>
        </is>
      </c>
      <c r="G1715" s="39" t="n"/>
      <c r="H1715" s="39" t="n">
        <v>15</v>
      </c>
      <c r="I1715" s="39" t="inlineStr">
        <is>
          <t>스테이포에버 2set</t>
        </is>
      </c>
      <c r="J1715" s="20" t="n">
        <v>200720</v>
      </c>
      <c r="L1715" s="39">
        <f>VLOOKUP($P1715,매칭테이블!$G:$J,2,0)*H1715</f>
        <v/>
      </c>
      <c r="M1715" s="39">
        <f>L1715-L1715*VLOOKUP($P1715,매칭테이블!$G:$J,3,0)</f>
        <v/>
      </c>
      <c r="N1715" s="39">
        <f>VLOOKUP($P1715,매칭테이블!$G:$J,4,0)*H1715</f>
        <v/>
      </c>
      <c r="O1715" s="55">
        <f>L1715/1.1</f>
        <v/>
      </c>
      <c r="P1715" s="39">
        <f>F1715&amp;E1715&amp;I1715&amp;J1715</f>
        <v/>
      </c>
    </row>
    <row r="1716">
      <c r="B1716" s="51" t="n">
        <v>44099</v>
      </c>
      <c r="C1716" s="39" t="inlineStr">
        <is>
          <t>금</t>
        </is>
      </c>
      <c r="E1716" s="39" t="inlineStr">
        <is>
          <t>고체향수</t>
        </is>
      </c>
      <c r="F1716" s="39" t="inlineStr">
        <is>
          <t>카페24</t>
        </is>
      </c>
      <c r="G1716" s="39" t="n"/>
      <c r="H1716" s="39" t="n">
        <v>1</v>
      </c>
      <c r="I1716" s="39" t="inlineStr">
        <is>
          <t>이그나이트</t>
        </is>
      </c>
      <c r="J1716" s="20" t="n">
        <v>200720</v>
      </c>
      <c r="L1716" s="39">
        <f>VLOOKUP($P1716,매칭테이블!$G:$J,2,0)*H1716</f>
        <v/>
      </c>
      <c r="M1716" s="39">
        <f>L1716-L1716*VLOOKUP($P1716,매칭테이블!$G:$J,3,0)</f>
        <v/>
      </c>
      <c r="N1716" s="39">
        <f>VLOOKUP($P1716,매칭테이블!$G:$J,4,0)*H1716</f>
        <v/>
      </c>
      <c r="O1716" s="55">
        <f>L1716/1.1</f>
        <v/>
      </c>
      <c r="P1716" s="39">
        <f>F1716&amp;E1716&amp;I1716&amp;J1716</f>
        <v/>
      </c>
    </row>
    <row r="1717">
      <c r="B1717" s="51" t="n">
        <v>44099</v>
      </c>
      <c r="C1717" s="39" t="inlineStr">
        <is>
          <t>금</t>
        </is>
      </c>
      <c r="E1717" s="39" t="inlineStr">
        <is>
          <t>쇼핑백</t>
        </is>
      </c>
      <c r="F1717" s="39" t="inlineStr">
        <is>
          <t>카페24</t>
        </is>
      </c>
      <c r="H1717" s="39" t="n">
        <v>1</v>
      </c>
      <c r="I1717" s="39" t="inlineStr">
        <is>
          <t>유즈쇼핑백</t>
        </is>
      </c>
      <c r="J1717" s="20" t="n">
        <v>200720</v>
      </c>
      <c r="L1717" s="39">
        <f>VLOOKUP($P1717,매칭테이블!$G:$J,2,0)*H1717</f>
        <v/>
      </c>
      <c r="M1717" s="39">
        <f>L1717-L1717*VLOOKUP($P1717,매칭테이블!$G:$J,3,0)</f>
        <v/>
      </c>
      <c r="N1717" s="39">
        <f>VLOOKUP($P1717,매칭테이블!$G:$J,4,0)*H1717</f>
        <v/>
      </c>
      <c r="O1717" s="55">
        <f>L1717/1.1</f>
        <v/>
      </c>
      <c r="P1717" s="39">
        <f>F1717&amp;E1717&amp;I1717&amp;J1717</f>
        <v/>
      </c>
    </row>
    <row r="1718">
      <c r="B1718" s="51" t="n">
        <v>44100</v>
      </c>
      <c r="C1718" s="39" t="inlineStr">
        <is>
          <t>토</t>
        </is>
      </c>
      <c r="E1718" s="39" t="inlineStr">
        <is>
          <t>고체향수</t>
        </is>
      </c>
      <c r="F1718" s="39" t="inlineStr">
        <is>
          <t>카페24</t>
        </is>
      </c>
      <c r="H1718" s="39" t="n">
        <v>9</v>
      </c>
      <c r="I1718" s="39" t="inlineStr">
        <is>
          <t>이그나이트 + 스테이포에버</t>
        </is>
      </c>
      <c r="J1718" s="20" t="n">
        <v>200720</v>
      </c>
      <c r="L1718" s="39">
        <f>VLOOKUP($P1718,매칭테이블!$G:$J,2,0)*H1718</f>
        <v/>
      </c>
      <c r="M1718" s="39">
        <f>L1718-L1718*VLOOKUP($P1718,매칭테이블!$G:$J,3,0)</f>
        <v/>
      </c>
      <c r="N1718" s="39">
        <f>VLOOKUP($P1718,매칭테이블!$G:$J,4,0)*H1718</f>
        <v/>
      </c>
      <c r="O1718" s="55">
        <f>L1718/1.1</f>
        <v/>
      </c>
      <c r="P1718" s="39">
        <f>F1718&amp;E1718&amp;I1718&amp;J1718</f>
        <v/>
      </c>
    </row>
    <row r="1719">
      <c r="B1719" s="51" t="n">
        <v>44100</v>
      </c>
      <c r="C1719" s="39" t="inlineStr">
        <is>
          <t>토</t>
        </is>
      </c>
      <c r="E1719" s="39" t="inlineStr">
        <is>
          <t>고체향수</t>
        </is>
      </c>
      <c r="F1719" s="39" t="inlineStr">
        <is>
          <t>카페24</t>
        </is>
      </c>
      <c r="H1719" s="39" t="n">
        <v>108</v>
      </c>
      <c r="I1719" s="39" t="inlineStr">
        <is>
          <t>스테이포에버</t>
        </is>
      </c>
      <c r="J1719" s="20" t="n">
        <v>200720</v>
      </c>
      <c r="L1719" s="39">
        <f>VLOOKUP($P1719,매칭테이블!$G:$J,2,0)*H1719</f>
        <v/>
      </c>
      <c r="M1719" s="39">
        <f>L1719-L1719*VLOOKUP($P1719,매칭테이블!$G:$J,3,0)</f>
        <v/>
      </c>
      <c r="N1719" s="39">
        <f>VLOOKUP($P1719,매칭테이블!$G:$J,4,0)*H1719</f>
        <v/>
      </c>
      <c r="O1719" s="55">
        <f>L1719/1.1</f>
        <v/>
      </c>
      <c r="P1719" s="39">
        <f>F1719&amp;E1719&amp;I1719&amp;J1719</f>
        <v/>
      </c>
    </row>
    <row r="1720">
      <c r="B1720" s="51" t="n">
        <v>44100</v>
      </c>
      <c r="C1720" s="39" t="inlineStr">
        <is>
          <t>토</t>
        </is>
      </c>
      <c r="E1720" s="39" t="inlineStr">
        <is>
          <t>고체향수</t>
        </is>
      </c>
      <c r="F1720" s="39" t="inlineStr">
        <is>
          <t>카페24</t>
        </is>
      </c>
      <c r="G1720" s="39" t="n"/>
      <c r="H1720" s="39" t="n">
        <v>18</v>
      </c>
      <c r="I1720" s="39" t="inlineStr">
        <is>
          <t>스테이포에버 2set</t>
        </is>
      </c>
      <c r="J1720" s="20" t="n">
        <v>200720</v>
      </c>
      <c r="L1720" s="39">
        <f>VLOOKUP($P1720,매칭테이블!$G:$J,2,0)*H1720</f>
        <v/>
      </c>
      <c r="M1720" s="39">
        <f>L1720-L1720*VLOOKUP($P1720,매칭테이블!$G:$J,3,0)</f>
        <v/>
      </c>
      <c r="N1720" s="39">
        <f>VLOOKUP($P1720,매칭테이블!$G:$J,4,0)*H1720</f>
        <v/>
      </c>
      <c r="O1720" s="55">
        <f>L1720/1.1</f>
        <v/>
      </c>
      <c r="P1720" s="39">
        <f>F1720&amp;E1720&amp;I1720&amp;J1720</f>
        <v/>
      </c>
    </row>
    <row r="1721">
      <c r="B1721" s="51" t="n">
        <v>44100</v>
      </c>
      <c r="C1721" s="39" t="inlineStr">
        <is>
          <t>토</t>
        </is>
      </c>
      <c r="E1721" s="39" t="inlineStr">
        <is>
          <t>고체향수</t>
        </is>
      </c>
      <c r="F1721" s="39" t="inlineStr">
        <is>
          <t>카페24</t>
        </is>
      </c>
      <c r="G1721" s="39" t="n"/>
      <c r="H1721" s="39" t="n">
        <v>4</v>
      </c>
      <c r="I1721" s="39" t="inlineStr">
        <is>
          <t>이그나이트</t>
        </is>
      </c>
      <c r="J1721" s="20" t="n">
        <v>200720</v>
      </c>
      <c r="L1721" s="39">
        <f>VLOOKUP($P1721,매칭테이블!$G:$J,2,0)*H1721</f>
        <v/>
      </c>
      <c r="M1721" s="39">
        <f>L1721-L1721*VLOOKUP($P1721,매칭테이블!$G:$J,3,0)</f>
        <v/>
      </c>
      <c r="N1721" s="39">
        <f>VLOOKUP($P1721,매칭테이블!$G:$J,4,0)*H1721</f>
        <v/>
      </c>
      <c r="O1721" s="55">
        <f>L1721/1.1</f>
        <v/>
      </c>
      <c r="P1721" s="39">
        <f>F1721&amp;E1721&amp;I1721&amp;J1721</f>
        <v/>
      </c>
    </row>
    <row r="1722">
      <c r="B1722" s="51" t="n">
        <v>44100</v>
      </c>
      <c r="C1722" s="39" t="inlineStr">
        <is>
          <t>토</t>
        </is>
      </c>
      <c r="E1722" s="39" t="inlineStr">
        <is>
          <t>고체향수</t>
        </is>
      </c>
      <c r="F1722" s="39" t="inlineStr">
        <is>
          <t>카페24</t>
        </is>
      </c>
      <c r="G1722" s="39" t="n"/>
      <c r="H1722" s="39" t="n">
        <v>1</v>
      </c>
      <c r="I1722" s="39" t="inlineStr">
        <is>
          <t>이그나이트 2set</t>
        </is>
      </c>
      <c r="J1722" s="20" t="n">
        <v>200720</v>
      </c>
      <c r="L1722" s="39">
        <f>VLOOKUP($P1722,매칭테이블!$G:$J,2,0)*H1722</f>
        <v/>
      </c>
      <c r="M1722" s="39">
        <f>L1722-L1722*VLOOKUP($P1722,매칭테이블!$G:$J,3,0)</f>
        <v/>
      </c>
      <c r="N1722" s="39">
        <f>VLOOKUP($P1722,매칭테이블!$G:$J,4,0)*H1722</f>
        <v/>
      </c>
      <c r="O1722" s="55">
        <f>L1722/1.1</f>
        <v/>
      </c>
      <c r="P1722" s="39">
        <f>F1722&amp;E1722&amp;I1722&amp;J1722</f>
        <v/>
      </c>
    </row>
    <row r="1723">
      <c r="B1723" s="51" t="n">
        <v>44100</v>
      </c>
      <c r="C1723" s="39" t="inlineStr">
        <is>
          <t>토</t>
        </is>
      </c>
      <c r="E1723" s="39" t="inlineStr">
        <is>
          <t>쇼핑백</t>
        </is>
      </c>
      <c r="F1723" s="39" t="inlineStr">
        <is>
          <t>카페24</t>
        </is>
      </c>
      <c r="H1723" s="39" t="n">
        <v>2</v>
      </c>
      <c r="I1723" s="39" t="inlineStr">
        <is>
          <t>유즈쇼핑백</t>
        </is>
      </c>
      <c r="J1723" s="20" t="n">
        <v>200720</v>
      </c>
      <c r="L1723" s="39">
        <f>VLOOKUP($P1723,매칭테이블!$G:$J,2,0)*H1723</f>
        <v/>
      </c>
      <c r="M1723" s="39">
        <f>L1723-L1723*VLOOKUP($P1723,매칭테이블!$G:$J,3,0)</f>
        <v/>
      </c>
      <c r="N1723" s="39">
        <f>VLOOKUP($P1723,매칭테이블!$G:$J,4,0)*H1723</f>
        <v/>
      </c>
      <c r="O1723" s="55">
        <f>L1723/1.1</f>
        <v/>
      </c>
      <c r="P1723" s="39">
        <f>F1723&amp;E1723&amp;I1723&amp;J1723</f>
        <v/>
      </c>
    </row>
    <row r="1724">
      <c r="B1724" s="51" t="n">
        <v>44101</v>
      </c>
      <c r="C1724" s="39" t="inlineStr">
        <is>
          <t>일</t>
        </is>
      </c>
      <c r="E1724" s="39" t="inlineStr">
        <is>
          <t>고체향수</t>
        </is>
      </c>
      <c r="F1724" s="39" t="inlineStr">
        <is>
          <t>카페24</t>
        </is>
      </c>
      <c r="H1724" s="39" t="n">
        <v>13</v>
      </c>
      <c r="I1724" s="39" t="inlineStr">
        <is>
          <t>이그나이트 + 스테이포에버</t>
        </is>
      </c>
      <c r="J1724" s="20" t="n">
        <v>200720</v>
      </c>
      <c r="L1724" s="39">
        <f>VLOOKUP($P1724,매칭테이블!$G:$J,2,0)*H1724</f>
        <v/>
      </c>
      <c r="M1724" s="39">
        <f>L1724-L1724*VLOOKUP($P1724,매칭테이블!$G:$J,3,0)</f>
        <v/>
      </c>
      <c r="N1724" s="39">
        <f>VLOOKUP($P1724,매칭테이블!$G:$J,4,0)*H1724</f>
        <v/>
      </c>
      <c r="O1724" s="55">
        <f>L1724/1.1</f>
        <v/>
      </c>
      <c r="P1724" s="39">
        <f>F1724&amp;E1724&amp;I1724&amp;J1724</f>
        <v/>
      </c>
    </row>
    <row r="1725">
      <c r="B1725" s="51" t="n">
        <v>44101</v>
      </c>
      <c r="C1725" s="39" t="inlineStr">
        <is>
          <t>일</t>
        </is>
      </c>
      <c r="E1725" s="39" t="inlineStr">
        <is>
          <t>고체향수</t>
        </is>
      </c>
      <c r="F1725" s="39" t="inlineStr">
        <is>
          <t>카페24</t>
        </is>
      </c>
      <c r="H1725" s="39" t="n">
        <v>131</v>
      </c>
      <c r="I1725" s="39" t="inlineStr">
        <is>
          <t>스테이포에버</t>
        </is>
      </c>
      <c r="J1725" s="20" t="n">
        <v>200720</v>
      </c>
      <c r="L1725" s="39">
        <f>VLOOKUP($P1725,매칭테이블!$G:$J,2,0)*H1725</f>
        <v/>
      </c>
      <c r="M1725" s="39">
        <f>L1725-L1725*VLOOKUP($P1725,매칭테이블!$G:$J,3,0)</f>
        <v/>
      </c>
      <c r="N1725" s="39">
        <f>VLOOKUP($P1725,매칭테이블!$G:$J,4,0)*H1725</f>
        <v/>
      </c>
      <c r="O1725" s="55">
        <f>L1725/1.1</f>
        <v/>
      </c>
      <c r="P1725" s="39">
        <f>F1725&amp;E1725&amp;I1725&amp;J1725</f>
        <v/>
      </c>
    </row>
    <row r="1726">
      <c r="B1726" s="51" t="n">
        <v>44101</v>
      </c>
      <c r="C1726" s="39" t="inlineStr">
        <is>
          <t>일</t>
        </is>
      </c>
      <c r="E1726" s="39" t="inlineStr">
        <is>
          <t>고체향수</t>
        </is>
      </c>
      <c r="F1726" s="39" t="inlineStr">
        <is>
          <t>카페24</t>
        </is>
      </c>
      <c r="G1726" s="39" t="n"/>
      <c r="H1726" s="39" t="n">
        <v>29</v>
      </c>
      <c r="I1726" s="39" t="inlineStr">
        <is>
          <t>스테이포에버 2set</t>
        </is>
      </c>
      <c r="J1726" s="20" t="n">
        <v>200720</v>
      </c>
      <c r="L1726" s="39">
        <f>VLOOKUP($P1726,매칭테이블!$G:$J,2,0)*H1726</f>
        <v/>
      </c>
      <c r="M1726" s="39">
        <f>L1726-L1726*VLOOKUP($P1726,매칭테이블!$G:$J,3,0)</f>
        <v/>
      </c>
      <c r="N1726" s="39">
        <f>VLOOKUP($P1726,매칭테이블!$G:$J,4,0)*H1726</f>
        <v/>
      </c>
      <c r="O1726" s="55">
        <f>L1726/1.1</f>
        <v/>
      </c>
      <c r="P1726" s="39">
        <f>F1726&amp;E1726&amp;I1726&amp;J1726</f>
        <v/>
      </c>
    </row>
    <row r="1727">
      <c r="B1727" s="51" t="n">
        <v>44101</v>
      </c>
      <c r="C1727" s="39" t="inlineStr">
        <is>
          <t>일</t>
        </is>
      </c>
      <c r="E1727" s="39" t="inlineStr">
        <is>
          <t>고체향수</t>
        </is>
      </c>
      <c r="F1727" s="39" t="inlineStr">
        <is>
          <t>카페24</t>
        </is>
      </c>
      <c r="G1727" s="39" t="n"/>
      <c r="H1727" s="39" t="n">
        <v>2</v>
      </c>
      <c r="I1727" s="39" t="inlineStr">
        <is>
          <t>이그나이트</t>
        </is>
      </c>
      <c r="J1727" s="20" t="n">
        <v>200720</v>
      </c>
      <c r="L1727" s="39">
        <f>VLOOKUP($P1727,매칭테이블!$G:$J,2,0)*H1727</f>
        <v/>
      </c>
      <c r="M1727" s="39">
        <f>L1727-L1727*VLOOKUP($P1727,매칭테이블!$G:$J,3,0)</f>
        <v/>
      </c>
      <c r="N1727" s="39">
        <f>VLOOKUP($P1727,매칭테이블!$G:$J,4,0)*H1727</f>
        <v/>
      </c>
      <c r="O1727" s="55">
        <f>L1727/1.1</f>
        <v/>
      </c>
      <c r="P1727" s="39">
        <f>F1727&amp;E1727&amp;I1727&amp;J1727</f>
        <v/>
      </c>
    </row>
    <row r="1728">
      <c r="B1728" s="51" t="n">
        <v>44101</v>
      </c>
      <c r="C1728" s="39" t="inlineStr">
        <is>
          <t>일</t>
        </is>
      </c>
      <c r="E1728" s="39" t="inlineStr">
        <is>
          <t>고체향수</t>
        </is>
      </c>
      <c r="F1728" s="39" t="inlineStr">
        <is>
          <t>카페24</t>
        </is>
      </c>
      <c r="G1728" s="39" t="n"/>
      <c r="H1728" s="39" t="n">
        <v>2</v>
      </c>
      <c r="I1728" s="39" t="inlineStr">
        <is>
          <t>이그나이트 2set</t>
        </is>
      </c>
      <c r="J1728" s="20" t="n">
        <v>200720</v>
      </c>
      <c r="L1728" s="39">
        <f>VLOOKUP($P1728,매칭테이블!$G:$J,2,0)*H1728</f>
        <v/>
      </c>
      <c r="M1728" s="39">
        <f>L1728-L1728*VLOOKUP($P1728,매칭테이블!$G:$J,3,0)</f>
        <v/>
      </c>
      <c r="N1728" s="39">
        <f>VLOOKUP($P1728,매칭테이블!$G:$J,4,0)*H1728</f>
        <v/>
      </c>
      <c r="O1728" s="55">
        <f>L1728/1.1</f>
        <v/>
      </c>
      <c r="P1728" s="39">
        <f>F1728&amp;E1728&amp;I1728&amp;J1728</f>
        <v/>
      </c>
    </row>
    <row r="1729">
      <c r="B1729" s="51" t="n">
        <v>44101</v>
      </c>
      <c r="C1729" s="39" t="inlineStr">
        <is>
          <t>일</t>
        </is>
      </c>
      <c r="E1729" s="39" t="inlineStr">
        <is>
          <t>쇼핑백</t>
        </is>
      </c>
      <c r="F1729" s="39" t="inlineStr">
        <is>
          <t>카페24</t>
        </is>
      </c>
      <c r="H1729" s="39" t="n">
        <v>5</v>
      </c>
      <c r="I1729" s="39" t="inlineStr">
        <is>
          <t>유즈쇼핑백</t>
        </is>
      </c>
      <c r="J1729" s="20" t="n">
        <v>200720</v>
      </c>
      <c r="L1729" s="39">
        <f>VLOOKUP($P1729,매칭테이블!$G:$J,2,0)*H1729</f>
        <v/>
      </c>
      <c r="M1729" s="39">
        <f>L1729-L1729*VLOOKUP($P1729,매칭테이블!$G:$J,3,0)</f>
        <v/>
      </c>
      <c r="N1729" s="39">
        <f>VLOOKUP($P1729,매칭테이블!$G:$J,4,0)*H1729</f>
        <v/>
      </c>
      <c r="O1729" s="55">
        <f>L1729/1.1</f>
        <v/>
      </c>
      <c r="P1729" s="39">
        <f>F1729&amp;E1729&amp;I1729&amp;J1729</f>
        <v/>
      </c>
    </row>
    <row r="1730">
      <c r="B1730" s="51" t="n">
        <v>44102</v>
      </c>
      <c r="C1730" s="39" t="inlineStr">
        <is>
          <t>월</t>
        </is>
      </c>
      <c r="E1730" s="39" t="inlineStr">
        <is>
          <t>고체향수</t>
        </is>
      </c>
      <c r="F1730" s="39" t="inlineStr">
        <is>
          <t>카페24</t>
        </is>
      </c>
      <c r="H1730" s="39" t="n">
        <v>13</v>
      </c>
      <c r="I1730" s="39" t="inlineStr">
        <is>
          <t>이그나이트 + 스테이포에버</t>
        </is>
      </c>
      <c r="J1730" s="20" t="n">
        <v>200720</v>
      </c>
      <c r="L1730" s="39">
        <f>VLOOKUP($P1730,매칭테이블!$G:$J,2,0)*H1730</f>
        <v/>
      </c>
      <c r="M1730" s="39">
        <f>L1730-L1730*VLOOKUP($P1730,매칭테이블!$G:$J,3,0)</f>
        <v/>
      </c>
      <c r="N1730" s="39">
        <f>VLOOKUP($P1730,매칭테이블!$G:$J,4,0)*H1730</f>
        <v/>
      </c>
      <c r="O1730" s="55">
        <f>L1730/1.1</f>
        <v/>
      </c>
      <c r="P1730" s="39">
        <f>F1730&amp;E1730&amp;I1730&amp;J1730</f>
        <v/>
      </c>
    </row>
    <row r="1731">
      <c r="B1731" s="51" t="n">
        <v>44102</v>
      </c>
      <c r="C1731" s="39" t="inlineStr">
        <is>
          <t>월</t>
        </is>
      </c>
      <c r="E1731" s="39" t="inlineStr">
        <is>
          <t>고체향수</t>
        </is>
      </c>
      <c r="F1731" s="39" t="inlineStr">
        <is>
          <t>카페24</t>
        </is>
      </c>
      <c r="H1731" s="39" t="n">
        <v>126</v>
      </c>
      <c r="I1731" s="39" t="inlineStr">
        <is>
          <t>스테이포에버</t>
        </is>
      </c>
      <c r="J1731" s="20" t="n">
        <v>200720</v>
      </c>
      <c r="L1731" s="39">
        <f>VLOOKUP($P1731,매칭테이블!$G:$J,2,0)*H1731</f>
        <v/>
      </c>
      <c r="M1731" s="39">
        <f>L1731-L1731*VLOOKUP($P1731,매칭테이블!$G:$J,3,0)</f>
        <v/>
      </c>
      <c r="N1731" s="39">
        <f>VLOOKUP($P1731,매칭테이블!$G:$J,4,0)*H1731</f>
        <v/>
      </c>
      <c r="O1731" s="55">
        <f>L1731/1.1</f>
        <v/>
      </c>
      <c r="P1731" s="39">
        <f>F1731&amp;E1731&amp;I1731&amp;J1731</f>
        <v/>
      </c>
    </row>
    <row r="1732">
      <c r="B1732" s="51" t="n">
        <v>44102</v>
      </c>
      <c r="C1732" s="39" t="inlineStr">
        <is>
          <t>월</t>
        </is>
      </c>
      <c r="E1732" s="39" t="inlineStr">
        <is>
          <t>고체향수</t>
        </is>
      </c>
      <c r="F1732" s="39" t="inlineStr">
        <is>
          <t>카페24</t>
        </is>
      </c>
      <c r="G1732" s="39" t="n"/>
      <c r="H1732" s="39" t="n">
        <v>26</v>
      </c>
      <c r="I1732" s="39" t="inlineStr">
        <is>
          <t>스테이포에버 2set</t>
        </is>
      </c>
      <c r="J1732" s="20" t="n">
        <v>200720</v>
      </c>
      <c r="L1732" s="39">
        <f>VLOOKUP($P1732,매칭테이블!$G:$J,2,0)*H1732</f>
        <v/>
      </c>
      <c r="M1732" s="39">
        <f>L1732-L1732*VLOOKUP($P1732,매칭테이블!$G:$J,3,0)</f>
        <v/>
      </c>
      <c r="N1732" s="39">
        <f>VLOOKUP($P1732,매칭테이블!$G:$J,4,0)*H1732</f>
        <v/>
      </c>
      <c r="O1732" s="55">
        <f>L1732/1.1</f>
        <v/>
      </c>
      <c r="P1732" s="39">
        <f>F1732&amp;E1732&amp;I1732&amp;J1732</f>
        <v/>
      </c>
    </row>
    <row r="1733">
      <c r="B1733" s="51" t="n">
        <v>44102</v>
      </c>
      <c r="C1733" s="39" t="inlineStr">
        <is>
          <t>월</t>
        </is>
      </c>
      <c r="E1733" s="39" t="inlineStr">
        <is>
          <t>쇼핑백</t>
        </is>
      </c>
      <c r="F1733" s="39" t="inlineStr">
        <is>
          <t>카페24</t>
        </is>
      </c>
      <c r="H1733" s="39" t="n">
        <v>1</v>
      </c>
      <c r="I1733" s="39" t="inlineStr">
        <is>
          <t>유즈쇼핑백</t>
        </is>
      </c>
      <c r="J1733" s="20" t="n">
        <v>200720</v>
      </c>
      <c r="L1733" s="39">
        <f>VLOOKUP($P1733,매칭테이블!$G:$J,2,0)*H1733</f>
        <v/>
      </c>
      <c r="M1733" s="39">
        <f>L1733-L1733*VLOOKUP($P1733,매칭테이블!$G:$J,3,0)</f>
        <v/>
      </c>
      <c r="N1733" s="39">
        <f>VLOOKUP($P1733,매칭테이블!$G:$J,4,0)*H1733</f>
        <v/>
      </c>
      <c r="O1733" s="55">
        <f>L1733/1.1</f>
        <v/>
      </c>
      <c r="P1733" s="39">
        <f>F1733&amp;E1733&amp;I1733&amp;J1733</f>
        <v/>
      </c>
    </row>
    <row r="1734">
      <c r="B1734" s="51" t="n">
        <v>44103</v>
      </c>
      <c r="C1734" s="39" t="inlineStr">
        <is>
          <t>화</t>
        </is>
      </c>
      <c r="E1734" s="39" t="inlineStr">
        <is>
          <t>고체향수</t>
        </is>
      </c>
      <c r="F1734" s="39" t="inlineStr">
        <is>
          <t>카페24</t>
        </is>
      </c>
      <c r="H1734" s="39" t="n">
        <v>12</v>
      </c>
      <c r="I1734" s="39" t="inlineStr">
        <is>
          <t>이그나이트 + 스테이포에버</t>
        </is>
      </c>
      <c r="J1734" s="20" t="n">
        <v>200720</v>
      </c>
      <c r="L1734" s="39">
        <f>VLOOKUP($P1734,매칭테이블!$G:$J,2,0)*H1734</f>
        <v/>
      </c>
      <c r="M1734" s="39">
        <f>L1734-L1734*VLOOKUP($P1734,매칭테이블!$G:$J,3,0)</f>
        <v/>
      </c>
      <c r="N1734" s="39">
        <f>VLOOKUP($P1734,매칭테이블!$G:$J,4,0)*H1734</f>
        <v/>
      </c>
      <c r="O1734" s="55">
        <f>L1734/1.1</f>
        <v/>
      </c>
      <c r="P1734" s="39">
        <f>F1734&amp;E1734&amp;I1734&amp;J1734</f>
        <v/>
      </c>
    </row>
    <row r="1735">
      <c r="B1735" s="51" t="n">
        <v>44103</v>
      </c>
      <c r="C1735" s="39" t="inlineStr">
        <is>
          <t>화</t>
        </is>
      </c>
      <c r="E1735" s="39" t="inlineStr">
        <is>
          <t>고체향수</t>
        </is>
      </c>
      <c r="F1735" s="39" t="inlineStr">
        <is>
          <t>카페24</t>
        </is>
      </c>
      <c r="H1735" s="39" t="n">
        <v>2</v>
      </c>
      <c r="I1735" s="39" t="inlineStr">
        <is>
          <t>이그나이트 + 스테이포에버 2set</t>
        </is>
      </c>
      <c r="J1735" s="20" t="n">
        <v>200720</v>
      </c>
      <c r="L1735" s="39">
        <f>VLOOKUP($P1735,매칭테이블!$G:$J,2,0)*H1735</f>
        <v/>
      </c>
      <c r="M1735" s="39">
        <f>L1735-L1735*VLOOKUP($P1735,매칭테이블!$G:$J,3,0)</f>
        <v/>
      </c>
      <c r="N1735" s="39">
        <f>VLOOKUP($P1735,매칭테이블!$G:$J,4,0)*H1735</f>
        <v/>
      </c>
      <c r="O1735" s="55">
        <f>L1735/1.1</f>
        <v/>
      </c>
      <c r="P1735" s="39">
        <f>F1735&amp;E1735&amp;I1735&amp;J1735</f>
        <v/>
      </c>
    </row>
    <row r="1736">
      <c r="B1736" s="51" t="n">
        <v>44103</v>
      </c>
      <c r="C1736" s="39" t="inlineStr">
        <is>
          <t>화</t>
        </is>
      </c>
      <c r="E1736" s="39" t="inlineStr">
        <is>
          <t>고체향수</t>
        </is>
      </c>
      <c r="F1736" s="39" t="inlineStr">
        <is>
          <t>카페24</t>
        </is>
      </c>
      <c r="H1736" s="39" t="n">
        <v>164</v>
      </c>
      <c r="I1736" s="39" t="inlineStr">
        <is>
          <t>스테이포에버</t>
        </is>
      </c>
      <c r="J1736" s="20" t="n">
        <v>200720</v>
      </c>
      <c r="L1736" s="39">
        <f>VLOOKUP($P1736,매칭테이블!$G:$J,2,0)*H1736</f>
        <v/>
      </c>
      <c r="M1736" s="39">
        <f>L1736-L1736*VLOOKUP($P1736,매칭테이블!$G:$J,3,0)</f>
        <v/>
      </c>
      <c r="N1736" s="39">
        <f>VLOOKUP($P1736,매칭테이블!$G:$J,4,0)*H1736</f>
        <v/>
      </c>
      <c r="O1736" s="55">
        <f>L1736/1.1</f>
        <v/>
      </c>
      <c r="P1736" s="39">
        <f>F1736&amp;E1736&amp;I1736&amp;J1736</f>
        <v/>
      </c>
    </row>
    <row r="1737">
      <c r="B1737" s="51" t="n">
        <v>44103</v>
      </c>
      <c r="C1737" s="39" t="inlineStr">
        <is>
          <t>화</t>
        </is>
      </c>
      <c r="E1737" s="39" t="inlineStr">
        <is>
          <t>고체향수</t>
        </is>
      </c>
      <c r="F1737" s="39" t="inlineStr">
        <is>
          <t>카페24</t>
        </is>
      </c>
      <c r="G1737" s="39" t="n"/>
      <c r="H1737" s="39" t="n">
        <v>45</v>
      </c>
      <c r="I1737" s="39" t="inlineStr">
        <is>
          <t>스테이포에버 2set</t>
        </is>
      </c>
      <c r="J1737" s="20" t="n">
        <v>200720</v>
      </c>
      <c r="L1737" s="39">
        <f>VLOOKUP($P1737,매칭테이블!$G:$J,2,0)*H1737</f>
        <v/>
      </c>
      <c r="M1737" s="39">
        <f>L1737-L1737*VLOOKUP($P1737,매칭테이블!$G:$J,3,0)</f>
        <v/>
      </c>
      <c r="N1737" s="39">
        <f>VLOOKUP($P1737,매칭테이블!$G:$J,4,0)*H1737</f>
        <v/>
      </c>
      <c r="O1737" s="55">
        <f>L1737/1.1</f>
        <v/>
      </c>
      <c r="P1737" s="39">
        <f>F1737&amp;E1737&amp;I1737&amp;J1737</f>
        <v/>
      </c>
    </row>
    <row r="1738">
      <c r="B1738" s="51" t="n">
        <v>44103</v>
      </c>
      <c r="C1738" s="39" t="inlineStr">
        <is>
          <t>화</t>
        </is>
      </c>
      <c r="E1738" s="39" t="inlineStr">
        <is>
          <t>쇼핑백</t>
        </is>
      </c>
      <c r="F1738" s="39" t="inlineStr">
        <is>
          <t>카페24</t>
        </is>
      </c>
      <c r="H1738" s="39" t="n">
        <v>2</v>
      </c>
      <c r="I1738" s="39" t="inlineStr">
        <is>
          <t>유즈쇼핑백</t>
        </is>
      </c>
      <c r="J1738" s="20" t="n">
        <v>200720</v>
      </c>
      <c r="L1738" s="39">
        <f>VLOOKUP($P1738,매칭테이블!$G:$J,2,0)*H1738</f>
        <v/>
      </c>
      <c r="M1738" s="39">
        <f>L1738-L1738*VLOOKUP($P1738,매칭테이블!$G:$J,3,0)</f>
        <v/>
      </c>
      <c r="N1738" s="39">
        <f>VLOOKUP($P1738,매칭테이블!$G:$J,4,0)*H1738</f>
        <v/>
      </c>
      <c r="O1738" s="55">
        <f>L1738/1.1</f>
        <v/>
      </c>
      <c r="P1738" s="39">
        <f>F1738&amp;E1738&amp;I1738&amp;J1738</f>
        <v/>
      </c>
    </row>
    <row r="1739">
      <c r="B1739" s="51" t="n">
        <v>44104</v>
      </c>
      <c r="C1739" s="39" t="inlineStr">
        <is>
          <t>수</t>
        </is>
      </c>
      <c r="E1739" s="39" t="inlineStr">
        <is>
          <t>고체향수</t>
        </is>
      </c>
      <c r="F1739" s="39" t="inlineStr">
        <is>
          <t>카페24</t>
        </is>
      </c>
      <c r="H1739" s="39" t="n">
        <v>15</v>
      </c>
      <c r="I1739" s="39" t="inlineStr">
        <is>
          <t>이그나이트 + 스테이포에버</t>
        </is>
      </c>
      <c r="J1739" s="20" t="n">
        <v>200720</v>
      </c>
      <c r="L1739" s="39">
        <f>VLOOKUP($P1739,매칭테이블!$G:$J,2,0)*H1739</f>
        <v/>
      </c>
      <c r="M1739" s="39">
        <f>L1739-L1739*VLOOKUP($P1739,매칭테이블!$G:$J,3,0)</f>
        <v/>
      </c>
      <c r="N1739" s="39">
        <f>VLOOKUP($P1739,매칭테이블!$G:$J,4,0)*H1739</f>
        <v/>
      </c>
      <c r="O1739" s="55">
        <f>L1739/1.1</f>
        <v/>
      </c>
      <c r="P1739" s="39">
        <f>F1739&amp;E1739&amp;I1739&amp;J1739</f>
        <v/>
      </c>
    </row>
    <row r="1740">
      <c r="B1740" s="51" t="n">
        <v>44104</v>
      </c>
      <c r="C1740" s="39" t="inlineStr">
        <is>
          <t>수</t>
        </is>
      </c>
      <c r="E1740" s="39" t="inlineStr">
        <is>
          <t>고체향수</t>
        </is>
      </c>
      <c r="F1740" s="39" t="inlineStr">
        <is>
          <t>카페24</t>
        </is>
      </c>
      <c r="H1740" s="39" t="n">
        <v>245</v>
      </c>
      <c r="I1740" s="39" t="inlineStr">
        <is>
          <t>스테이포에버</t>
        </is>
      </c>
      <c r="J1740" s="20" t="n">
        <v>200720</v>
      </c>
      <c r="L1740" s="39">
        <f>VLOOKUP($P1740,매칭테이블!$G:$J,2,0)*H1740</f>
        <v/>
      </c>
      <c r="M1740" s="39">
        <f>L1740-L1740*VLOOKUP($P1740,매칭테이블!$G:$J,3,0)</f>
        <v/>
      </c>
      <c r="N1740" s="39">
        <f>VLOOKUP($P1740,매칭테이블!$G:$J,4,0)*H1740</f>
        <v/>
      </c>
      <c r="O1740" s="55">
        <f>L1740/1.1</f>
        <v/>
      </c>
      <c r="P1740" s="39">
        <f>F1740&amp;E1740&amp;I1740&amp;J1740</f>
        <v/>
      </c>
    </row>
    <row r="1741">
      <c r="B1741" s="51" t="n">
        <v>44104</v>
      </c>
      <c r="C1741" s="39" t="inlineStr">
        <is>
          <t>수</t>
        </is>
      </c>
      <c r="E1741" s="39" t="inlineStr">
        <is>
          <t>고체향수</t>
        </is>
      </c>
      <c r="F1741" s="39" t="inlineStr">
        <is>
          <t>카페24</t>
        </is>
      </c>
      <c r="G1741" s="39" t="n"/>
      <c r="H1741" s="39" t="n">
        <v>67</v>
      </c>
      <c r="I1741" s="39" t="inlineStr">
        <is>
          <t>스테이포에버 2set</t>
        </is>
      </c>
      <c r="J1741" s="20" t="n">
        <v>200720</v>
      </c>
      <c r="L1741" s="39">
        <f>VLOOKUP($P1741,매칭테이블!$G:$J,2,0)*H1741</f>
        <v/>
      </c>
      <c r="M1741" s="39">
        <f>L1741-L1741*VLOOKUP($P1741,매칭테이블!$G:$J,3,0)</f>
        <v/>
      </c>
      <c r="N1741" s="39">
        <f>VLOOKUP($P1741,매칭테이블!$G:$J,4,0)*H1741</f>
        <v/>
      </c>
      <c r="O1741" s="55">
        <f>L1741/1.1</f>
        <v/>
      </c>
      <c r="P1741" s="39">
        <f>F1741&amp;E1741&amp;I1741&amp;J1741</f>
        <v/>
      </c>
    </row>
    <row r="1742">
      <c r="B1742" s="51" t="n">
        <v>44104</v>
      </c>
      <c r="C1742" s="39" t="inlineStr">
        <is>
          <t>수</t>
        </is>
      </c>
      <c r="E1742" s="39" t="inlineStr">
        <is>
          <t>쇼핑백</t>
        </is>
      </c>
      <c r="F1742" s="39" t="inlineStr">
        <is>
          <t>카페24</t>
        </is>
      </c>
      <c r="H1742" s="39" t="n">
        <v>3</v>
      </c>
      <c r="I1742" s="39" t="inlineStr">
        <is>
          <t>유즈쇼핑백</t>
        </is>
      </c>
      <c r="J1742" s="20" t="n">
        <v>200720</v>
      </c>
      <c r="L1742" s="39">
        <f>VLOOKUP($P1742,매칭테이블!$G:$J,2,0)*H1742</f>
        <v/>
      </c>
      <c r="M1742" s="39">
        <f>L1742-L1742*VLOOKUP($P1742,매칭테이블!$G:$J,3,0)</f>
        <v/>
      </c>
      <c r="N1742" s="39">
        <f>VLOOKUP($P1742,매칭테이블!$G:$J,4,0)*H1742</f>
        <v/>
      </c>
      <c r="O1742" s="55">
        <f>L1742/1.1</f>
        <v/>
      </c>
      <c r="P1742" s="39">
        <f>F1742&amp;E1742&amp;I1742&amp;J1742</f>
        <v/>
      </c>
    </row>
    <row r="1743">
      <c r="B1743" s="51" t="n">
        <v>44105</v>
      </c>
      <c r="C1743" s="39" t="inlineStr">
        <is>
          <t>목</t>
        </is>
      </c>
      <c r="E1743" s="39" t="inlineStr">
        <is>
          <t>고체향수</t>
        </is>
      </c>
      <c r="F1743" s="39" t="inlineStr">
        <is>
          <t>카페24</t>
        </is>
      </c>
      <c r="H1743" s="39" t="n">
        <v>24</v>
      </c>
      <c r="I1743" s="39" t="inlineStr">
        <is>
          <t>이그나이트 + 스테이포에버</t>
        </is>
      </c>
      <c r="J1743" s="20" t="n">
        <v>200720</v>
      </c>
      <c r="L1743" s="39">
        <f>VLOOKUP($P1743,매칭테이블!$G:$J,2,0)*H1743</f>
        <v/>
      </c>
      <c r="M1743" s="39">
        <f>L1743-L1743*VLOOKUP($P1743,매칭테이블!$G:$J,3,0)</f>
        <v/>
      </c>
      <c r="N1743" s="39">
        <f>VLOOKUP($P1743,매칭테이블!$G:$J,4,0)*H1743</f>
        <v/>
      </c>
      <c r="O1743" s="55">
        <f>L1743/1.1</f>
        <v/>
      </c>
      <c r="P1743" s="39">
        <f>F1743&amp;E1743&amp;I1743&amp;J1743</f>
        <v/>
      </c>
    </row>
    <row r="1744">
      <c r="B1744" s="51" t="n">
        <v>44105</v>
      </c>
      <c r="C1744" s="39" t="inlineStr">
        <is>
          <t>목</t>
        </is>
      </c>
      <c r="E1744" s="39" t="inlineStr">
        <is>
          <t>고체향수</t>
        </is>
      </c>
      <c r="F1744" s="39" t="inlineStr">
        <is>
          <t>카페24</t>
        </is>
      </c>
      <c r="H1744" s="39" t="n">
        <v>259</v>
      </c>
      <c r="I1744" s="39" t="inlineStr">
        <is>
          <t>스테이포에버</t>
        </is>
      </c>
      <c r="J1744" s="20" t="n">
        <v>200720</v>
      </c>
      <c r="L1744" s="39">
        <f>VLOOKUP($P1744,매칭테이블!$G:$J,2,0)*H1744</f>
        <v/>
      </c>
      <c r="M1744" s="39">
        <f>L1744-L1744*VLOOKUP($P1744,매칭테이블!$G:$J,3,0)</f>
        <v/>
      </c>
      <c r="N1744" s="39">
        <f>VLOOKUP($P1744,매칭테이블!$G:$J,4,0)*H1744</f>
        <v/>
      </c>
      <c r="O1744" s="55">
        <f>L1744/1.1</f>
        <v/>
      </c>
      <c r="P1744" s="39">
        <f>F1744&amp;E1744&amp;I1744&amp;J1744</f>
        <v/>
      </c>
    </row>
    <row r="1745">
      <c r="B1745" s="51" t="n">
        <v>44105</v>
      </c>
      <c r="C1745" s="39" t="inlineStr">
        <is>
          <t>목</t>
        </is>
      </c>
      <c r="E1745" s="39" t="inlineStr">
        <is>
          <t>고체향수</t>
        </is>
      </c>
      <c r="F1745" s="39" t="inlineStr">
        <is>
          <t>카페24</t>
        </is>
      </c>
      <c r="G1745" s="39" t="n"/>
      <c r="H1745" s="39" t="n">
        <v>57</v>
      </c>
      <c r="I1745" s="39" t="inlineStr">
        <is>
          <t>스테이포에버 2set</t>
        </is>
      </c>
      <c r="J1745" s="20" t="n">
        <v>200720</v>
      </c>
      <c r="L1745" s="39">
        <f>VLOOKUP($P1745,매칭테이블!$G:$J,2,0)*H1745</f>
        <v/>
      </c>
      <c r="M1745" s="39">
        <f>L1745-L1745*VLOOKUP($P1745,매칭테이블!$G:$J,3,0)</f>
        <v/>
      </c>
      <c r="N1745" s="39">
        <f>VLOOKUP($P1745,매칭테이블!$G:$J,4,0)*H1745</f>
        <v/>
      </c>
      <c r="O1745" s="55">
        <f>L1745/1.1</f>
        <v/>
      </c>
      <c r="P1745" s="39">
        <f>F1745&amp;E1745&amp;I1745&amp;J1745</f>
        <v/>
      </c>
    </row>
    <row r="1746">
      <c r="B1746" s="51" t="n">
        <v>44105</v>
      </c>
      <c r="C1746" s="39" t="inlineStr">
        <is>
          <t>목</t>
        </is>
      </c>
      <c r="E1746" s="39" t="inlineStr">
        <is>
          <t>고체향수</t>
        </is>
      </c>
      <c r="F1746" s="39" t="inlineStr">
        <is>
          <t>카페24</t>
        </is>
      </c>
      <c r="H1746" s="39" t="n">
        <v>3</v>
      </c>
      <c r="I1746" s="39" t="inlineStr">
        <is>
          <t>이그나이트</t>
        </is>
      </c>
      <c r="J1746" s="20" t="n">
        <v>200720</v>
      </c>
      <c r="L1746" s="39">
        <f>VLOOKUP($P1746,매칭테이블!$G:$J,2,0)*H1746</f>
        <v/>
      </c>
      <c r="M1746" s="39">
        <f>L1746-L1746*VLOOKUP($P1746,매칭테이블!$G:$J,3,0)</f>
        <v/>
      </c>
      <c r="N1746" s="39">
        <f>VLOOKUP($P1746,매칭테이블!$G:$J,4,0)*H1746</f>
        <v/>
      </c>
      <c r="O1746" s="55">
        <f>L1746/1.1</f>
        <v/>
      </c>
      <c r="P1746" s="39">
        <f>F1746&amp;E1746&amp;I1746&amp;J1746</f>
        <v/>
      </c>
    </row>
    <row r="1747">
      <c r="B1747" s="51" t="n">
        <v>44105</v>
      </c>
      <c r="C1747" s="39" t="inlineStr">
        <is>
          <t>목</t>
        </is>
      </c>
      <c r="E1747" s="39" t="inlineStr">
        <is>
          <t>쇼핑백</t>
        </is>
      </c>
      <c r="F1747" s="39" t="inlineStr">
        <is>
          <t>카페24</t>
        </is>
      </c>
      <c r="H1747" s="39" t="n">
        <v>4</v>
      </c>
      <c r="I1747" s="39" t="inlineStr">
        <is>
          <t>유즈쇼핑백</t>
        </is>
      </c>
      <c r="J1747" s="20" t="n">
        <v>200720</v>
      </c>
      <c r="L1747" s="39">
        <f>VLOOKUP($P1747,매칭테이블!$G:$J,2,0)*H1747</f>
        <v/>
      </c>
      <c r="M1747" s="39">
        <f>L1747-L1747*VLOOKUP($P1747,매칭테이블!$G:$J,3,0)</f>
        <v/>
      </c>
      <c r="N1747" s="39">
        <f>VLOOKUP($P1747,매칭테이블!$G:$J,4,0)*H1747</f>
        <v/>
      </c>
      <c r="O1747" s="55">
        <f>L1747/1.1</f>
        <v/>
      </c>
      <c r="P1747" s="39">
        <f>F1747&amp;E1747&amp;I1747&amp;J1747</f>
        <v/>
      </c>
    </row>
    <row r="1748">
      <c r="B1748" s="51" t="n">
        <v>44106</v>
      </c>
      <c r="C1748" s="39" t="inlineStr">
        <is>
          <t>금</t>
        </is>
      </c>
      <c r="E1748" s="39" t="inlineStr">
        <is>
          <t>고체향수</t>
        </is>
      </c>
      <c r="F1748" s="39" t="inlineStr">
        <is>
          <t>카페24</t>
        </is>
      </c>
      <c r="H1748" s="39" t="n">
        <v>16</v>
      </c>
      <c r="I1748" s="39" t="inlineStr">
        <is>
          <t>이그나이트 + 스테이포에버</t>
        </is>
      </c>
      <c r="J1748" s="20" t="n">
        <v>200720</v>
      </c>
      <c r="L1748" s="39">
        <f>VLOOKUP($P1748,매칭테이블!$G:$J,2,0)*H1748</f>
        <v/>
      </c>
      <c r="M1748" s="39">
        <f>L1748-L1748*VLOOKUP($P1748,매칭테이블!$G:$J,3,0)</f>
        <v/>
      </c>
      <c r="N1748" s="39">
        <f>VLOOKUP($P1748,매칭테이블!$G:$J,4,0)*H1748</f>
        <v/>
      </c>
      <c r="O1748" s="55">
        <f>L1748/1.1</f>
        <v/>
      </c>
      <c r="P1748" s="39">
        <f>F1748&amp;E1748&amp;I1748&amp;J1748</f>
        <v/>
      </c>
    </row>
    <row r="1749">
      <c r="B1749" s="51" t="n">
        <v>44106</v>
      </c>
      <c r="C1749" s="39" t="inlineStr">
        <is>
          <t>금</t>
        </is>
      </c>
      <c r="E1749" s="39" t="inlineStr">
        <is>
          <t>고체향수</t>
        </is>
      </c>
      <c r="F1749" s="39" t="inlineStr">
        <is>
          <t>카페24</t>
        </is>
      </c>
      <c r="H1749" s="39" t="n">
        <v>1</v>
      </c>
      <c r="I1749" s="39" t="inlineStr">
        <is>
          <t>이그나이트 + 스테이포에버 2set</t>
        </is>
      </c>
      <c r="J1749" s="20" t="n">
        <v>200720</v>
      </c>
      <c r="L1749" s="39">
        <f>VLOOKUP($P1749,매칭테이블!$G:$J,2,0)*H1749</f>
        <v/>
      </c>
      <c r="M1749" s="39">
        <f>L1749-L1749*VLOOKUP($P1749,매칭테이블!$G:$J,3,0)</f>
        <v/>
      </c>
      <c r="N1749" s="39">
        <f>VLOOKUP($P1749,매칭테이블!$G:$J,4,0)*H1749</f>
        <v/>
      </c>
      <c r="O1749" s="55">
        <f>L1749/1.1</f>
        <v/>
      </c>
      <c r="P1749" s="39">
        <f>F1749&amp;E1749&amp;I1749&amp;J1749</f>
        <v/>
      </c>
    </row>
    <row r="1750">
      <c r="B1750" s="51" t="n">
        <v>44106</v>
      </c>
      <c r="C1750" s="39" t="inlineStr">
        <is>
          <t>금</t>
        </is>
      </c>
      <c r="E1750" s="39" t="inlineStr">
        <is>
          <t>고체향수</t>
        </is>
      </c>
      <c r="F1750" s="39" t="inlineStr">
        <is>
          <t>카페24</t>
        </is>
      </c>
      <c r="H1750" s="39" t="n">
        <v>243</v>
      </c>
      <c r="I1750" s="39" t="inlineStr">
        <is>
          <t>스테이포에버</t>
        </is>
      </c>
      <c r="J1750" s="20" t="n">
        <v>200720</v>
      </c>
      <c r="L1750" s="39">
        <f>VLOOKUP($P1750,매칭테이블!$G:$J,2,0)*H1750</f>
        <v/>
      </c>
      <c r="M1750" s="39">
        <f>L1750-L1750*VLOOKUP($P1750,매칭테이블!$G:$J,3,0)</f>
        <v/>
      </c>
      <c r="N1750" s="39">
        <f>VLOOKUP($P1750,매칭테이블!$G:$J,4,0)*H1750</f>
        <v/>
      </c>
      <c r="O1750" s="55">
        <f>L1750/1.1</f>
        <v/>
      </c>
      <c r="P1750" s="39">
        <f>F1750&amp;E1750&amp;I1750&amp;J1750</f>
        <v/>
      </c>
    </row>
    <row r="1751">
      <c r="B1751" s="51" t="n">
        <v>44106</v>
      </c>
      <c r="C1751" s="39" t="inlineStr">
        <is>
          <t>금</t>
        </is>
      </c>
      <c r="E1751" s="39" t="inlineStr">
        <is>
          <t>고체향수</t>
        </is>
      </c>
      <c r="F1751" s="39" t="inlineStr">
        <is>
          <t>카페24</t>
        </is>
      </c>
      <c r="G1751" s="39" t="n"/>
      <c r="H1751" s="39" t="n">
        <v>58</v>
      </c>
      <c r="I1751" s="39" t="inlineStr">
        <is>
          <t>스테이포에버 2set</t>
        </is>
      </c>
      <c r="J1751" s="20" t="n">
        <v>200720</v>
      </c>
      <c r="L1751" s="39">
        <f>VLOOKUP($P1751,매칭테이블!$G:$J,2,0)*H1751</f>
        <v/>
      </c>
      <c r="M1751" s="39">
        <f>L1751-L1751*VLOOKUP($P1751,매칭테이블!$G:$J,3,0)</f>
        <v/>
      </c>
      <c r="N1751" s="39">
        <f>VLOOKUP($P1751,매칭테이블!$G:$J,4,0)*H1751</f>
        <v/>
      </c>
      <c r="O1751" s="55">
        <f>L1751/1.1</f>
        <v/>
      </c>
      <c r="P1751" s="39">
        <f>F1751&amp;E1751&amp;I1751&amp;J1751</f>
        <v/>
      </c>
    </row>
    <row r="1752">
      <c r="B1752" s="51" t="n">
        <v>44106</v>
      </c>
      <c r="C1752" s="39" t="inlineStr">
        <is>
          <t>금</t>
        </is>
      </c>
      <c r="E1752" s="39" t="inlineStr">
        <is>
          <t>고체향수</t>
        </is>
      </c>
      <c r="F1752" s="39" t="inlineStr">
        <is>
          <t>카페24</t>
        </is>
      </c>
      <c r="H1752" s="39" t="n">
        <v>2</v>
      </c>
      <c r="I1752" s="39" t="inlineStr">
        <is>
          <t>이그나이트</t>
        </is>
      </c>
      <c r="J1752" s="20" t="n">
        <v>200720</v>
      </c>
      <c r="L1752" s="39">
        <f>VLOOKUP($P1752,매칭테이블!$G:$J,2,0)*H1752</f>
        <v/>
      </c>
      <c r="M1752" s="39">
        <f>L1752-L1752*VLOOKUP($P1752,매칭테이블!$G:$J,3,0)</f>
        <v/>
      </c>
      <c r="N1752" s="39">
        <f>VLOOKUP($P1752,매칭테이블!$G:$J,4,0)*H1752</f>
        <v/>
      </c>
      <c r="O1752" s="55">
        <f>L1752/1.1</f>
        <v/>
      </c>
      <c r="P1752" s="39">
        <f>F1752&amp;E1752&amp;I1752&amp;J1752</f>
        <v/>
      </c>
    </row>
    <row r="1753">
      <c r="B1753" s="51" t="n">
        <v>44106</v>
      </c>
      <c r="C1753" s="39" t="inlineStr">
        <is>
          <t>금</t>
        </is>
      </c>
      <c r="E1753" s="39" t="inlineStr">
        <is>
          <t>쇼핑백</t>
        </is>
      </c>
      <c r="F1753" s="39" t="inlineStr">
        <is>
          <t>카페24</t>
        </is>
      </c>
      <c r="H1753" s="39" t="n">
        <v>7</v>
      </c>
      <c r="I1753" s="39" t="inlineStr">
        <is>
          <t>유즈쇼핑백</t>
        </is>
      </c>
      <c r="J1753" s="20" t="n">
        <v>200720</v>
      </c>
      <c r="L1753" s="39">
        <f>VLOOKUP($P1753,매칭테이블!$G:$J,2,0)*H1753</f>
        <v/>
      </c>
      <c r="M1753" s="39">
        <f>L1753-L1753*VLOOKUP($P1753,매칭테이블!$G:$J,3,0)</f>
        <v/>
      </c>
      <c r="N1753" s="39">
        <f>VLOOKUP($P1753,매칭테이블!$G:$J,4,0)*H1753</f>
        <v/>
      </c>
      <c r="O1753" s="55">
        <f>L1753/1.1</f>
        <v/>
      </c>
      <c r="P1753" s="39">
        <f>F1753&amp;E1753&amp;I1753&amp;J1753</f>
        <v/>
      </c>
    </row>
    <row r="1754">
      <c r="B1754" s="51" t="n">
        <v>44107</v>
      </c>
      <c r="C1754" s="39" t="inlineStr">
        <is>
          <t>토</t>
        </is>
      </c>
      <c r="E1754" s="39" t="inlineStr">
        <is>
          <t>고체향수</t>
        </is>
      </c>
      <c r="F1754" s="39" t="inlineStr">
        <is>
          <t>카페24</t>
        </is>
      </c>
      <c r="H1754" s="39" t="n">
        <v>17</v>
      </c>
      <c r="I1754" s="39" t="inlineStr">
        <is>
          <t>이그나이트 + 스테이포에버</t>
        </is>
      </c>
      <c r="J1754" s="20" t="n">
        <v>200720</v>
      </c>
      <c r="L1754" s="39">
        <f>VLOOKUP($P1754,매칭테이블!$G:$J,2,0)*H1754</f>
        <v/>
      </c>
      <c r="M1754" s="39">
        <f>L1754-L1754*VLOOKUP($P1754,매칭테이블!$G:$J,3,0)</f>
        <v/>
      </c>
      <c r="N1754" s="39">
        <f>VLOOKUP($P1754,매칭테이블!$G:$J,4,0)*H1754</f>
        <v/>
      </c>
      <c r="O1754" s="55">
        <f>L1754/1.1</f>
        <v/>
      </c>
      <c r="P1754" s="39">
        <f>F1754&amp;E1754&amp;I1754&amp;J1754</f>
        <v/>
      </c>
    </row>
    <row r="1755">
      <c r="B1755" s="51" t="n">
        <v>44107</v>
      </c>
      <c r="C1755" s="39" t="inlineStr">
        <is>
          <t>토</t>
        </is>
      </c>
      <c r="E1755" s="39" t="inlineStr">
        <is>
          <t>고체향수</t>
        </is>
      </c>
      <c r="F1755" s="39" t="inlineStr">
        <is>
          <t>카페24</t>
        </is>
      </c>
      <c r="H1755" s="39" t="n">
        <v>272</v>
      </c>
      <c r="I1755" s="39" t="inlineStr">
        <is>
          <t>스테이포에버</t>
        </is>
      </c>
      <c r="J1755" s="20" t="n">
        <v>200720</v>
      </c>
      <c r="L1755" s="39">
        <f>VLOOKUP($P1755,매칭테이블!$G:$J,2,0)*H1755</f>
        <v/>
      </c>
      <c r="M1755" s="39">
        <f>L1755-L1755*VLOOKUP($P1755,매칭테이블!$G:$J,3,0)</f>
        <v/>
      </c>
      <c r="N1755" s="39">
        <f>VLOOKUP($P1755,매칭테이블!$G:$J,4,0)*H1755</f>
        <v/>
      </c>
      <c r="O1755" s="55">
        <f>L1755/1.1</f>
        <v/>
      </c>
      <c r="P1755" s="39">
        <f>F1755&amp;E1755&amp;I1755&amp;J1755</f>
        <v/>
      </c>
    </row>
    <row r="1756">
      <c r="B1756" s="51" t="n">
        <v>44107</v>
      </c>
      <c r="C1756" s="39" t="inlineStr">
        <is>
          <t>토</t>
        </is>
      </c>
      <c r="E1756" s="39" t="inlineStr">
        <is>
          <t>고체향수</t>
        </is>
      </c>
      <c r="F1756" s="39" t="inlineStr">
        <is>
          <t>카페24</t>
        </is>
      </c>
      <c r="G1756" s="39" t="n"/>
      <c r="H1756" s="39" t="n">
        <v>51</v>
      </c>
      <c r="I1756" s="39" t="inlineStr">
        <is>
          <t>스테이포에버 2set</t>
        </is>
      </c>
      <c r="J1756" s="20" t="n">
        <v>200720</v>
      </c>
      <c r="L1756" s="39">
        <f>VLOOKUP($P1756,매칭테이블!$G:$J,2,0)*H1756</f>
        <v/>
      </c>
      <c r="M1756" s="39">
        <f>L1756-L1756*VLOOKUP($P1756,매칭테이블!$G:$J,3,0)</f>
        <v/>
      </c>
      <c r="N1756" s="39">
        <f>VLOOKUP($P1756,매칭테이블!$G:$J,4,0)*H1756</f>
        <v/>
      </c>
      <c r="O1756" s="55">
        <f>L1756/1.1</f>
        <v/>
      </c>
      <c r="P1756" s="39">
        <f>F1756&amp;E1756&amp;I1756&amp;J1756</f>
        <v/>
      </c>
    </row>
    <row r="1757">
      <c r="B1757" s="51" t="n">
        <v>44107</v>
      </c>
      <c r="C1757" s="39" t="inlineStr">
        <is>
          <t>토</t>
        </is>
      </c>
      <c r="E1757" s="39" t="inlineStr">
        <is>
          <t>고체향수</t>
        </is>
      </c>
      <c r="F1757" s="39" t="inlineStr">
        <is>
          <t>카페24</t>
        </is>
      </c>
      <c r="H1757" s="39" t="n">
        <v>2</v>
      </c>
      <c r="I1757" s="39" t="inlineStr">
        <is>
          <t>이그나이트</t>
        </is>
      </c>
      <c r="J1757" s="20" t="n">
        <v>200720</v>
      </c>
      <c r="L1757" s="39">
        <f>VLOOKUP($P1757,매칭테이블!$G:$J,2,0)*H1757</f>
        <v/>
      </c>
      <c r="M1757" s="39">
        <f>L1757-L1757*VLOOKUP($P1757,매칭테이블!$G:$J,3,0)</f>
        <v/>
      </c>
      <c r="N1757" s="39">
        <f>VLOOKUP($P1757,매칭테이블!$G:$J,4,0)*H1757</f>
        <v/>
      </c>
      <c r="O1757" s="55">
        <f>L1757/1.1</f>
        <v/>
      </c>
      <c r="P1757" s="39">
        <f>F1757&amp;E1757&amp;I1757&amp;J1757</f>
        <v/>
      </c>
    </row>
    <row r="1758">
      <c r="B1758" s="51" t="n">
        <v>44107</v>
      </c>
      <c r="C1758" s="39" t="inlineStr">
        <is>
          <t>토</t>
        </is>
      </c>
      <c r="E1758" s="39" t="inlineStr">
        <is>
          <t>쇼핑백</t>
        </is>
      </c>
      <c r="F1758" s="39" t="inlineStr">
        <is>
          <t>카페24</t>
        </is>
      </c>
      <c r="H1758" s="39" t="n">
        <v>9</v>
      </c>
      <c r="I1758" s="39" t="inlineStr">
        <is>
          <t>유즈쇼핑백</t>
        </is>
      </c>
      <c r="J1758" s="20" t="n">
        <v>200720</v>
      </c>
      <c r="L1758" s="39">
        <f>VLOOKUP($P1758,매칭테이블!$G:$J,2,0)*H1758</f>
        <v/>
      </c>
      <c r="M1758" s="39">
        <f>L1758-L1758*VLOOKUP($P1758,매칭테이블!$G:$J,3,0)</f>
        <v/>
      </c>
      <c r="N1758" s="39">
        <f>VLOOKUP($P1758,매칭테이블!$G:$J,4,0)*H1758</f>
        <v/>
      </c>
      <c r="O1758" s="55">
        <f>L1758/1.1</f>
        <v/>
      </c>
      <c r="P1758" s="39">
        <f>F1758&amp;E1758&amp;I1758&amp;J1758</f>
        <v/>
      </c>
    </row>
    <row r="1759">
      <c r="B1759" s="51" t="n">
        <v>44108</v>
      </c>
      <c r="C1759" s="39" t="inlineStr">
        <is>
          <t>일</t>
        </is>
      </c>
      <c r="E1759" s="39" t="inlineStr">
        <is>
          <t>고체향수</t>
        </is>
      </c>
      <c r="F1759" s="39" t="inlineStr">
        <is>
          <t>카페24</t>
        </is>
      </c>
      <c r="H1759" s="39" t="n">
        <v>19</v>
      </c>
      <c r="I1759" s="39" t="inlineStr">
        <is>
          <t>이그나이트 + 스테이포에버</t>
        </is>
      </c>
      <c r="J1759" s="20" t="n">
        <v>200720</v>
      </c>
      <c r="L1759" s="39">
        <f>VLOOKUP($P1759,매칭테이블!$G:$J,2,0)*H1759</f>
        <v/>
      </c>
      <c r="M1759" s="39">
        <f>L1759-L1759*VLOOKUP($P1759,매칭테이블!$G:$J,3,0)</f>
        <v/>
      </c>
      <c r="N1759" s="39">
        <f>VLOOKUP($P1759,매칭테이블!$G:$J,4,0)*H1759</f>
        <v/>
      </c>
      <c r="O1759" s="55">
        <f>L1759/1.1</f>
        <v/>
      </c>
      <c r="P1759" s="39">
        <f>F1759&amp;E1759&amp;I1759&amp;J1759</f>
        <v/>
      </c>
    </row>
    <row r="1760">
      <c r="B1760" s="51" t="n">
        <v>44108</v>
      </c>
      <c r="C1760" s="39" t="inlineStr">
        <is>
          <t>일</t>
        </is>
      </c>
      <c r="E1760" s="39" t="inlineStr">
        <is>
          <t>고체향수</t>
        </is>
      </c>
      <c r="F1760" s="39" t="inlineStr">
        <is>
          <t>카페24</t>
        </is>
      </c>
      <c r="H1760" s="39" t="n">
        <v>236</v>
      </c>
      <c r="I1760" s="39" t="inlineStr">
        <is>
          <t>스테이포에버</t>
        </is>
      </c>
      <c r="J1760" s="20" t="n">
        <v>200720</v>
      </c>
      <c r="L1760" s="39">
        <f>VLOOKUP($P1760,매칭테이블!$G:$J,2,0)*H1760</f>
        <v/>
      </c>
      <c r="M1760" s="39">
        <f>L1760-L1760*VLOOKUP($P1760,매칭테이블!$G:$J,3,0)</f>
        <v/>
      </c>
      <c r="N1760" s="39">
        <f>VLOOKUP($P1760,매칭테이블!$G:$J,4,0)*H1760</f>
        <v/>
      </c>
      <c r="O1760" s="55">
        <f>L1760/1.1</f>
        <v/>
      </c>
      <c r="P1760" s="39">
        <f>F1760&amp;E1760&amp;I1760&amp;J1760</f>
        <v/>
      </c>
    </row>
    <row r="1761">
      <c r="B1761" s="51" t="n">
        <v>44108</v>
      </c>
      <c r="C1761" s="39" t="inlineStr">
        <is>
          <t>일</t>
        </is>
      </c>
      <c r="E1761" s="39" t="inlineStr">
        <is>
          <t>고체향수</t>
        </is>
      </c>
      <c r="F1761" s="39" t="inlineStr">
        <is>
          <t>카페24</t>
        </is>
      </c>
      <c r="G1761" s="39" t="n"/>
      <c r="H1761" s="39" t="n">
        <v>54</v>
      </c>
      <c r="I1761" s="39" t="inlineStr">
        <is>
          <t>스테이포에버 2set</t>
        </is>
      </c>
      <c r="J1761" s="20" t="n">
        <v>200720</v>
      </c>
      <c r="L1761" s="39">
        <f>VLOOKUP($P1761,매칭테이블!$G:$J,2,0)*H1761</f>
        <v/>
      </c>
      <c r="M1761" s="39">
        <f>L1761-L1761*VLOOKUP($P1761,매칭테이블!$G:$J,3,0)</f>
        <v/>
      </c>
      <c r="N1761" s="39">
        <f>VLOOKUP($P1761,매칭테이블!$G:$J,4,0)*H1761</f>
        <v/>
      </c>
      <c r="O1761" s="55">
        <f>L1761/1.1</f>
        <v/>
      </c>
      <c r="P1761" s="39">
        <f>F1761&amp;E1761&amp;I1761&amp;J1761</f>
        <v/>
      </c>
    </row>
    <row r="1762">
      <c r="B1762" s="51" t="n">
        <v>44108</v>
      </c>
      <c r="C1762" s="39" t="inlineStr">
        <is>
          <t>일</t>
        </is>
      </c>
      <c r="E1762" s="39" t="inlineStr">
        <is>
          <t>고체향수</t>
        </is>
      </c>
      <c r="F1762" s="39" t="inlineStr">
        <is>
          <t>카페24</t>
        </is>
      </c>
      <c r="H1762" s="39" t="n">
        <v>1</v>
      </c>
      <c r="I1762" s="39" t="inlineStr">
        <is>
          <t>이그나이트</t>
        </is>
      </c>
      <c r="J1762" s="20" t="n">
        <v>200720</v>
      </c>
      <c r="L1762" s="39">
        <f>VLOOKUP($P1762,매칭테이블!$G:$J,2,0)*H1762</f>
        <v/>
      </c>
      <c r="M1762" s="39">
        <f>L1762-L1762*VLOOKUP($P1762,매칭테이블!$G:$J,3,0)</f>
        <v/>
      </c>
      <c r="N1762" s="39">
        <f>VLOOKUP($P1762,매칭테이블!$G:$J,4,0)*H1762</f>
        <v/>
      </c>
      <c r="O1762" s="55">
        <f>L1762/1.1</f>
        <v/>
      </c>
      <c r="P1762" s="39">
        <f>F1762&amp;E1762&amp;I1762&amp;J1762</f>
        <v/>
      </c>
    </row>
    <row r="1763">
      <c r="B1763" s="51" t="n">
        <v>44108</v>
      </c>
      <c r="C1763" s="39" t="inlineStr">
        <is>
          <t>일</t>
        </is>
      </c>
      <c r="E1763" s="39" t="inlineStr">
        <is>
          <t>고체향수</t>
        </is>
      </c>
      <c r="F1763" s="39" t="inlineStr">
        <is>
          <t>카페24</t>
        </is>
      </c>
      <c r="H1763" s="39" t="n">
        <v>1</v>
      </c>
      <c r="I1763" s="39" t="inlineStr">
        <is>
          <t>이그나이트 2set</t>
        </is>
      </c>
      <c r="J1763" s="20" t="n">
        <v>200720</v>
      </c>
      <c r="L1763" s="39">
        <f>VLOOKUP($P1763,매칭테이블!$G:$J,2,0)*H1763</f>
        <v/>
      </c>
      <c r="M1763" s="39">
        <f>L1763-L1763*VLOOKUP($P1763,매칭테이블!$G:$J,3,0)</f>
        <v/>
      </c>
      <c r="N1763" s="39">
        <f>VLOOKUP($P1763,매칭테이블!$G:$J,4,0)*H1763</f>
        <v/>
      </c>
      <c r="O1763" s="55">
        <f>L1763/1.1</f>
        <v/>
      </c>
      <c r="P1763" s="39">
        <f>F1763&amp;E1763&amp;I1763&amp;J1763</f>
        <v/>
      </c>
    </row>
    <row r="1764">
      <c r="B1764" s="51" t="n">
        <v>44108</v>
      </c>
      <c r="C1764" s="39" t="inlineStr">
        <is>
          <t>일</t>
        </is>
      </c>
      <c r="E1764" s="39" t="inlineStr">
        <is>
          <t>쇼핑백</t>
        </is>
      </c>
      <c r="F1764" s="39" t="inlineStr">
        <is>
          <t>카페24</t>
        </is>
      </c>
      <c r="H1764" s="39" t="n">
        <v>4</v>
      </c>
      <c r="I1764" s="39" t="inlineStr">
        <is>
          <t>유즈쇼핑백</t>
        </is>
      </c>
      <c r="J1764" s="20" t="n">
        <v>200720</v>
      </c>
      <c r="L1764" s="39">
        <f>VLOOKUP($P1764,매칭테이블!$G:$J,2,0)*H1764</f>
        <v/>
      </c>
      <c r="M1764" s="39">
        <f>L1764-L1764*VLOOKUP($P1764,매칭테이블!$G:$J,3,0)</f>
        <v/>
      </c>
      <c r="N1764" s="39">
        <f>VLOOKUP($P1764,매칭테이블!$G:$J,4,0)*H1764</f>
        <v/>
      </c>
      <c r="O1764" s="55">
        <f>L1764/1.1</f>
        <v/>
      </c>
      <c r="P1764" s="39">
        <f>F1764&amp;E1764&amp;I1764&amp;J1764</f>
        <v/>
      </c>
    </row>
    <row r="1765">
      <c r="B1765" s="51" t="n">
        <v>44109</v>
      </c>
      <c r="C1765" s="39" t="inlineStr">
        <is>
          <t>월</t>
        </is>
      </c>
      <c r="E1765" s="39" t="inlineStr">
        <is>
          <t>고체향수</t>
        </is>
      </c>
      <c r="F1765" s="39" t="inlineStr">
        <is>
          <t>카페24</t>
        </is>
      </c>
      <c r="H1765" s="39" t="n">
        <v>17</v>
      </c>
      <c r="I1765" s="39" t="inlineStr">
        <is>
          <t>이그나이트 + 스테이포에버</t>
        </is>
      </c>
      <c r="J1765" s="20" t="n">
        <v>200720</v>
      </c>
      <c r="L1765" s="39">
        <f>VLOOKUP($P1765,매칭테이블!$G:$J,2,0)*H1765</f>
        <v/>
      </c>
      <c r="M1765" s="39">
        <f>L1765-L1765*VLOOKUP($P1765,매칭테이블!$G:$J,3,0)</f>
        <v/>
      </c>
      <c r="N1765" s="39">
        <f>VLOOKUP($P1765,매칭테이블!$G:$J,4,0)*H1765</f>
        <v/>
      </c>
      <c r="O1765" s="55">
        <f>L1765/1.1</f>
        <v/>
      </c>
      <c r="P1765" s="39">
        <f>F1765&amp;E1765&amp;I1765&amp;J1765</f>
        <v/>
      </c>
    </row>
    <row r="1766">
      <c r="B1766" s="51" t="n">
        <v>44109</v>
      </c>
      <c r="C1766" s="39" t="inlineStr">
        <is>
          <t>월</t>
        </is>
      </c>
      <c r="E1766" s="39" t="inlineStr">
        <is>
          <t>고체향수</t>
        </is>
      </c>
      <c r="F1766" s="39" t="inlineStr">
        <is>
          <t>카페24</t>
        </is>
      </c>
      <c r="H1766" s="39" t="n">
        <v>200</v>
      </c>
      <c r="I1766" s="39" t="inlineStr">
        <is>
          <t>스테이포에버</t>
        </is>
      </c>
      <c r="J1766" s="20" t="n">
        <v>200720</v>
      </c>
      <c r="L1766" s="39">
        <f>VLOOKUP($P1766,매칭테이블!$G:$J,2,0)*H1766</f>
        <v/>
      </c>
      <c r="M1766" s="39">
        <f>L1766-L1766*VLOOKUP($P1766,매칭테이블!$G:$J,3,0)</f>
        <v/>
      </c>
      <c r="N1766" s="39">
        <f>VLOOKUP($P1766,매칭테이블!$G:$J,4,0)*H1766</f>
        <v/>
      </c>
      <c r="O1766" s="55">
        <f>L1766/1.1</f>
        <v/>
      </c>
      <c r="P1766" s="39">
        <f>F1766&amp;E1766&amp;I1766&amp;J1766</f>
        <v/>
      </c>
    </row>
    <row r="1767">
      <c r="B1767" s="51" t="n">
        <v>44109</v>
      </c>
      <c r="C1767" s="39" t="inlineStr">
        <is>
          <t>월</t>
        </is>
      </c>
      <c r="E1767" s="39" t="inlineStr">
        <is>
          <t>고체향수</t>
        </is>
      </c>
      <c r="F1767" s="39" t="inlineStr">
        <is>
          <t>카페24</t>
        </is>
      </c>
      <c r="G1767" s="39" t="n"/>
      <c r="H1767" s="39" t="n">
        <v>54</v>
      </c>
      <c r="I1767" s="39" t="inlineStr">
        <is>
          <t>스테이포에버 2set</t>
        </is>
      </c>
      <c r="J1767" s="20" t="n">
        <v>200720</v>
      </c>
      <c r="L1767" s="39">
        <f>VLOOKUP($P1767,매칭테이블!$G:$J,2,0)*H1767</f>
        <v/>
      </c>
      <c r="M1767" s="39">
        <f>L1767-L1767*VLOOKUP($P1767,매칭테이블!$G:$J,3,0)</f>
        <v/>
      </c>
      <c r="N1767" s="39">
        <f>VLOOKUP($P1767,매칭테이블!$G:$J,4,0)*H1767</f>
        <v/>
      </c>
      <c r="O1767" s="55">
        <f>L1767/1.1</f>
        <v/>
      </c>
      <c r="P1767" s="39">
        <f>F1767&amp;E1767&amp;I1767&amp;J1767</f>
        <v/>
      </c>
    </row>
    <row r="1768">
      <c r="B1768" s="51" t="n">
        <v>44109</v>
      </c>
      <c r="C1768" s="39" t="inlineStr">
        <is>
          <t>월</t>
        </is>
      </c>
      <c r="E1768" s="39" t="inlineStr">
        <is>
          <t>고체향수</t>
        </is>
      </c>
      <c r="F1768" s="39" t="inlineStr">
        <is>
          <t>카페24</t>
        </is>
      </c>
      <c r="H1768" s="39" t="n">
        <v>1</v>
      </c>
      <c r="I1768" s="39" t="inlineStr">
        <is>
          <t>이그나이트</t>
        </is>
      </c>
      <c r="J1768" s="20" t="n">
        <v>200720</v>
      </c>
      <c r="L1768" s="39">
        <f>VLOOKUP($P1768,매칭테이블!$G:$J,2,0)*H1768</f>
        <v/>
      </c>
      <c r="M1768" s="39">
        <f>L1768-L1768*VLOOKUP($P1768,매칭테이블!$G:$J,3,0)</f>
        <v/>
      </c>
      <c r="N1768" s="39">
        <f>VLOOKUP($P1768,매칭테이블!$G:$J,4,0)*H1768</f>
        <v/>
      </c>
      <c r="O1768" s="55">
        <f>L1768/1.1</f>
        <v/>
      </c>
      <c r="P1768" s="39">
        <f>F1768&amp;E1768&amp;I1768&amp;J1768</f>
        <v/>
      </c>
    </row>
    <row r="1769">
      <c r="B1769" s="51" t="n">
        <v>44109</v>
      </c>
      <c r="C1769" s="39" t="inlineStr">
        <is>
          <t>월</t>
        </is>
      </c>
      <c r="E1769" s="39" t="inlineStr">
        <is>
          <t>쇼핑백</t>
        </is>
      </c>
      <c r="F1769" s="39" t="inlineStr">
        <is>
          <t>카페24</t>
        </is>
      </c>
      <c r="H1769" s="39" t="n">
        <v>6</v>
      </c>
      <c r="I1769" s="39" t="inlineStr">
        <is>
          <t>유즈쇼핑백</t>
        </is>
      </c>
      <c r="J1769" s="20" t="n">
        <v>200720</v>
      </c>
      <c r="L1769" s="39">
        <f>VLOOKUP($P1769,매칭테이블!$G:$J,2,0)*H1769</f>
        <v/>
      </c>
      <c r="M1769" s="39">
        <f>L1769-L1769*VLOOKUP($P1769,매칭테이블!$G:$J,3,0)</f>
        <v/>
      </c>
      <c r="N1769" s="39">
        <f>VLOOKUP($P1769,매칭테이블!$G:$J,4,0)*H1769</f>
        <v/>
      </c>
      <c r="O1769" s="55">
        <f>L1769/1.1</f>
        <v/>
      </c>
      <c r="P1769" s="39">
        <f>F1769&amp;E1769&amp;I1769&amp;J1769</f>
        <v/>
      </c>
    </row>
    <row r="1770">
      <c r="B1770" s="51" t="n">
        <v>44110</v>
      </c>
      <c r="C1770" s="39" t="inlineStr">
        <is>
          <t>화</t>
        </is>
      </c>
      <c r="E1770" s="39" t="inlineStr">
        <is>
          <t>고체향수</t>
        </is>
      </c>
      <c r="F1770" s="39" t="inlineStr">
        <is>
          <t>카페24</t>
        </is>
      </c>
      <c r="H1770" s="39" t="n">
        <v>22</v>
      </c>
      <c r="I1770" s="39" t="inlineStr">
        <is>
          <t>이그나이트 + 스테이포에버</t>
        </is>
      </c>
      <c r="J1770" s="20" t="n">
        <v>200720</v>
      </c>
      <c r="L1770" s="39">
        <f>VLOOKUP($P1770,매칭테이블!$G:$J,2,0)*H1770</f>
        <v/>
      </c>
      <c r="M1770" s="39">
        <f>L1770-L1770*VLOOKUP($P1770,매칭테이블!$G:$J,3,0)</f>
        <v/>
      </c>
      <c r="N1770" s="39">
        <f>VLOOKUP($P1770,매칭테이블!$G:$J,4,0)*H1770</f>
        <v/>
      </c>
      <c r="O1770" s="55">
        <f>L1770/1.1</f>
        <v/>
      </c>
      <c r="P1770" s="39">
        <f>F1770&amp;E1770&amp;I1770&amp;J1770</f>
        <v/>
      </c>
    </row>
    <row r="1771">
      <c r="B1771" s="51" t="n">
        <v>44110</v>
      </c>
      <c r="C1771" s="39" t="inlineStr">
        <is>
          <t>화</t>
        </is>
      </c>
      <c r="E1771" s="39" t="inlineStr">
        <is>
          <t>고체향수</t>
        </is>
      </c>
      <c r="F1771" s="39" t="inlineStr">
        <is>
          <t>카페24</t>
        </is>
      </c>
      <c r="H1771" s="39" t="n">
        <v>181</v>
      </c>
      <c r="I1771" s="39" t="inlineStr">
        <is>
          <t>스테이포에버</t>
        </is>
      </c>
      <c r="J1771" s="20" t="n">
        <v>200720</v>
      </c>
      <c r="L1771" s="39">
        <f>VLOOKUP($P1771,매칭테이블!$G:$J,2,0)*H1771</f>
        <v/>
      </c>
      <c r="M1771" s="39">
        <f>L1771-L1771*VLOOKUP($P1771,매칭테이블!$G:$J,3,0)</f>
        <v/>
      </c>
      <c r="N1771" s="39">
        <f>VLOOKUP($P1771,매칭테이블!$G:$J,4,0)*H1771</f>
        <v/>
      </c>
      <c r="O1771" s="55">
        <f>L1771/1.1</f>
        <v/>
      </c>
      <c r="P1771" s="39">
        <f>F1771&amp;E1771&amp;I1771&amp;J1771</f>
        <v/>
      </c>
    </row>
    <row r="1772">
      <c r="B1772" s="51" t="n">
        <v>44110</v>
      </c>
      <c r="C1772" s="39" t="inlineStr">
        <is>
          <t>화</t>
        </is>
      </c>
      <c r="E1772" s="39" t="inlineStr">
        <is>
          <t>고체향수</t>
        </is>
      </c>
      <c r="F1772" s="39" t="inlineStr">
        <is>
          <t>카페24</t>
        </is>
      </c>
      <c r="G1772" s="39" t="n"/>
      <c r="H1772" s="39" t="n">
        <v>54</v>
      </c>
      <c r="I1772" s="39" t="inlineStr">
        <is>
          <t>스테이포에버 2set</t>
        </is>
      </c>
      <c r="J1772" s="20" t="n">
        <v>200720</v>
      </c>
      <c r="L1772" s="39">
        <f>VLOOKUP($P1772,매칭테이블!$G:$J,2,0)*H1772</f>
        <v/>
      </c>
      <c r="M1772" s="39">
        <f>L1772-L1772*VLOOKUP($P1772,매칭테이블!$G:$J,3,0)</f>
        <v/>
      </c>
      <c r="N1772" s="39">
        <f>VLOOKUP($P1772,매칭테이블!$G:$J,4,0)*H1772</f>
        <v/>
      </c>
      <c r="O1772" s="55">
        <f>L1772/1.1</f>
        <v/>
      </c>
      <c r="P1772" s="39">
        <f>F1772&amp;E1772&amp;I1772&amp;J1772</f>
        <v/>
      </c>
    </row>
    <row r="1773">
      <c r="B1773" s="51" t="n">
        <v>44110</v>
      </c>
      <c r="C1773" s="39" t="inlineStr">
        <is>
          <t>화</t>
        </is>
      </c>
      <c r="E1773" s="39" t="inlineStr">
        <is>
          <t>고체향수</t>
        </is>
      </c>
      <c r="F1773" s="39" t="inlineStr">
        <is>
          <t>카페24</t>
        </is>
      </c>
      <c r="H1773" s="39" t="n">
        <v>2</v>
      </c>
      <c r="I1773" s="39" t="inlineStr">
        <is>
          <t>이그나이트 2set</t>
        </is>
      </c>
      <c r="J1773" s="20" t="n">
        <v>200720</v>
      </c>
      <c r="L1773" s="39">
        <f>VLOOKUP($P1773,매칭테이블!$G:$J,2,0)*H1773</f>
        <v/>
      </c>
      <c r="M1773" s="39">
        <f>L1773-L1773*VLOOKUP($P1773,매칭테이블!$G:$J,3,0)</f>
        <v/>
      </c>
      <c r="N1773" s="39">
        <f>VLOOKUP($P1773,매칭테이블!$G:$J,4,0)*H1773</f>
        <v/>
      </c>
      <c r="O1773" s="55">
        <f>L1773/1.1</f>
        <v/>
      </c>
      <c r="P1773" s="39">
        <f>F1773&amp;E1773&amp;I1773&amp;J1773</f>
        <v/>
      </c>
    </row>
    <row r="1774">
      <c r="B1774" s="51" t="n">
        <v>44110</v>
      </c>
      <c r="C1774" s="39" t="inlineStr">
        <is>
          <t>화</t>
        </is>
      </c>
      <c r="E1774" s="39" t="inlineStr">
        <is>
          <t>쇼핑백</t>
        </is>
      </c>
      <c r="F1774" s="39" t="inlineStr">
        <is>
          <t>카페24</t>
        </is>
      </c>
      <c r="H1774" s="39" t="n">
        <v>6</v>
      </c>
      <c r="I1774" s="39" t="inlineStr">
        <is>
          <t>유즈쇼핑백</t>
        </is>
      </c>
      <c r="J1774" s="20" t="n">
        <v>200720</v>
      </c>
      <c r="L1774" s="39">
        <f>VLOOKUP($P1774,매칭테이블!$G:$J,2,0)*H1774</f>
        <v/>
      </c>
      <c r="M1774" s="39">
        <f>L1774-L1774*VLOOKUP($P1774,매칭테이블!$G:$J,3,0)</f>
        <v/>
      </c>
      <c r="N1774" s="39">
        <f>VLOOKUP($P1774,매칭테이블!$G:$J,4,0)*H1774</f>
        <v/>
      </c>
      <c r="O1774" s="55">
        <f>L1774/1.1</f>
        <v/>
      </c>
      <c r="P1774" s="39">
        <f>F1774&amp;E1774&amp;I1774&amp;J1774</f>
        <v/>
      </c>
    </row>
    <row r="1775">
      <c r="B1775" s="51" t="n">
        <v>44111</v>
      </c>
      <c r="C1775" s="39" t="inlineStr">
        <is>
          <t>수</t>
        </is>
      </c>
      <c r="E1775" s="39" t="inlineStr">
        <is>
          <t>고체향수</t>
        </is>
      </c>
      <c r="F1775" s="39" t="inlineStr">
        <is>
          <t>유즈 CS</t>
        </is>
      </c>
      <c r="G1775" s="39" t="n"/>
      <c r="H1775" s="39" t="n">
        <v>1</v>
      </c>
      <c r="I1775" s="39" t="inlineStr">
        <is>
          <t>스테이포에버</t>
        </is>
      </c>
      <c r="J1775" s="39" t="n">
        <v>200520</v>
      </c>
      <c r="L1775" s="39">
        <f>VLOOKUP($P1775,매칭테이블!$G:$J,2,0)*H1775</f>
        <v/>
      </c>
      <c r="M1775" s="39">
        <f>L1775-L1775*VLOOKUP($P1775,매칭테이블!$G:$J,3,0)</f>
        <v/>
      </c>
      <c r="N1775" s="39">
        <f>VLOOKUP($P1775,매칭테이블!$G:$J,4,0)*H1775</f>
        <v/>
      </c>
      <c r="O1775" s="55">
        <f>L1775/1.1</f>
        <v/>
      </c>
      <c r="P1775" s="39">
        <f>F1775&amp;E1775&amp;I1775&amp;J1775</f>
        <v/>
      </c>
    </row>
    <row r="1776">
      <c r="B1776" s="51" t="n">
        <v>44111</v>
      </c>
      <c r="C1776" s="39" t="inlineStr">
        <is>
          <t>수</t>
        </is>
      </c>
      <c r="E1776" s="39" t="inlineStr">
        <is>
          <t>고체향수</t>
        </is>
      </c>
      <c r="F1776" s="39" t="inlineStr">
        <is>
          <t>카페24</t>
        </is>
      </c>
      <c r="H1776" s="39" t="n">
        <v>10</v>
      </c>
      <c r="I1776" s="39" t="inlineStr">
        <is>
          <t>이그나이트 + 스테이포에버</t>
        </is>
      </c>
      <c r="J1776" s="20" t="n">
        <v>200720</v>
      </c>
      <c r="L1776" s="39">
        <f>VLOOKUP($P1776,매칭테이블!$G:$J,2,0)*H1776</f>
        <v/>
      </c>
      <c r="M1776" s="39">
        <f>L1776-L1776*VLOOKUP($P1776,매칭테이블!$G:$J,3,0)</f>
        <v/>
      </c>
      <c r="N1776" s="39">
        <f>VLOOKUP($P1776,매칭테이블!$G:$J,4,0)*H1776</f>
        <v/>
      </c>
      <c r="O1776" s="55">
        <f>L1776/1.1</f>
        <v/>
      </c>
      <c r="P1776" s="39">
        <f>F1776&amp;E1776&amp;I1776&amp;J1776</f>
        <v/>
      </c>
    </row>
    <row r="1777">
      <c r="B1777" s="51" t="n">
        <v>44111</v>
      </c>
      <c r="C1777" s="39" t="inlineStr">
        <is>
          <t>수</t>
        </is>
      </c>
      <c r="E1777" s="39" t="inlineStr">
        <is>
          <t>고체향수</t>
        </is>
      </c>
      <c r="F1777" s="39" t="inlineStr">
        <is>
          <t>카페24</t>
        </is>
      </c>
      <c r="H1777" s="39" t="n">
        <v>1</v>
      </c>
      <c r="I1777" s="39" t="inlineStr">
        <is>
          <t>이그나이트 + 스테이포에버 2set</t>
        </is>
      </c>
      <c r="J1777" s="20" t="n">
        <v>200720</v>
      </c>
      <c r="L1777" s="39">
        <f>VLOOKUP($P1777,매칭테이블!$G:$J,2,0)*H1777</f>
        <v/>
      </c>
      <c r="M1777" s="39">
        <f>L1777-L1777*VLOOKUP($P1777,매칭테이블!$G:$J,3,0)</f>
        <v/>
      </c>
      <c r="N1777" s="39">
        <f>VLOOKUP($P1777,매칭테이블!$G:$J,4,0)*H1777</f>
        <v/>
      </c>
      <c r="O1777" s="55">
        <f>L1777/1.1</f>
        <v/>
      </c>
      <c r="P1777" s="39">
        <f>F1777&amp;E1777&amp;I1777&amp;J1777</f>
        <v/>
      </c>
    </row>
    <row r="1778">
      <c r="B1778" s="51" t="n">
        <v>44111</v>
      </c>
      <c r="C1778" s="39" t="inlineStr">
        <is>
          <t>수</t>
        </is>
      </c>
      <c r="E1778" s="39" t="inlineStr">
        <is>
          <t>고체향수</t>
        </is>
      </c>
      <c r="F1778" s="39" t="inlineStr">
        <is>
          <t>카페24</t>
        </is>
      </c>
      <c r="H1778" s="39" t="n">
        <v>189</v>
      </c>
      <c r="I1778" s="39" t="inlineStr">
        <is>
          <t>스테이포에버</t>
        </is>
      </c>
      <c r="J1778" s="20" t="n">
        <v>200720</v>
      </c>
      <c r="L1778" s="39">
        <f>VLOOKUP($P1778,매칭테이블!$G:$J,2,0)*H1778</f>
        <v/>
      </c>
      <c r="M1778" s="39">
        <f>L1778-L1778*VLOOKUP($P1778,매칭테이블!$G:$J,3,0)</f>
        <v/>
      </c>
      <c r="N1778" s="39">
        <f>VLOOKUP($P1778,매칭테이블!$G:$J,4,0)*H1778</f>
        <v/>
      </c>
      <c r="O1778" s="55">
        <f>L1778/1.1</f>
        <v/>
      </c>
      <c r="P1778" s="39">
        <f>F1778&amp;E1778&amp;I1778&amp;J1778</f>
        <v/>
      </c>
    </row>
    <row r="1779">
      <c r="B1779" s="51" t="n">
        <v>44111</v>
      </c>
      <c r="C1779" s="39" t="inlineStr">
        <is>
          <t>수</t>
        </is>
      </c>
      <c r="E1779" s="39" t="inlineStr">
        <is>
          <t>고체향수</t>
        </is>
      </c>
      <c r="F1779" s="39" t="inlineStr">
        <is>
          <t>카페24</t>
        </is>
      </c>
      <c r="G1779" s="39" t="n"/>
      <c r="H1779" s="39" t="n">
        <v>63</v>
      </c>
      <c r="I1779" s="39" t="inlineStr">
        <is>
          <t>스테이포에버 2set</t>
        </is>
      </c>
      <c r="J1779" s="20" t="n">
        <v>200720</v>
      </c>
      <c r="L1779" s="39">
        <f>VLOOKUP($P1779,매칭테이블!$G:$J,2,0)*H1779</f>
        <v/>
      </c>
      <c r="M1779" s="39">
        <f>L1779-L1779*VLOOKUP($P1779,매칭테이블!$G:$J,3,0)</f>
        <v/>
      </c>
      <c r="N1779" s="39">
        <f>VLOOKUP($P1779,매칭테이블!$G:$J,4,0)*H1779</f>
        <v/>
      </c>
      <c r="O1779" s="55">
        <f>L1779/1.1</f>
        <v/>
      </c>
      <c r="P1779" s="39">
        <f>F1779&amp;E1779&amp;I1779&amp;J1779</f>
        <v/>
      </c>
    </row>
    <row r="1780">
      <c r="B1780" s="51" t="n">
        <v>44111</v>
      </c>
      <c r="C1780" s="39" t="inlineStr">
        <is>
          <t>수</t>
        </is>
      </c>
      <c r="E1780" s="39" t="inlineStr">
        <is>
          <t>고체향수</t>
        </is>
      </c>
      <c r="F1780" s="39" t="inlineStr">
        <is>
          <t>카페24</t>
        </is>
      </c>
      <c r="H1780" s="39" t="n">
        <v>2</v>
      </c>
      <c r="I1780" s="39" t="inlineStr">
        <is>
          <t>이그나이트</t>
        </is>
      </c>
      <c r="J1780" s="20" t="n">
        <v>200720</v>
      </c>
      <c r="L1780" s="39">
        <f>VLOOKUP($P1780,매칭테이블!$G:$J,2,0)*H1780</f>
        <v/>
      </c>
      <c r="M1780" s="39">
        <f>L1780-L1780*VLOOKUP($P1780,매칭테이블!$G:$J,3,0)</f>
        <v/>
      </c>
      <c r="N1780" s="39">
        <f>VLOOKUP($P1780,매칭테이블!$G:$J,4,0)*H1780</f>
        <v/>
      </c>
      <c r="O1780" s="55">
        <f>L1780/1.1</f>
        <v/>
      </c>
      <c r="P1780" s="39">
        <f>F1780&amp;E1780&amp;I1780&amp;J1780</f>
        <v/>
      </c>
    </row>
    <row r="1781">
      <c r="B1781" s="51" t="n">
        <v>44111</v>
      </c>
      <c r="C1781" s="39" t="inlineStr">
        <is>
          <t>수</t>
        </is>
      </c>
      <c r="E1781" s="39" t="inlineStr">
        <is>
          <t>고체향수</t>
        </is>
      </c>
      <c r="F1781" s="39" t="inlineStr">
        <is>
          <t>카페24</t>
        </is>
      </c>
      <c r="H1781" s="39" t="n">
        <v>1</v>
      </c>
      <c r="I1781" s="39" t="inlineStr">
        <is>
          <t>이그나이트 2set</t>
        </is>
      </c>
      <c r="J1781" s="20" t="n">
        <v>200720</v>
      </c>
      <c r="L1781" s="39">
        <f>VLOOKUP($P1781,매칭테이블!$G:$J,2,0)*H1781</f>
        <v/>
      </c>
      <c r="M1781" s="39">
        <f>L1781-L1781*VLOOKUP($P1781,매칭테이블!$G:$J,3,0)</f>
        <v/>
      </c>
      <c r="N1781" s="39">
        <f>VLOOKUP($P1781,매칭테이블!$G:$J,4,0)*H1781</f>
        <v/>
      </c>
      <c r="O1781" s="55">
        <f>L1781/1.1</f>
        <v/>
      </c>
      <c r="P1781" s="39">
        <f>F1781&amp;E1781&amp;I1781&amp;J1781</f>
        <v/>
      </c>
    </row>
    <row r="1782">
      <c r="B1782" s="51" t="n">
        <v>44111</v>
      </c>
      <c r="C1782" s="39" t="inlineStr">
        <is>
          <t>수</t>
        </is>
      </c>
      <c r="E1782" s="39" t="inlineStr">
        <is>
          <t>쇼핑백</t>
        </is>
      </c>
      <c r="F1782" s="39" t="inlineStr">
        <is>
          <t>카페24</t>
        </is>
      </c>
      <c r="H1782" s="39" t="n">
        <v>4</v>
      </c>
      <c r="I1782" s="39" t="inlineStr">
        <is>
          <t>유즈쇼핑백</t>
        </is>
      </c>
      <c r="J1782" s="20" t="n">
        <v>200720</v>
      </c>
      <c r="L1782" s="39">
        <f>VLOOKUP($P1782,매칭테이블!$G:$J,2,0)*H1782</f>
        <v/>
      </c>
      <c r="M1782" s="39">
        <f>L1782-L1782*VLOOKUP($P1782,매칭테이블!$G:$J,3,0)</f>
        <v/>
      </c>
      <c r="N1782" s="39">
        <f>VLOOKUP($P1782,매칭테이블!$G:$J,4,0)*H1782</f>
        <v/>
      </c>
      <c r="O1782" s="55">
        <f>L1782/1.1</f>
        <v/>
      </c>
      <c r="P1782" s="39">
        <f>F1782&amp;E1782&amp;I1782&amp;J1782</f>
        <v/>
      </c>
    </row>
    <row r="1783">
      <c r="B1783" s="51" t="n">
        <v>44112</v>
      </c>
      <c r="C1783" s="39" t="inlineStr">
        <is>
          <t>목</t>
        </is>
      </c>
      <c r="E1783" s="39" t="inlineStr">
        <is>
          <t>고체향수</t>
        </is>
      </c>
      <c r="F1783" s="39" t="inlineStr">
        <is>
          <t>카페24</t>
        </is>
      </c>
      <c r="H1783" s="39" t="n">
        <v>15</v>
      </c>
      <c r="I1783" s="39" t="inlineStr">
        <is>
          <t>이그나이트 + 스테이포에버</t>
        </is>
      </c>
      <c r="J1783" s="20" t="n">
        <v>200720</v>
      </c>
      <c r="L1783" s="39">
        <f>VLOOKUP($P1783,매칭테이블!$G:$J,2,0)*H1783</f>
        <v/>
      </c>
      <c r="M1783" s="39">
        <f>L1783-L1783*VLOOKUP($P1783,매칭테이블!$G:$J,3,0)</f>
        <v/>
      </c>
      <c r="N1783" s="39">
        <f>VLOOKUP($P1783,매칭테이블!$G:$J,4,0)*H1783</f>
        <v/>
      </c>
      <c r="O1783" s="55">
        <f>L1783/1.1</f>
        <v/>
      </c>
      <c r="P1783" s="39">
        <f>F1783&amp;E1783&amp;I1783&amp;J1783</f>
        <v/>
      </c>
    </row>
    <row r="1784">
      <c r="B1784" s="51" t="n">
        <v>44112</v>
      </c>
      <c r="C1784" s="39" t="inlineStr">
        <is>
          <t>목</t>
        </is>
      </c>
      <c r="E1784" s="39" t="inlineStr">
        <is>
          <t>고체향수</t>
        </is>
      </c>
      <c r="F1784" s="39" t="inlineStr">
        <is>
          <t>카페24</t>
        </is>
      </c>
      <c r="H1784" s="39" t="n">
        <v>143</v>
      </c>
      <c r="I1784" s="39" t="inlineStr">
        <is>
          <t>스테이포에버</t>
        </is>
      </c>
      <c r="J1784" s="20" t="n">
        <v>200720</v>
      </c>
      <c r="L1784" s="39">
        <f>VLOOKUP($P1784,매칭테이블!$G:$J,2,0)*H1784</f>
        <v/>
      </c>
      <c r="M1784" s="39">
        <f>L1784-L1784*VLOOKUP($P1784,매칭테이블!$G:$J,3,0)</f>
        <v/>
      </c>
      <c r="N1784" s="39">
        <f>VLOOKUP($P1784,매칭테이블!$G:$J,4,0)*H1784</f>
        <v/>
      </c>
      <c r="O1784" s="55">
        <f>L1784/1.1</f>
        <v/>
      </c>
      <c r="P1784" s="39">
        <f>F1784&amp;E1784&amp;I1784&amp;J1784</f>
        <v/>
      </c>
    </row>
    <row r="1785">
      <c r="B1785" s="51" t="n">
        <v>44112</v>
      </c>
      <c r="C1785" s="39" t="inlineStr">
        <is>
          <t>목</t>
        </is>
      </c>
      <c r="E1785" s="39" t="inlineStr">
        <is>
          <t>고체향수</t>
        </is>
      </c>
      <c r="F1785" s="39" t="inlineStr">
        <is>
          <t>카페24</t>
        </is>
      </c>
      <c r="G1785" s="39" t="n"/>
      <c r="H1785" s="39" t="n">
        <v>36</v>
      </c>
      <c r="I1785" s="39" t="inlineStr">
        <is>
          <t>스테이포에버 2set</t>
        </is>
      </c>
      <c r="J1785" s="20" t="n">
        <v>200720</v>
      </c>
      <c r="L1785" s="39">
        <f>VLOOKUP($P1785,매칭테이블!$G:$J,2,0)*H1785</f>
        <v/>
      </c>
      <c r="M1785" s="39">
        <f>L1785-L1785*VLOOKUP($P1785,매칭테이블!$G:$J,3,0)</f>
        <v/>
      </c>
      <c r="N1785" s="39">
        <f>VLOOKUP($P1785,매칭테이블!$G:$J,4,0)*H1785</f>
        <v/>
      </c>
      <c r="O1785" s="55">
        <f>L1785/1.1</f>
        <v/>
      </c>
      <c r="P1785" s="39">
        <f>F1785&amp;E1785&amp;I1785&amp;J1785</f>
        <v/>
      </c>
    </row>
    <row r="1786">
      <c r="B1786" s="51" t="n">
        <v>44112</v>
      </c>
      <c r="C1786" s="39" t="inlineStr">
        <is>
          <t>목</t>
        </is>
      </c>
      <c r="E1786" s="39" t="inlineStr">
        <is>
          <t>쇼핑백</t>
        </is>
      </c>
      <c r="F1786" s="39" t="inlineStr">
        <is>
          <t>카페24</t>
        </is>
      </c>
      <c r="H1786" s="39" t="n">
        <v>4</v>
      </c>
      <c r="I1786" s="39" t="inlineStr">
        <is>
          <t>유즈쇼핑백</t>
        </is>
      </c>
      <c r="J1786" s="20" t="n">
        <v>200720</v>
      </c>
      <c r="L1786" s="39">
        <f>VLOOKUP($P1786,매칭테이블!$G:$J,2,0)*H1786</f>
        <v/>
      </c>
      <c r="M1786" s="39">
        <f>L1786-L1786*VLOOKUP($P1786,매칭테이블!$G:$J,3,0)</f>
        <v/>
      </c>
      <c r="N1786" s="39">
        <f>VLOOKUP($P1786,매칭테이블!$G:$J,4,0)*H1786</f>
        <v/>
      </c>
      <c r="O1786" s="55">
        <f>L1786/1.1</f>
        <v/>
      </c>
      <c r="P1786" s="39">
        <f>F1786&amp;E1786&amp;I1786&amp;J1786</f>
        <v/>
      </c>
    </row>
    <row r="1787">
      <c r="B1787" s="51" t="n">
        <v>44113</v>
      </c>
      <c r="C1787" s="39" t="inlineStr">
        <is>
          <t>금</t>
        </is>
      </c>
      <c r="E1787" s="39" t="inlineStr">
        <is>
          <t>고체향수</t>
        </is>
      </c>
      <c r="F1787" s="39" t="inlineStr">
        <is>
          <t>카페24</t>
        </is>
      </c>
      <c r="H1787" s="39" t="n">
        <v>20</v>
      </c>
      <c r="I1787" s="39" t="inlineStr">
        <is>
          <t>이그나이트 + 스테이포에버</t>
        </is>
      </c>
      <c r="J1787" s="20" t="n">
        <v>200720</v>
      </c>
      <c r="L1787" s="39">
        <f>VLOOKUP($P1787,매칭테이블!$G:$J,2,0)*H1787</f>
        <v/>
      </c>
      <c r="M1787" s="39">
        <f>L1787-L1787*VLOOKUP($P1787,매칭테이블!$G:$J,3,0)</f>
        <v/>
      </c>
      <c r="N1787" s="39">
        <f>VLOOKUP($P1787,매칭테이블!$G:$J,4,0)*H1787</f>
        <v/>
      </c>
      <c r="O1787" s="55">
        <f>L1787/1.1</f>
        <v/>
      </c>
      <c r="P1787" s="39">
        <f>F1787&amp;E1787&amp;I1787&amp;J1787</f>
        <v/>
      </c>
    </row>
    <row r="1788">
      <c r="B1788" s="51" t="n">
        <v>44113</v>
      </c>
      <c r="C1788" s="39" t="inlineStr">
        <is>
          <t>금</t>
        </is>
      </c>
      <c r="E1788" s="39" t="inlineStr">
        <is>
          <t>고체향수</t>
        </is>
      </c>
      <c r="F1788" s="39" t="inlineStr">
        <is>
          <t>카페24</t>
        </is>
      </c>
      <c r="H1788" s="39" t="n">
        <v>201</v>
      </c>
      <c r="I1788" s="39" t="inlineStr">
        <is>
          <t>스테이포에버</t>
        </is>
      </c>
      <c r="J1788" s="20" t="n">
        <v>200720</v>
      </c>
      <c r="L1788" s="39">
        <f>VLOOKUP($P1788,매칭테이블!$G:$J,2,0)*H1788</f>
        <v/>
      </c>
      <c r="M1788" s="39">
        <f>L1788-L1788*VLOOKUP($P1788,매칭테이블!$G:$J,3,0)</f>
        <v/>
      </c>
      <c r="N1788" s="39">
        <f>VLOOKUP($P1788,매칭테이블!$G:$J,4,0)*H1788</f>
        <v/>
      </c>
      <c r="O1788" s="55">
        <f>L1788/1.1</f>
        <v/>
      </c>
      <c r="P1788" s="39">
        <f>F1788&amp;E1788&amp;I1788&amp;J1788</f>
        <v/>
      </c>
    </row>
    <row r="1789">
      <c r="B1789" s="51" t="n">
        <v>44113</v>
      </c>
      <c r="C1789" s="39" t="inlineStr">
        <is>
          <t>금</t>
        </is>
      </c>
      <c r="E1789" s="39" t="inlineStr">
        <is>
          <t>고체향수</t>
        </is>
      </c>
      <c r="F1789" s="39" t="inlineStr">
        <is>
          <t>카페24</t>
        </is>
      </c>
      <c r="G1789" s="39" t="n"/>
      <c r="H1789" s="39" t="n">
        <v>49</v>
      </c>
      <c r="I1789" s="39" t="inlineStr">
        <is>
          <t>스테이포에버 2set</t>
        </is>
      </c>
      <c r="J1789" s="20" t="n">
        <v>200720</v>
      </c>
      <c r="L1789" s="39">
        <f>VLOOKUP($P1789,매칭테이블!$G:$J,2,0)*H1789</f>
        <v/>
      </c>
      <c r="M1789" s="39">
        <f>L1789-L1789*VLOOKUP($P1789,매칭테이블!$G:$J,3,0)</f>
        <v/>
      </c>
      <c r="N1789" s="39">
        <f>VLOOKUP($P1789,매칭테이블!$G:$J,4,0)*H1789</f>
        <v/>
      </c>
      <c r="O1789" s="55">
        <f>L1789/1.1</f>
        <v/>
      </c>
      <c r="P1789" s="39">
        <f>F1789&amp;E1789&amp;I1789&amp;J1789</f>
        <v/>
      </c>
    </row>
    <row r="1790">
      <c r="B1790" s="51" t="n">
        <v>44113</v>
      </c>
      <c r="C1790" s="39" t="inlineStr">
        <is>
          <t>금</t>
        </is>
      </c>
      <c r="E1790" s="39" t="inlineStr">
        <is>
          <t>고체향수</t>
        </is>
      </c>
      <c r="F1790" s="39" t="inlineStr">
        <is>
          <t>카페24</t>
        </is>
      </c>
      <c r="H1790" s="39" t="n">
        <v>2</v>
      </c>
      <c r="I1790" s="39" t="inlineStr">
        <is>
          <t>이그나이트</t>
        </is>
      </c>
      <c r="J1790" s="20" t="n">
        <v>200720</v>
      </c>
      <c r="L1790" s="39">
        <f>VLOOKUP($P1790,매칭테이블!$G:$J,2,0)*H1790</f>
        <v/>
      </c>
      <c r="M1790" s="39">
        <f>L1790-L1790*VLOOKUP($P1790,매칭테이블!$G:$J,3,0)</f>
        <v/>
      </c>
      <c r="N1790" s="39">
        <f>VLOOKUP($P1790,매칭테이블!$G:$J,4,0)*H1790</f>
        <v/>
      </c>
      <c r="O1790" s="55">
        <f>L1790/1.1</f>
        <v/>
      </c>
      <c r="P1790" s="39">
        <f>F1790&amp;E1790&amp;I1790&amp;J1790</f>
        <v/>
      </c>
    </row>
    <row r="1791">
      <c r="B1791" s="51" t="n">
        <v>44113</v>
      </c>
      <c r="C1791" s="39" t="inlineStr">
        <is>
          <t>금</t>
        </is>
      </c>
      <c r="E1791" s="39" t="inlineStr">
        <is>
          <t>고체향수</t>
        </is>
      </c>
      <c r="F1791" s="39" t="inlineStr">
        <is>
          <t>카페24</t>
        </is>
      </c>
      <c r="H1791" s="39" t="n">
        <v>1</v>
      </c>
      <c r="I1791" s="39" t="inlineStr">
        <is>
          <t>이그나이트 2set</t>
        </is>
      </c>
      <c r="J1791" s="20" t="n">
        <v>200720</v>
      </c>
      <c r="L1791" s="39">
        <f>VLOOKUP($P1791,매칭테이블!$G:$J,2,0)*H1791</f>
        <v/>
      </c>
      <c r="M1791" s="39">
        <f>L1791-L1791*VLOOKUP($P1791,매칭테이블!$G:$J,3,0)</f>
        <v/>
      </c>
      <c r="N1791" s="39">
        <f>VLOOKUP($P1791,매칭테이블!$G:$J,4,0)*H1791</f>
        <v/>
      </c>
      <c r="O1791" s="55">
        <f>L1791/1.1</f>
        <v/>
      </c>
      <c r="P1791" s="39">
        <f>F1791&amp;E1791&amp;I1791&amp;J1791</f>
        <v/>
      </c>
    </row>
    <row r="1792">
      <c r="B1792" s="51" t="n">
        <v>44113</v>
      </c>
      <c r="C1792" s="39" t="inlineStr">
        <is>
          <t>금</t>
        </is>
      </c>
      <c r="E1792" s="39" t="inlineStr">
        <is>
          <t>쇼핑백</t>
        </is>
      </c>
      <c r="F1792" s="39" t="inlineStr">
        <is>
          <t>카페24</t>
        </is>
      </c>
      <c r="H1792" s="39" t="n">
        <v>5</v>
      </c>
      <c r="I1792" s="39" t="inlineStr">
        <is>
          <t>유즈쇼핑백</t>
        </is>
      </c>
      <c r="J1792" s="20" t="n">
        <v>200720</v>
      </c>
      <c r="L1792" s="39">
        <f>VLOOKUP($P1792,매칭테이블!$G:$J,2,0)*H1792</f>
        <v/>
      </c>
      <c r="M1792" s="39">
        <f>L1792-L1792*VLOOKUP($P1792,매칭테이블!$G:$J,3,0)</f>
        <v/>
      </c>
      <c r="N1792" s="39">
        <f>VLOOKUP($P1792,매칭테이블!$G:$J,4,0)*H1792</f>
        <v/>
      </c>
      <c r="O1792" s="55">
        <f>L1792/1.1</f>
        <v/>
      </c>
      <c r="P1792" s="39">
        <f>F1792&amp;E1792&amp;I1792&amp;J1792</f>
        <v/>
      </c>
    </row>
    <row r="1793">
      <c r="B1793" s="51" t="n">
        <v>44114</v>
      </c>
      <c r="C1793" s="39" t="inlineStr">
        <is>
          <t>토</t>
        </is>
      </c>
      <c r="E1793" s="39" t="inlineStr">
        <is>
          <t>고체향수</t>
        </is>
      </c>
      <c r="F1793" s="39" t="inlineStr">
        <is>
          <t>카페24</t>
        </is>
      </c>
      <c r="H1793" s="39" t="n">
        <v>11</v>
      </c>
      <c r="I1793" s="39" t="inlineStr">
        <is>
          <t>이그나이트 + 스테이포에버</t>
        </is>
      </c>
      <c r="J1793" s="20" t="n">
        <v>200720</v>
      </c>
      <c r="L1793" s="39">
        <f>VLOOKUP($P1793,매칭테이블!$G:$J,2,0)*H1793</f>
        <v/>
      </c>
      <c r="M1793" s="39">
        <f>L1793-L1793*VLOOKUP($P1793,매칭테이블!$G:$J,3,0)</f>
        <v/>
      </c>
      <c r="N1793" s="39">
        <f>VLOOKUP($P1793,매칭테이블!$G:$J,4,0)*H1793</f>
        <v/>
      </c>
      <c r="O1793" s="55">
        <f>L1793/1.1</f>
        <v/>
      </c>
      <c r="P1793" s="39">
        <f>F1793&amp;E1793&amp;I1793&amp;J1793</f>
        <v/>
      </c>
    </row>
    <row r="1794">
      <c r="B1794" s="51" t="n">
        <v>44114</v>
      </c>
      <c r="C1794" s="39" t="inlineStr">
        <is>
          <t>토</t>
        </is>
      </c>
      <c r="E1794" s="39" t="inlineStr">
        <is>
          <t>고체향수</t>
        </is>
      </c>
      <c r="F1794" s="39" t="inlineStr">
        <is>
          <t>카페24</t>
        </is>
      </c>
      <c r="H1794" s="39" t="n">
        <v>212</v>
      </c>
      <c r="I1794" s="39" t="inlineStr">
        <is>
          <t>스테이포에버</t>
        </is>
      </c>
      <c r="J1794" s="20" t="n">
        <v>200720</v>
      </c>
      <c r="L1794" s="39">
        <f>VLOOKUP($P1794,매칭테이블!$G:$J,2,0)*H1794</f>
        <v/>
      </c>
      <c r="M1794" s="39">
        <f>L1794-L1794*VLOOKUP($P1794,매칭테이블!$G:$J,3,0)</f>
        <v/>
      </c>
      <c r="N1794" s="39">
        <f>VLOOKUP($P1794,매칭테이블!$G:$J,4,0)*H1794</f>
        <v/>
      </c>
      <c r="O1794" s="55">
        <f>L1794/1.1</f>
        <v/>
      </c>
      <c r="P1794" s="39">
        <f>F1794&amp;E1794&amp;I1794&amp;J1794</f>
        <v/>
      </c>
    </row>
    <row r="1795">
      <c r="B1795" s="51" t="n">
        <v>44114</v>
      </c>
      <c r="C1795" s="39" t="inlineStr">
        <is>
          <t>토</t>
        </is>
      </c>
      <c r="E1795" s="39" t="inlineStr">
        <is>
          <t>고체향수</t>
        </is>
      </c>
      <c r="F1795" s="39" t="inlineStr">
        <is>
          <t>카페24</t>
        </is>
      </c>
      <c r="G1795" s="39" t="n"/>
      <c r="H1795" s="39" t="n">
        <v>54</v>
      </c>
      <c r="I1795" s="39" t="inlineStr">
        <is>
          <t>스테이포에버 2set</t>
        </is>
      </c>
      <c r="J1795" s="20" t="n">
        <v>200720</v>
      </c>
      <c r="L1795" s="39">
        <f>VLOOKUP($P1795,매칭테이블!$G:$J,2,0)*H1795</f>
        <v/>
      </c>
      <c r="M1795" s="39">
        <f>L1795-L1795*VLOOKUP($P1795,매칭테이블!$G:$J,3,0)</f>
        <v/>
      </c>
      <c r="N1795" s="39">
        <f>VLOOKUP($P1795,매칭테이블!$G:$J,4,0)*H1795</f>
        <v/>
      </c>
      <c r="O1795" s="55">
        <f>L1795/1.1</f>
        <v/>
      </c>
      <c r="P1795" s="39">
        <f>F1795&amp;E1795&amp;I1795&amp;J1795</f>
        <v/>
      </c>
    </row>
    <row r="1796">
      <c r="B1796" s="51" t="n">
        <v>44114</v>
      </c>
      <c r="C1796" s="39" t="inlineStr">
        <is>
          <t>토</t>
        </is>
      </c>
      <c r="E1796" s="39" t="inlineStr">
        <is>
          <t>고체향수</t>
        </is>
      </c>
      <c r="F1796" s="39" t="inlineStr">
        <is>
          <t>카페24</t>
        </is>
      </c>
      <c r="H1796" s="39" t="n">
        <v>1</v>
      </c>
      <c r="I1796" s="39" t="inlineStr">
        <is>
          <t>이그나이트</t>
        </is>
      </c>
      <c r="J1796" s="20" t="n">
        <v>200720</v>
      </c>
      <c r="L1796" s="39">
        <f>VLOOKUP($P1796,매칭테이블!$G:$J,2,0)*H1796</f>
        <v/>
      </c>
      <c r="M1796" s="39">
        <f>L1796-L1796*VLOOKUP($P1796,매칭테이블!$G:$J,3,0)</f>
        <v/>
      </c>
      <c r="N1796" s="39">
        <f>VLOOKUP($P1796,매칭테이블!$G:$J,4,0)*H1796</f>
        <v/>
      </c>
      <c r="O1796" s="55">
        <f>L1796/1.1</f>
        <v/>
      </c>
      <c r="P1796" s="39">
        <f>F1796&amp;E1796&amp;I1796&amp;J1796</f>
        <v/>
      </c>
    </row>
    <row r="1797">
      <c r="B1797" s="51" t="n">
        <v>44114</v>
      </c>
      <c r="C1797" s="39" t="inlineStr">
        <is>
          <t>토</t>
        </is>
      </c>
      <c r="E1797" s="39" t="inlineStr">
        <is>
          <t>고체향수</t>
        </is>
      </c>
      <c r="F1797" s="39" t="inlineStr">
        <is>
          <t>카페24</t>
        </is>
      </c>
      <c r="H1797" s="39" t="n">
        <v>1</v>
      </c>
      <c r="I1797" s="39" t="inlineStr">
        <is>
          <t>이그나이트 2set</t>
        </is>
      </c>
      <c r="J1797" s="20" t="n">
        <v>200720</v>
      </c>
      <c r="L1797" s="39">
        <f>VLOOKUP($P1797,매칭테이블!$G:$J,2,0)*H1797</f>
        <v/>
      </c>
      <c r="M1797" s="39">
        <f>L1797-L1797*VLOOKUP($P1797,매칭테이블!$G:$J,3,0)</f>
        <v/>
      </c>
      <c r="N1797" s="39">
        <f>VLOOKUP($P1797,매칭테이블!$G:$J,4,0)*H1797</f>
        <v/>
      </c>
      <c r="O1797" s="55">
        <f>L1797/1.1</f>
        <v/>
      </c>
      <c r="P1797" s="39">
        <f>F1797&amp;E1797&amp;I1797&amp;J1797</f>
        <v/>
      </c>
    </row>
    <row r="1798">
      <c r="B1798" s="51" t="n">
        <v>44114</v>
      </c>
      <c r="C1798" s="39" t="inlineStr">
        <is>
          <t>토</t>
        </is>
      </c>
      <c r="E1798" s="39" t="inlineStr">
        <is>
          <t>쇼핑백</t>
        </is>
      </c>
      <c r="F1798" s="39" t="inlineStr">
        <is>
          <t>카페24</t>
        </is>
      </c>
      <c r="H1798" s="39" t="n">
        <v>4</v>
      </c>
      <c r="I1798" s="39" t="inlineStr">
        <is>
          <t>유즈쇼핑백</t>
        </is>
      </c>
      <c r="J1798" s="20" t="n">
        <v>200720</v>
      </c>
      <c r="L1798" s="39">
        <f>VLOOKUP($P1798,매칭테이블!$G:$J,2,0)*H1798</f>
        <v/>
      </c>
      <c r="M1798" s="39">
        <f>L1798-L1798*VLOOKUP($P1798,매칭테이블!$G:$J,3,0)</f>
        <v/>
      </c>
      <c r="N1798" s="39">
        <f>VLOOKUP($P1798,매칭테이블!$G:$J,4,0)*H1798</f>
        <v/>
      </c>
      <c r="O1798" s="55">
        <f>L1798/1.1</f>
        <v/>
      </c>
      <c r="P1798" s="39">
        <f>F1798&amp;E1798&amp;I1798&amp;J1798</f>
        <v/>
      </c>
    </row>
    <row r="1799">
      <c r="B1799" s="51" t="n">
        <v>44115</v>
      </c>
      <c r="C1799" s="39" t="inlineStr">
        <is>
          <t>일</t>
        </is>
      </c>
      <c r="E1799" s="39" t="inlineStr">
        <is>
          <t>고체향수</t>
        </is>
      </c>
      <c r="F1799" s="39" t="inlineStr">
        <is>
          <t>카페24</t>
        </is>
      </c>
      <c r="H1799" s="39" t="n">
        <v>19</v>
      </c>
      <c r="I1799" s="39" t="inlineStr">
        <is>
          <t>이그나이트 + 스테이포에버</t>
        </is>
      </c>
      <c r="J1799" s="20" t="n">
        <v>200720</v>
      </c>
      <c r="L1799" s="39">
        <f>VLOOKUP($P1799,매칭테이블!$G:$J,2,0)*H1799</f>
        <v/>
      </c>
      <c r="M1799" s="39">
        <f>L1799-L1799*VLOOKUP($P1799,매칭테이블!$G:$J,3,0)</f>
        <v/>
      </c>
      <c r="N1799" s="39">
        <f>VLOOKUP($P1799,매칭테이블!$G:$J,4,0)*H1799</f>
        <v/>
      </c>
      <c r="O1799" s="55">
        <f>L1799/1.1</f>
        <v/>
      </c>
      <c r="P1799" s="39">
        <f>F1799&amp;E1799&amp;I1799&amp;J1799</f>
        <v/>
      </c>
    </row>
    <row r="1800">
      <c r="B1800" s="51" t="n">
        <v>44115</v>
      </c>
      <c r="C1800" s="39" t="inlineStr">
        <is>
          <t>일</t>
        </is>
      </c>
      <c r="E1800" s="39" t="inlineStr">
        <is>
          <t>고체향수</t>
        </is>
      </c>
      <c r="F1800" s="39" t="inlineStr">
        <is>
          <t>카페24</t>
        </is>
      </c>
      <c r="H1800" s="39" t="n">
        <v>257</v>
      </c>
      <c r="I1800" s="39" t="inlineStr">
        <is>
          <t>스테이포에버</t>
        </is>
      </c>
      <c r="J1800" s="20" t="n">
        <v>200720</v>
      </c>
      <c r="L1800" s="39">
        <f>VLOOKUP($P1800,매칭테이블!$G:$J,2,0)*H1800</f>
        <v/>
      </c>
      <c r="M1800" s="39">
        <f>L1800-L1800*VLOOKUP($P1800,매칭테이블!$G:$J,3,0)</f>
        <v/>
      </c>
      <c r="N1800" s="39">
        <f>VLOOKUP($P1800,매칭테이블!$G:$J,4,0)*H1800</f>
        <v/>
      </c>
      <c r="O1800" s="55">
        <f>L1800/1.1</f>
        <v/>
      </c>
      <c r="P1800" s="39">
        <f>F1800&amp;E1800&amp;I1800&amp;J1800</f>
        <v/>
      </c>
    </row>
    <row r="1801">
      <c r="B1801" s="51" t="n">
        <v>44115</v>
      </c>
      <c r="C1801" s="39" t="inlineStr">
        <is>
          <t>일</t>
        </is>
      </c>
      <c r="E1801" s="39" t="inlineStr">
        <is>
          <t>고체향수</t>
        </is>
      </c>
      <c r="F1801" s="39" t="inlineStr">
        <is>
          <t>카페24</t>
        </is>
      </c>
      <c r="G1801" s="39" t="n"/>
      <c r="H1801" s="39" t="n">
        <v>52</v>
      </c>
      <c r="I1801" s="39" t="inlineStr">
        <is>
          <t>스테이포에버 2set</t>
        </is>
      </c>
      <c r="J1801" s="20" t="n">
        <v>200720</v>
      </c>
      <c r="L1801" s="39">
        <f>VLOOKUP($P1801,매칭테이블!$G:$J,2,0)*H1801</f>
        <v/>
      </c>
      <c r="M1801" s="39">
        <f>L1801-L1801*VLOOKUP($P1801,매칭테이블!$G:$J,3,0)</f>
        <v/>
      </c>
      <c r="N1801" s="39">
        <f>VLOOKUP($P1801,매칭테이블!$G:$J,4,0)*H1801</f>
        <v/>
      </c>
      <c r="O1801" s="55">
        <f>L1801/1.1</f>
        <v/>
      </c>
      <c r="P1801" s="39">
        <f>F1801&amp;E1801&amp;I1801&amp;J1801</f>
        <v/>
      </c>
    </row>
    <row r="1802">
      <c r="B1802" s="51" t="n">
        <v>44115</v>
      </c>
      <c r="C1802" s="39" t="inlineStr">
        <is>
          <t>일</t>
        </is>
      </c>
      <c r="E1802" s="39" t="inlineStr">
        <is>
          <t>고체향수</t>
        </is>
      </c>
      <c r="F1802" s="39" t="inlineStr">
        <is>
          <t>카페24</t>
        </is>
      </c>
      <c r="H1802" s="39" t="n">
        <v>3</v>
      </c>
      <c r="I1802" s="39" t="inlineStr">
        <is>
          <t>이그나이트</t>
        </is>
      </c>
      <c r="J1802" s="20" t="n">
        <v>200720</v>
      </c>
      <c r="L1802" s="39">
        <f>VLOOKUP($P1802,매칭테이블!$G:$J,2,0)*H1802</f>
        <v/>
      </c>
      <c r="M1802" s="39">
        <f>L1802-L1802*VLOOKUP($P1802,매칭테이블!$G:$J,3,0)</f>
        <v/>
      </c>
      <c r="N1802" s="39">
        <f>VLOOKUP($P1802,매칭테이블!$G:$J,4,0)*H1802</f>
        <v/>
      </c>
      <c r="O1802" s="55">
        <f>L1802/1.1</f>
        <v/>
      </c>
      <c r="P1802" s="39">
        <f>F1802&amp;E1802&amp;I1802&amp;J1802</f>
        <v/>
      </c>
    </row>
    <row r="1803">
      <c r="B1803" s="51" t="n">
        <v>44115</v>
      </c>
      <c r="C1803" s="39" t="inlineStr">
        <is>
          <t>일</t>
        </is>
      </c>
      <c r="E1803" s="39" t="inlineStr">
        <is>
          <t>쇼핑백</t>
        </is>
      </c>
      <c r="F1803" s="39" t="inlineStr">
        <is>
          <t>카페24</t>
        </is>
      </c>
      <c r="H1803" s="39" t="n">
        <v>10</v>
      </c>
      <c r="I1803" s="39" t="inlineStr">
        <is>
          <t>유즈쇼핑백</t>
        </is>
      </c>
      <c r="J1803" s="20" t="n">
        <v>200720</v>
      </c>
      <c r="L1803" s="39">
        <f>VLOOKUP($P1803,매칭테이블!$G:$J,2,0)*H1803</f>
        <v/>
      </c>
      <c r="M1803" s="39">
        <f>L1803-L1803*VLOOKUP($P1803,매칭테이블!$G:$J,3,0)</f>
        <v/>
      </c>
      <c r="N1803" s="39">
        <f>VLOOKUP($P1803,매칭테이블!$G:$J,4,0)*H1803</f>
        <v/>
      </c>
      <c r="O1803" s="55">
        <f>L1803/1.1</f>
        <v/>
      </c>
      <c r="P1803" s="39">
        <f>F1803&amp;E1803&amp;I1803&amp;J1803</f>
        <v/>
      </c>
    </row>
    <row r="1804">
      <c r="B1804" s="51" t="n">
        <v>44116</v>
      </c>
      <c r="C1804" s="39" t="inlineStr">
        <is>
          <t>월</t>
        </is>
      </c>
      <c r="E1804" s="39" t="inlineStr">
        <is>
          <t>고체향수</t>
        </is>
      </c>
      <c r="F1804" s="39" t="inlineStr">
        <is>
          <t>카페24</t>
        </is>
      </c>
      <c r="H1804" s="39" t="n">
        <v>17</v>
      </c>
      <c r="I1804" s="39" t="inlineStr">
        <is>
          <t>이그나이트 + 스테이포에버</t>
        </is>
      </c>
      <c r="J1804" s="20" t="n">
        <v>200720</v>
      </c>
      <c r="L1804" s="39">
        <f>VLOOKUP($P1804,매칭테이블!$G:$J,2,0)*H1804</f>
        <v/>
      </c>
      <c r="M1804" s="39">
        <f>L1804-L1804*VLOOKUP($P1804,매칭테이블!$G:$J,3,0)</f>
        <v/>
      </c>
      <c r="N1804" s="39">
        <f>VLOOKUP($P1804,매칭테이블!$G:$J,4,0)*H1804</f>
        <v/>
      </c>
      <c r="O1804" s="55">
        <f>L1804/1.1</f>
        <v/>
      </c>
      <c r="P1804" s="39">
        <f>F1804&amp;E1804&amp;I1804&amp;J1804</f>
        <v/>
      </c>
    </row>
    <row r="1805">
      <c r="B1805" s="51" t="n">
        <v>44116</v>
      </c>
      <c r="C1805" s="39" t="inlineStr">
        <is>
          <t>월</t>
        </is>
      </c>
      <c r="E1805" s="39" t="inlineStr">
        <is>
          <t>고체향수</t>
        </is>
      </c>
      <c r="F1805" s="39" t="inlineStr">
        <is>
          <t>카페24</t>
        </is>
      </c>
      <c r="H1805" s="39" t="n">
        <v>205</v>
      </c>
      <c r="I1805" s="39" t="inlineStr">
        <is>
          <t>스테이포에버</t>
        </is>
      </c>
      <c r="J1805" s="20" t="n">
        <v>200720</v>
      </c>
      <c r="L1805" s="39">
        <f>VLOOKUP($P1805,매칭테이블!$G:$J,2,0)*H1805</f>
        <v/>
      </c>
      <c r="M1805" s="39">
        <f>L1805-L1805*VLOOKUP($P1805,매칭테이블!$G:$J,3,0)</f>
        <v/>
      </c>
      <c r="N1805" s="39">
        <f>VLOOKUP($P1805,매칭테이블!$G:$J,4,0)*H1805</f>
        <v/>
      </c>
      <c r="O1805" s="55">
        <f>L1805/1.1</f>
        <v/>
      </c>
      <c r="P1805" s="39">
        <f>F1805&amp;E1805&amp;I1805&amp;J1805</f>
        <v/>
      </c>
    </row>
    <row r="1806">
      <c r="B1806" s="51" t="n">
        <v>44116</v>
      </c>
      <c r="C1806" s="39" t="inlineStr">
        <is>
          <t>월</t>
        </is>
      </c>
      <c r="E1806" s="39" t="inlineStr">
        <is>
          <t>고체향수</t>
        </is>
      </c>
      <c r="F1806" s="39" t="inlineStr">
        <is>
          <t>카페24</t>
        </is>
      </c>
      <c r="G1806" s="39" t="n"/>
      <c r="H1806" s="39" t="n">
        <v>49</v>
      </c>
      <c r="I1806" s="39" t="inlineStr">
        <is>
          <t>스테이포에버 2set</t>
        </is>
      </c>
      <c r="J1806" s="20" t="n">
        <v>200720</v>
      </c>
      <c r="L1806" s="39">
        <f>VLOOKUP($P1806,매칭테이블!$G:$J,2,0)*H1806</f>
        <v/>
      </c>
      <c r="M1806" s="39">
        <f>L1806-L1806*VLOOKUP($P1806,매칭테이블!$G:$J,3,0)</f>
        <v/>
      </c>
      <c r="N1806" s="39">
        <f>VLOOKUP($P1806,매칭테이블!$G:$J,4,0)*H1806</f>
        <v/>
      </c>
      <c r="O1806" s="55">
        <f>L1806/1.1</f>
        <v/>
      </c>
      <c r="P1806" s="39">
        <f>F1806&amp;E1806&amp;I1806&amp;J1806</f>
        <v/>
      </c>
    </row>
    <row r="1807">
      <c r="B1807" s="51" t="n">
        <v>44116</v>
      </c>
      <c r="C1807" s="39" t="inlineStr">
        <is>
          <t>월</t>
        </is>
      </c>
      <c r="E1807" s="39" t="inlineStr">
        <is>
          <t>쇼핑백</t>
        </is>
      </c>
      <c r="F1807" s="39" t="inlineStr">
        <is>
          <t>카페24</t>
        </is>
      </c>
      <c r="H1807" s="39" t="n">
        <v>5</v>
      </c>
      <c r="I1807" s="39" t="inlineStr">
        <is>
          <t>유즈쇼핑백</t>
        </is>
      </c>
      <c r="J1807" s="20" t="n">
        <v>200720</v>
      </c>
      <c r="L1807" s="39">
        <f>VLOOKUP($P1807,매칭테이블!$G:$J,2,0)*H1807</f>
        <v/>
      </c>
      <c r="M1807" s="39">
        <f>L1807-L1807*VLOOKUP($P1807,매칭테이블!$G:$J,3,0)</f>
        <v/>
      </c>
      <c r="N1807" s="39">
        <f>VLOOKUP($P1807,매칭테이블!$G:$J,4,0)*H1807</f>
        <v/>
      </c>
      <c r="O1807" s="55">
        <f>L1807/1.1</f>
        <v/>
      </c>
      <c r="P1807" s="39">
        <f>F1807&amp;E1807&amp;I1807&amp;J1807</f>
        <v/>
      </c>
    </row>
    <row r="1808">
      <c r="B1808" s="51" t="n">
        <v>44117</v>
      </c>
      <c r="C1808" s="39" t="inlineStr">
        <is>
          <t>화</t>
        </is>
      </c>
      <c r="E1808" s="39" t="inlineStr">
        <is>
          <t>고체향수</t>
        </is>
      </c>
      <c r="F1808" s="39" t="inlineStr">
        <is>
          <t>카페24</t>
        </is>
      </c>
      <c r="H1808" s="39" t="n">
        <v>13</v>
      </c>
      <c r="I1808" s="39" t="inlineStr">
        <is>
          <t>이그나이트 + 스테이포에버</t>
        </is>
      </c>
      <c r="J1808" s="20" t="n">
        <v>200720</v>
      </c>
      <c r="L1808" s="39">
        <f>VLOOKUP($P1808,매칭테이블!$G:$J,2,0)*H1808</f>
        <v/>
      </c>
      <c r="M1808" s="39">
        <f>L1808-L1808*VLOOKUP($P1808,매칭테이블!$G:$J,3,0)</f>
        <v/>
      </c>
      <c r="N1808" s="39">
        <f>VLOOKUP($P1808,매칭테이블!$G:$J,4,0)*H1808</f>
        <v/>
      </c>
      <c r="O1808" s="55">
        <f>L1808/1.1</f>
        <v/>
      </c>
      <c r="P1808" s="39">
        <f>F1808&amp;E1808&amp;I1808&amp;J1808</f>
        <v/>
      </c>
    </row>
    <row r="1809">
      <c r="B1809" s="51" t="n">
        <v>44117</v>
      </c>
      <c r="C1809" s="39" t="inlineStr">
        <is>
          <t>화</t>
        </is>
      </c>
      <c r="E1809" s="39" t="inlineStr">
        <is>
          <t>고체향수</t>
        </is>
      </c>
      <c r="F1809" s="39" t="inlineStr">
        <is>
          <t>카페24</t>
        </is>
      </c>
      <c r="H1809" s="39" t="n">
        <v>220</v>
      </c>
      <c r="I1809" s="39" t="inlineStr">
        <is>
          <t>스테이포에버</t>
        </is>
      </c>
      <c r="J1809" s="20" t="n">
        <v>200720</v>
      </c>
      <c r="L1809" s="39">
        <f>VLOOKUP($P1809,매칭테이블!$G:$J,2,0)*H1809</f>
        <v/>
      </c>
      <c r="M1809" s="39">
        <f>L1809-L1809*VLOOKUP($P1809,매칭테이블!$G:$J,3,0)</f>
        <v/>
      </c>
      <c r="N1809" s="39">
        <f>VLOOKUP($P1809,매칭테이블!$G:$J,4,0)*H1809</f>
        <v/>
      </c>
      <c r="O1809" s="55">
        <f>L1809/1.1</f>
        <v/>
      </c>
      <c r="P1809" s="39">
        <f>F1809&amp;E1809&amp;I1809&amp;J1809</f>
        <v/>
      </c>
    </row>
    <row r="1810">
      <c r="B1810" s="51" t="n">
        <v>44117</v>
      </c>
      <c r="C1810" s="39" t="inlineStr">
        <is>
          <t>화</t>
        </is>
      </c>
      <c r="E1810" s="39" t="inlineStr">
        <is>
          <t>고체향수</t>
        </is>
      </c>
      <c r="F1810" s="39" t="inlineStr">
        <is>
          <t>카페24</t>
        </is>
      </c>
      <c r="G1810" s="39" t="n"/>
      <c r="H1810" s="39" t="n">
        <v>54</v>
      </c>
      <c r="I1810" s="39" t="inlineStr">
        <is>
          <t>스테이포에버 2set</t>
        </is>
      </c>
      <c r="J1810" s="20" t="n">
        <v>200720</v>
      </c>
      <c r="L1810" s="39">
        <f>VLOOKUP($P1810,매칭테이블!$G:$J,2,0)*H1810</f>
        <v/>
      </c>
      <c r="M1810" s="39">
        <f>L1810-L1810*VLOOKUP($P1810,매칭테이블!$G:$J,3,0)</f>
        <v/>
      </c>
      <c r="N1810" s="39">
        <f>VLOOKUP($P1810,매칭테이블!$G:$J,4,0)*H1810</f>
        <v/>
      </c>
      <c r="O1810" s="55">
        <f>L1810/1.1</f>
        <v/>
      </c>
      <c r="P1810" s="39">
        <f>F1810&amp;E1810&amp;I1810&amp;J1810</f>
        <v/>
      </c>
    </row>
    <row r="1811">
      <c r="B1811" s="51" t="n">
        <v>44117</v>
      </c>
      <c r="C1811" s="39" t="inlineStr">
        <is>
          <t>화</t>
        </is>
      </c>
      <c r="E1811" s="39" t="inlineStr">
        <is>
          <t>고체향수</t>
        </is>
      </c>
      <c r="F1811" s="39" t="inlineStr">
        <is>
          <t>카페24</t>
        </is>
      </c>
      <c r="H1811" s="39" t="n">
        <v>2</v>
      </c>
      <c r="I1811" s="39" t="inlineStr">
        <is>
          <t>이그나이트</t>
        </is>
      </c>
      <c r="J1811" s="20" t="n">
        <v>200720</v>
      </c>
      <c r="L1811" s="39">
        <f>VLOOKUP($P1811,매칭테이블!$G:$J,2,0)*H1811</f>
        <v/>
      </c>
      <c r="M1811" s="39">
        <f>L1811-L1811*VLOOKUP($P1811,매칭테이블!$G:$J,3,0)</f>
        <v/>
      </c>
      <c r="N1811" s="39">
        <f>VLOOKUP($P1811,매칭테이블!$G:$J,4,0)*H1811</f>
        <v/>
      </c>
      <c r="O1811" s="55">
        <f>L1811/1.1</f>
        <v/>
      </c>
      <c r="P1811" s="39">
        <f>F1811&amp;E1811&amp;I1811&amp;J1811</f>
        <v/>
      </c>
    </row>
    <row r="1812">
      <c r="B1812" s="51" t="n">
        <v>44117</v>
      </c>
      <c r="C1812" s="39" t="inlineStr">
        <is>
          <t>화</t>
        </is>
      </c>
      <c r="E1812" s="39" t="inlineStr">
        <is>
          <t>쇼핑백</t>
        </is>
      </c>
      <c r="F1812" s="39" t="inlineStr">
        <is>
          <t>카페24</t>
        </is>
      </c>
      <c r="H1812" s="39" t="n">
        <v>8</v>
      </c>
      <c r="I1812" s="39" t="inlineStr">
        <is>
          <t>유즈쇼핑백</t>
        </is>
      </c>
      <c r="J1812" s="20" t="n">
        <v>200720</v>
      </c>
      <c r="L1812" s="39">
        <f>VLOOKUP($P1812,매칭테이블!$G:$J,2,0)*H1812</f>
        <v/>
      </c>
      <c r="M1812" s="39">
        <f>L1812-L1812*VLOOKUP($P1812,매칭테이블!$G:$J,3,0)</f>
        <v/>
      </c>
      <c r="N1812" s="39">
        <f>VLOOKUP($P1812,매칭테이블!$G:$J,4,0)*H1812</f>
        <v/>
      </c>
      <c r="O1812" s="55">
        <f>L1812/1.1</f>
        <v/>
      </c>
      <c r="P1812" s="39">
        <f>F1812&amp;E1812&amp;I1812&amp;J1812</f>
        <v/>
      </c>
    </row>
    <row r="1813">
      <c r="B1813" s="51" t="n">
        <v>44118</v>
      </c>
      <c r="C1813" s="39" t="inlineStr">
        <is>
          <t>수</t>
        </is>
      </c>
      <c r="E1813" s="39" t="inlineStr">
        <is>
          <t>고체향수</t>
        </is>
      </c>
      <c r="F1813" s="39" t="inlineStr">
        <is>
          <t>카페24</t>
        </is>
      </c>
      <c r="H1813" s="39" t="n">
        <v>21</v>
      </c>
      <c r="I1813" s="39" t="inlineStr">
        <is>
          <t>이그나이트 + 스테이포에버</t>
        </is>
      </c>
      <c r="J1813" s="20" t="n">
        <v>200720</v>
      </c>
      <c r="L1813" s="39">
        <f>VLOOKUP($P1813,매칭테이블!$G:$J,2,0)*H1813</f>
        <v/>
      </c>
      <c r="M1813" s="39">
        <f>L1813-L1813*VLOOKUP($P1813,매칭테이블!$G:$J,3,0)</f>
        <v/>
      </c>
      <c r="N1813" s="39">
        <f>VLOOKUP($P1813,매칭테이블!$G:$J,4,0)*H1813</f>
        <v/>
      </c>
      <c r="O1813" s="55">
        <f>L1813/1.1</f>
        <v/>
      </c>
      <c r="P1813" s="39">
        <f>F1813&amp;E1813&amp;I1813&amp;J1813</f>
        <v/>
      </c>
    </row>
    <row r="1814">
      <c r="B1814" s="51" t="n">
        <v>44118</v>
      </c>
      <c r="C1814" s="39" t="inlineStr">
        <is>
          <t>수</t>
        </is>
      </c>
      <c r="E1814" s="39" t="inlineStr">
        <is>
          <t>고체향수</t>
        </is>
      </c>
      <c r="F1814" s="39" t="inlineStr">
        <is>
          <t>카페24</t>
        </is>
      </c>
      <c r="H1814" s="39" t="n">
        <v>247</v>
      </c>
      <c r="I1814" s="39" t="inlineStr">
        <is>
          <t>스테이포에버</t>
        </is>
      </c>
      <c r="J1814" s="20" t="n">
        <v>200720</v>
      </c>
      <c r="L1814" s="39">
        <f>VLOOKUP($P1814,매칭테이블!$G:$J,2,0)*H1814</f>
        <v/>
      </c>
      <c r="M1814" s="39">
        <f>L1814-L1814*VLOOKUP($P1814,매칭테이블!$G:$J,3,0)</f>
        <v/>
      </c>
      <c r="N1814" s="39">
        <f>VLOOKUP($P1814,매칭테이블!$G:$J,4,0)*H1814</f>
        <v/>
      </c>
      <c r="O1814" s="55">
        <f>L1814/1.1</f>
        <v/>
      </c>
      <c r="P1814" s="39">
        <f>F1814&amp;E1814&amp;I1814&amp;J1814</f>
        <v/>
      </c>
    </row>
    <row r="1815">
      <c r="B1815" s="51" t="n">
        <v>44118</v>
      </c>
      <c r="C1815" s="39" t="inlineStr">
        <is>
          <t>수</t>
        </is>
      </c>
      <c r="E1815" s="39" t="inlineStr">
        <is>
          <t>고체향수</t>
        </is>
      </c>
      <c r="F1815" s="39" t="inlineStr">
        <is>
          <t>카페24</t>
        </is>
      </c>
      <c r="G1815" s="39" t="n"/>
      <c r="H1815" s="39" t="n">
        <v>48</v>
      </c>
      <c r="I1815" s="39" t="inlineStr">
        <is>
          <t>스테이포에버 2set</t>
        </is>
      </c>
      <c r="J1815" s="20" t="n">
        <v>200720</v>
      </c>
      <c r="L1815" s="39">
        <f>VLOOKUP($P1815,매칭테이블!$G:$J,2,0)*H1815</f>
        <v/>
      </c>
      <c r="M1815" s="39">
        <f>L1815-L1815*VLOOKUP($P1815,매칭테이블!$G:$J,3,0)</f>
        <v/>
      </c>
      <c r="N1815" s="39">
        <f>VLOOKUP($P1815,매칭테이블!$G:$J,4,0)*H1815</f>
        <v/>
      </c>
      <c r="O1815" s="55">
        <f>L1815/1.1</f>
        <v/>
      </c>
      <c r="P1815" s="39">
        <f>F1815&amp;E1815&amp;I1815&amp;J1815</f>
        <v/>
      </c>
    </row>
    <row r="1816">
      <c r="B1816" s="51" t="n">
        <v>44118</v>
      </c>
      <c r="C1816" s="39" t="inlineStr">
        <is>
          <t>수</t>
        </is>
      </c>
      <c r="E1816" s="39" t="inlineStr">
        <is>
          <t>고체향수</t>
        </is>
      </c>
      <c r="F1816" s="39" t="inlineStr">
        <is>
          <t>카페24</t>
        </is>
      </c>
      <c r="H1816" s="39" t="n">
        <v>2</v>
      </c>
      <c r="I1816" s="39" t="inlineStr">
        <is>
          <t>이그나이트</t>
        </is>
      </c>
      <c r="J1816" s="20" t="n">
        <v>200720</v>
      </c>
      <c r="L1816" s="39">
        <f>VLOOKUP($P1816,매칭테이블!$G:$J,2,0)*H1816</f>
        <v/>
      </c>
      <c r="M1816" s="39">
        <f>L1816-L1816*VLOOKUP($P1816,매칭테이블!$G:$J,3,0)</f>
        <v/>
      </c>
      <c r="N1816" s="39">
        <f>VLOOKUP($P1816,매칭테이블!$G:$J,4,0)*H1816</f>
        <v/>
      </c>
      <c r="O1816" s="55">
        <f>L1816/1.1</f>
        <v/>
      </c>
      <c r="P1816" s="39">
        <f>F1816&amp;E1816&amp;I1816&amp;J1816</f>
        <v/>
      </c>
    </row>
    <row r="1817">
      <c r="B1817" s="51" t="n">
        <v>44118</v>
      </c>
      <c r="C1817" s="39" t="inlineStr">
        <is>
          <t>수</t>
        </is>
      </c>
      <c r="E1817" s="39" t="inlineStr">
        <is>
          <t>쇼핑백</t>
        </is>
      </c>
      <c r="F1817" s="39" t="inlineStr">
        <is>
          <t>카페24</t>
        </is>
      </c>
      <c r="H1817" s="39" t="n">
        <v>4</v>
      </c>
      <c r="I1817" s="39" t="inlineStr">
        <is>
          <t>유즈쇼핑백</t>
        </is>
      </c>
      <c r="J1817" s="20" t="n">
        <v>200720</v>
      </c>
      <c r="L1817" s="39">
        <f>VLOOKUP($P1817,매칭테이블!$G:$J,2,0)*H1817</f>
        <v/>
      </c>
      <c r="M1817" s="39">
        <f>L1817-L1817*VLOOKUP($P1817,매칭테이블!$G:$J,3,0)</f>
        <v/>
      </c>
      <c r="N1817" s="39">
        <f>VLOOKUP($P1817,매칭테이블!$G:$J,4,0)*H1817</f>
        <v/>
      </c>
      <c r="O1817" s="55">
        <f>L1817/1.1</f>
        <v/>
      </c>
      <c r="P1817" s="39">
        <f>F1817&amp;E1817&amp;I1817&amp;J1817</f>
        <v/>
      </c>
    </row>
    <row r="1818">
      <c r="B1818" s="51" t="n">
        <v>44119</v>
      </c>
      <c r="C1818" s="39" t="inlineStr">
        <is>
          <t>목</t>
        </is>
      </c>
      <c r="E1818" s="39" t="inlineStr">
        <is>
          <t>고체향수</t>
        </is>
      </c>
      <c r="F1818" s="39" t="inlineStr">
        <is>
          <t>카페24</t>
        </is>
      </c>
      <c r="H1818" s="39" t="n">
        <v>19</v>
      </c>
      <c r="I1818" s="39" t="inlineStr">
        <is>
          <t>이그나이트 + 스테이포에버</t>
        </is>
      </c>
      <c r="J1818" s="20" t="n">
        <v>200720</v>
      </c>
      <c r="L1818" s="39">
        <f>VLOOKUP($P1818,매칭테이블!$G:$J,2,0)*H1818</f>
        <v/>
      </c>
      <c r="M1818" s="39">
        <f>L1818-L1818*VLOOKUP($P1818,매칭테이블!$G:$J,3,0)</f>
        <v/>
      </c>
      <c r="N1818" s="39">
        <f>VLOOKUP($P1818,매칭테이블!$G:$J,4,0)*H1818</f>
        <v/>
      </c>
      <c r="O1818" s="55">
        <f>L1818/1.1</f>
        <v/>
      </c>
      <c r="P1818" s="39">
        <f>F1818&amp;E1818&amp;I1818&amp;J1818</f>
        <v/>
      </c>
    </row>
    <row r="1819">
      <c r="B1819" s="51" t="n">
        <v>44119</v>
      </c>
      <c r="C1819" s="39" t="inlineStr">
        <is>
          <t>목</t>
        </is>
      </c>
      <c r="E1819" s="39" t="inlineStr">
        <is>
          <t>고체향수</t>
        </is>
      </c>
      <c r="F1819" s="39" t="inlineStr">
        <is>
          <t>카페24</t>
        </is>
      </c>
      <c r="H1819" s="39" t="n">
        <v>2</v>
      </c>
      <c r="I1819" s="39" t="inlineStr">
        <is>
          <t>이그나이트 + 스테이포에버 2set</t>
        </is>
      </c>
      <c r="J1819" s="20" t="n">
        <v>200720</v>
      </c>
      <c r="L1819" s="39">
        <f>VLOOKUP($P1819,매칭테이블!$G:$J,2,0)*H1819</f>
        <v/>
      </c>
      <c r="M1819" s="39">
        <f>L1819-L1819*VLOOKUP($P1819,매칭테이블!$G:$J,3,0)</f>
        <v/>
      </c>
      <c r="N1819" s="39">
        <f>VLOOKUP($P1819,매칭테이블!$G:$J,4,0)*H1819</f>
        <v/>
      </c>
      <c r="O1819" s="55">
        <f>L1819/1.1</f>
        <v/>
      </c>
      <c r="P1819" s="39">
        <f>F1819&amp;E1819&amp;I1819&amp;J1819</f>
        <v/>
      </c>
    </row>
    <row r="1820">
      <c r="B1820" s="51" t="n">
        <v>44119</v>
      </c>
      <c r="C1820" s="39" t="inlineStr">
        <is>
          <t>목</t>
        </is>
      </c>
      <c r="E1820" s="39" t="inlineStr">
        <is>
          <t>고체향수</t>
        </is>
      </c>
      <c r="F1820" s="39" t="inlineStr">
        <is>
          <t>카페24</t>
        </is>
      </c>
      <c r="H1820" s="39" t="n">
        <v>197</v>
      </c>
      <c r="I1820" s="39" t="inlineStr">
        <is>
          <t>스테이포에버</t>
        </is>
      </c>
      <c r="J1820" s="20" t="n">
        <v>200720</v>
      </c>
      <c r="L1820" s="39">
        <f>VLOOKUP($P1820,매칭테이블!$G:$J,2,0)*H1820</f>
        <v/>
      </c>
      <c r="M1820" s="39">
        <f>L1820-L1820*VLOOKUP($P1820,매칭테이블!$G:$J,3,0)</f>
        <v/>
      </c>
      <c r="N1820" s="39">
        <f>VLOOKUP($P1820,매칭테이블!$G:$J,4,0)*H1820</f>
        <v/>
      </c>
      <c r="O1820" s="55">
        <f>L1820/1.1</f>
        <v/>
      </c>
      <c r="P1820" s="39">
        <f>F1820&amp;E1820&amp;I1820&amp;J1820</f>
        <v/>
      </c>
    </row>
    <row r="1821">
      <c r="B1821" s="51" t="n">
        <v>44119</v>
      </c>
      <c r="C1821" s="39" t="inlineStr">
        <is>
          <t>목</t>
        </is>
      </c>
      <c r="E1821" s="39" t="inlineStr">
        <is>
          <t>고체향수</t>
        </is>
      </c>
      <c r="F1821" s="39" t="inlineStr">
        <is>
          <t>카페24</t>
        </is>
      </c>
      <c r="G1821" s="39" t="n"/>
      <c r="H1821" s="39" t="n">
        <v>56</v>
      </c>
      <c r="I1821" s="39" t="inlineStr">
        <is>
          <t>스테이포에버 2set</t>
        </is>
      </c>
      <c r="J1821" s="20" t="n">
        <v>200720</v>
      </c>
      <c r="L1821" s="39">
        <f>VLOOKUP($P1821,매칭테이블!$G:$J,2,0)*H1821</f>
        <v/>
      </c>
      <c r="M1821" s="39">
        <f>L1821-L1821*VLOOKUP($P1821,매칭테이블!$G:$J,3,0)</f>
        <v/>
      </c>
      <c r="N1821" s="39">
        <f>VLOOKUP($P1821,매칭테이블!$G:$J,4,0)*H1821</f>
        <v/>
      </c>
      <c r="O1821" s="55">
        <f>L1821/1.1</f>
        <v/>
      </c>
      <c r="P1821" s="39">
        <f>F1821&amp;E1821&amp;I1821&amp;J1821</f>
        <v/>
      </c>
    </row>
    <row r="1822">
      <c r="B1822" s="51" t="n">
        <v>44119</v>
      </c>
      <c r="C1822" s="39" t="inlineStr">
        <is>
          <t>목</t>
        </is>
      </c>
      <c r="E1822" s="39" t="inlineStr">
        <is>
          <t>고체향수</t>
        </is>
      </c>
      <c r="F1822" s="39" t="inlineStr">
        <is>
          <t>카페24</t>
        </is>
      </c>
      <c r="H1822" s="39" t="n">
        <v>5</v>
      </c>
      <c r="I1822" s="39" t="inlineStr">
        <is>
          <t>이그나이트</t>
        </is>
      </c>
      <c r="J1822" s="20" t="n">
        <v>200720</v>
      </c>
      <c r="L1822" s="39">
        <f>VLOOKUP($P1822,매칭테이블!$G:$J,2,0)*H1822</f>
        <v/>
      </c>
      <c r="M1822" s="39">
        <f>L1822-L1822*VLOOKUP($P1822,매칭테이블!$G:$J,3,0)</f>
        <v/>
      </c>
      <c r="N1822" s="39">
        <f>VLOOKUP($P1822,매칭테이블!$G:$J,4,0)*H1822</f>
        <v/>
      </c>
      <c r="O1822" s="55">
        <f>L1822/1.1</f>
        <v/>
      </c>
      <c r="P1822" s="39">
        <f>F1822&amp;E1822&amp;I1822&amp;J1822</f>
        <v/>
      </c>
    </row>
    <row r="1823">
      <c r="B1823" s="51" t="n">
        <v>44119</v>
      </c>
      <c r="C1823" s="39" t="inlineStr">
        <is>
          <t>목</t>
        </is>
      </c>
      <c r="E1823" s="39" t="inlineStr">
        <is>
          <t>쇼핑백</t>
        </is>
      </c>
      <c r="F1823" s="39" t="inlineStr">
        <is>
          <t>카페24</t>
        </is>
      </c>
      <c r="H1823" s="39" t="n">
        <v>6</v>
      </c>
      <c r="I1823" s="39" t="inlineStr">
        <is>
          <t>유즈쇼핑백</t>
        </is>
      </c>
      <c r="J1823" s="20" t="n">
        <v>200720</v>
      </c>
      <c r="L1823" s="39">
        <f>VLOOKUP($P1823,매칭테이블!$G:$J,2,0)*H1823</f>
        <v/>
      </c>
      <c r="M1823" s="39">
        <f>L1823-L1823*VLOOKUP($P1823,매칭테이블!$G:$J,3,0)</f>
        <v/>
      </c>
      <c r="N1823" s="39">
        <f>VLOOKUP($P1823,매칭테이블!$G:$J,4,0)*H1823</f>
        <v/>
      </c>
      <c r="O1823" s="55">
        <f>L1823/1.1</f>
        <v/>
      </c>
      <c r="P1823" s="39">
        <f>F1823&amp;E1823&amp;I1823&amp;J1823</f>
        <v/>
      </c>
    </row>
    <row r="1824">
      <c r="B1824" s="51" t="n">
        <v>44120</v>
      </c>
      <c r="C1824" s="39" t="inlineStr">
        <is>
          <t>금</t>
        </is>
      </c>
      <c r="E1824" s="39" t="inlineStr">
        <is>
          <t>고체향수</t>
        </is>
      </c>
      <c r="F1824" s="39" t="inlineStr">
        <is>
          <t>카페24</t>
        </is>
      </c>
      <c r="H1824" s="39" t="n">
        <v>17</v>
      </c>
      <c r="I1824" s="39" t="inlineStr">
        <is>
          <t>이그나이트 + 스테이포에버</t>
        </is>
      </c>
      <c r="J1824" s="20" t="n">
        <v>200720</v>
      </c>
      <c r="L1824" s="39">
        <f>VLOOKUP($P1824,매칭테이블!$G:$J,2,0)*H1824</f>
        <v/>
      </c>
      <c r="M1824" s="39">
        <f>L1824-L1824*VLOOKUP($P1824,매칭테이블!$G:$J,3,0)</f>
        <v/>
      </c>
      <c r="N1824" s="39">
        <f>VLOOKUP($P1824,매칭테이블!$G:$J,4,0)*H1824</f>
        <v/>
      </c>
      <c r="O1824" s="55">
        <f>L1824/1.1</f>
        <v/>
      </c>
      <c r="P1824" s="39">
        <f>F1824&amp;E1824&amp;I1824&amp;J1824</f>
        <v/>
      </c>
    </row>
    <row r="1825">
      <c r="B1825" s="51" t="n">
        <v>44120</v>
      </c>
      <c r="C1825" s="39" t="inlineStr">
        <is>
          <t>금</t>
        </is>
      </c>
      <c r="E1825" s="39" t="inlineStr">
        <is>
          <t>고체향수</t>
        </is>
      </c>
      <c r="F1825" s="39" t="inlineStr">
        <is>
          <t>카페24</t>
        </is>
      </c>
      <c r="H1825" s="39" t="n">
        <v>188</v>
      </c>
      <c r="I1825" s="39" t="inlineStr">
        <is>
          <t>스테이포에버</t>
        </is>
      </c>
      <c r="J1825" s="20" t="n">
        <v>200720</v>
      </c>
      <c r="L1825" s="39">
        <f>VLOOKUP($P1825,매칭테이블!$G:$J,2,0)*H1825</f>
        <v/>
      </c>
      <c r="M1825" s="39">
        <f>L1825-L1825*VLOOKUP($P1825,매칭테이블!$G:$J,3,0)</f>
        <v/>
      </c>
      <c r="N1825" s="39">
        <f>VLOOKUP($P1825,매칭테이블!$G:$J,4,0)*H1825</f>
        <v/>
      </c>
      <c r="O1825" s="55">
        <f>L1825/1.1</f>
        <v/>
      </c>
      <c r="P1825" s="39">
        <f>F1825&amp;E1825&amp;I1825&amp;J1825</f>
        <v/>
      </c>
    </row>
    <row r="1826">
      <c r="B1826" s="51" t="n">
        <v>44120</v>
      </c>
      <c r="C1826" s="39" t="inlineStr">
        <is>
          <t>금</t>
        </is>
      </c>
      <c r="E1826" s="39" t="inlineStr">
        <is>
          <t>고체향수</t>
        </is>
      </c>
      <c r="F1826" s="39" t="inlineStr">
        <is>
          <t>카페24</t>
        </is>
      </c>
      <c r="G1826" s="39" t="n"/>
      <c r="H1826" s="39" t="n">
        <v>56</v>
      </c>
      <c r="I1826" s="39" t="inlineStr">
        <is>
          <t>스테이포에버 2set</t>
        </is>
      </c>
      <c r="J1826" s="20" t="n">
        <v>200720</v>
      </c>
      <c r="L1826" s="39">
        <f>VLOOKUP($P1826,매칭테이블!$G:$J,2,0)*H1826</f>
        <v/>
      </c>
      <c r="M1826" s="39">
        <f>L1826-L1826*VLOOKUP($P1826,매칭테이블!$G:$J,3,0)</f>
        <v/>
      </c>
      <c r="N1826" s="39">
        <f>VLOOKUP($P1826,매칭테이블!$G:$J,4,0)*H1826</f>
        <v/>
      </c>
      <c r="O1826" s="55">
        <f>L1826/1.1</f>
        <v/>
      </c>
      <c r="P1826" s="39">
        <f>F1826&amp;E1826&amp;I1826&amp;J1826</f>
        <v/>
      </c>
    </row>
    <row r="1827">
      <c r="B1827" s="51" t="n">
        <v>44120</v>
      </c>
      <c r="C1827" s="39" t="inlineStr">
        <is>
          <t>금</t>
        </is>
      </c>
      <c r="E1827" s="39" t="inlineStr">
        <is>
          <t>고체향수</t>
        </is>
      </c>
      <c r="F1827" s="39" t="inlineStr">
        <is>
          <t>카페24</t>
        </is>
      </c>
      <c r="H1827" s="39" t="n">
        <v>3</v>
      </c>
      <c r="I1827" s="39" t="inlineStr">
        <is>
          <t>이그나이트</t>
        </is>
      </c>
      <c r="J1827" s="20" t="n">
        <v>200720</v>
      </c>
      <c r="L1827" s="39">
        <f>VLOOKUP($P1827,매칭테이블!$G:$J,2,0)*H1827</f>
        <v/>
      </c>
      <c r="M1827" s="39">
        <f>L1827-L1827*VLOOKUP($P1827,매칭테이블!$G:$J,3,0)</f>
        <v/>
      </c>
      <c r="N1827" s="39">
        <f>VLOOKUP($P1827,매칭테이블!$G:$J,4,0)*H1827</f>
        <v/>
      </c>
      <c r="O1827" s="55">
        <f>L1827/1.1</f>
        <v/>
      </c>
      <c r="P1827" s="39">
        <f>F1827&amp;E1827&amp;I1827&amp;J1827</f>
        <v/>
      </c>
    </row>
    <row r="1828">
      <c r="B1828" s="51" t="n">
        <v>44120</v>
      </c>
      <c r="C1828" s="39" t="inlineStr">
        <is>
          <t>금</t>
        </is>
      </c>
      <c r="E1828" s="39" t="inlineStr">
        <is>
          <t>쇼핑백</t>
        </is>
      </c>
      <c r="F1828" s="39" t="inlineStr">
        <is>
          <t>카페24</t>
        </is>
      </c>
      <c r="H1828" s="39" t="n">
        <v>6</v>
      </c>
      <c r="I1828" s="39" t="inlineStr">
        <is>
          <t>유즈쇼핑백</t>
        </is>
      </c>
      <c r="J1828" s="20" t="n">
        <v>200720</v>
      </c>
      <c r="L1828" s="39">
        <f>VLOOKUP($P1828,매칭테이블!$G:$J,2,0)*H1828</f>
        <v/>
      </c>
      <c r="M1828" s="39">
        <f>L1828-L1828*VLOOKUP($P1828,매칭테이블!$G:$J,3,0)</f>
        <v/>
      </c>
      <c r="N1828" s="39">
        <f>VLOOKUP($P1828,매칭테이블!$G:$J,4,0)*H1828</f>
        <v/>
      </c>
      <c r="O1828" s="55">
        <f>L1828/1.1</f>
        <v/>
      </c>
      <c r="P1828" s="39">
        <f>F1828&amp;E1828&amp;I1828&amp;J1828</f>
        <v/>
      </c>
    </row>
    <row r="1829">
      <c r="B1829" s="51" t="n">
        <v>44121</v>
      </c>
      <c r="C1829" s="39" t="inlineStr">
        <is>
          <t>토</t>
        </is>
      </c>
      <c r="E1829" s="39" t="inlineStr">
        <is>
          <t>고체향수</t>
        </is>
      </c>
      <c r="F1829" s="39" t="inlineStr">
        <is>
          <t>카페24</t>
        </is>
      </c>
      <c r="H1829" s="39" t="n">
        <v>19</v>
      </c>
      <c r="I1829" s="39" t="inlineStr">
        <is>
          <t>이그나이트 + 스테이포에버</t>
        </is>
      </c>
      <c r="J1829" s="20" t="n">
        <v>200720</v>
      </c>
      <c r="L1829" s="39">
        <f>VLOOKUP($P1829,매칭테이블!$G:$J,2,0)*H1829</f>
        <v/>
      </c>
      <c r="M1829" s="39">
        <f>L1829-L1829*VLOOKUP($P1829,매칭테이블!$G:$J,3,0)</f>
        <v/>
      </c>
      <c r="N1829" s="39">
        <f>VLOOKUP($P1829,매칭테이블!$G:$J,4,0)*H1829</f>
        <v/>
      </c>
      <c r="O1829" s="55">
        <f>L1829/1.1</f>
        <v/>
      </c>
      <c r="P1829" s="39">
        <f>F1829&amp;E1829&amp;I1829&amp;J1829</f>
        <v/>
      </c>
    </row>
    <row r="1830">
      <c r="B1830" s="51" t="n">
        <v>44121</v>
      </c>
      <c r="C1830" s="39" t="inlineStr">
        <is>
          <t>토</t>
        </is>
      </c>
      <c r="E1830" s="39" t="inlineStr">
        <is>
          <t>고체향수</t>
        </is>
      </c>
      <c r="F1830" s="39" t="inlineStr">
        <is>
          <t>카페24</t>
        </is>
      </c>
      <c r="H1830" s="39" t="n">
        <v>241</v>
      </c>
      <c r="I1830" s="39" t="inlineStr">
        <is>
          <t>스테이포에버</t>
        </is>
      </c>
      <c r="J1830" s="20" t="n">
        <v>200720</v>
      </c>
      <c r="L1830" s="39">
        <f>VLOOKUP($P1830,매칭테이블!$G:$J,2,0)*H1830</f>
        <v/>
      </c>
      <c r="M1830" s="39">
        <f>L1830-L1830*VLOOKUP($P1830,매칭테이블!$G:$J,3,0)</f>
        <v/>
      </c>
      <c r="N1830" s="39">
        <f>VLOOKUP($P1830,매칭테이블!$G:$J,4,0)*H1830</f>
        <v/>
      </c>
      <c r="O1830" s="55">
        <f>L1830/1.1</f>
        <v/>
      </c>
      <c r="P1830" s="39">
        <f>F1830&amp;E1830&amp;I1830&amp;J1830</f>
        <v/>
      </c>
    </row>
    <row r="1831">
      <c r="B1831" s="51" t="n">
        <v>44121</v>
      </c>
      <c r="C1831" s="39" t="inlineStr">
        <is>
          <t>토</t>
        </is>
      </c>
      <c r="E1831" s="39" t="inlineStr">
        <is>
          <t>고체향수</t>
        </is>
      </c>
      <c r="F1831" s="39" t="inlineStr">
        <is>
          <t>카페24</t>
        </is>
      </c>
      <c r="G1831" s="39" t="n"/>
      <c r="H1831" s="39" t="n">
        <v>64</v>
      </c>
      <c r="I1831" s="39" t="inlineStr">
        <is>
          <t>스테이포에버 2set</t>
        </is>
      </c>
      <c r="J1831" s="20" t="n">
        <v>200720</v>
      </c>
      <c r="L1831" s="39">
        <f>VLOOKUP($P1831,매칭테이블!$G:$J,2,0)*H1831</f>
        <v/>
      </c>
      <c r="M1831" s="39">
        <f>L1831-L1831*VLOOKUP($P1831,매칭테이블!$G:$J,3,0)</f>
        <v/>
      </c>
      <c r="N1831" s="39">
        <f>VLOOKUP($P1831,매칭테이블!$G:$J,4,0)*H1831</f>
        <v/>
      </c>
      <c r="O1831" s="55">
        <f>L1831/1.1</f>
        <v/>
      </c>
      <c r="P1831" s="39">
        <f>F1831&amp;E1831&amp;I1831&amp;J1831</f>
        <v/>
      </c>
    </row>
    <row r="1832">
      <c r="B1832" s="51" t="n">
        <v>44121</v>
      </c>
      <c r="C1832" s="39" t="inlineStr">
        <is>
          <t>토</t>
        </is>
      </c>
      <c r="E1832" s="39" t="inlineStr">
        <is>
          <t>고체향수</t>
        </is>
      </c>
      <c r="F1832" s="39" t="inlineStr">
        <is>
          <t>카페24</t>
        </is>
      </c>
      <c r="H1832" s="39" t="n">
        <v>1</v>
      </c>
      <c r="I1832" s="39" t="inlineStr">
        <is>
          <t>이그나이트 2set</t>
        </is>
      </c>
      <c r="J1832" s="20" t="n">
        <v>200720</v>
      </c>
      <c r="L1832" s="39">
        <f>VLOOKUP($P1832,매칭테이블!$G:$J,2,0)*H1832</f>
        <v/>
      </c>
      <c r="M1832" s="39">
        <f>L1832-L1832*VLOOKUP($P1832,매칭테이블!$G:$J,3,0)</f>
        <v/>
      </c>
      <c r="N1832" s="39">
        <f>VLOOKUP($P1832,매칭테이블!$G:$J,4,0)*H1832</f>
        <v/>
      </c>
      <c r="O1832" s="55">
        <f>L1832/1.1</f>
        <v/>
      </c>
      <c r="P1832" s="39">
        <f>F1832&amp;E1832&amp;I1832&amp;J1832</f>
        <v/>
      </c>
    </row>
    <row r="1833">
      <c r="B1833" s="51" t="n">
        <v>44121</v>
      </c>
      <c r="C1833" s="39" t="inlineStr">
        <is>
          <t>토</t>
        </is>
      </c>
      <c r="E1833" s="39" t="inlineStr">
        <is>
          <t>쇼핑백</t>
        </is>
      </c>
      <c r="F1833" s="39" t="inlineStr">
        <is>
          <t>카페24</t>
        </is>
      </c>
      <c r="H1833" s="39" t="n">
        <v>4</v>
      </c>
      <c r="I1833" s="39" t="inlineStr">
        <is>
          <t>유즈쇼핑백</t>
        </is>
      </c>
      <c r="J1833" s="20" t="n">
        <v>200720</v>
      </c>
      <c r="L1833" s="39">
        <f>VLOOKUP($P1833,매칭테이블!$G:$J,2,0)*H1833</f>
        <v/>
      </c>
      <c r="M1833" s="39">
        <f>L1833-L1833*VLOOKUP($P1833,매칭테이블!$G:$J,3,0)</f>
        <v/>
      </c>
      <c r="N1833" s="39">
        <f>VLOOKUP($P1833,매칭테이블!$G:$J,4,0)*H1833</f>
        <v/>
      </c>
      <c r="O1833" s="55">
        <f>L1833/1.1</f>
        <v/>
      </c>
      <c r="P1833" s="39">
        <f>F1833&amp;E1833&amp;I1833&amp;J1833</f>
        <v/>
      </c>
    </row>
    <row r="1834">
      <c r="B1834" s="51" t="n">
        <v>44122</v>
      </c>
      <c r="C1834" s="39" t="inlineStr">
        <is>
          <t>일</t>
        </is>
      </c>
      <c r="E1834" s="39" t="inlineStr">
        <is>
          <t>고체향수</t>
        </is>
      </c>
      <c r="F1834" s="39" t="inlineStr">
        <is>
          <t>카페24</t>
        </is>
      </c>
      <c r="H1834" s="39" t="n">
        <v>16</v>
      </c>
      <c r="I1834" s="39" t="inlineStr">
        <is>
          <t>이그나이트 + 스테이포에버</t>
        </is>
      </c>
      <c r="J1834" s="20" t="n">
        <v>200720</v>
      </c>
      <c r="L1834" s="39">
        <f>VLOOKUP($P1834,매칭테이블!$G:$J,2,0)*H1834</f>
        <v/>
      </c>
      <c r="M1834" s="39">
        <f>L1834-L1834*VLOOKUP($P1834,매칭테이블!$G:$J,3,0)</f>
        <v/>
      </c>
      <c r="N1834" s="39">
        <f>VLOOKUP($P1834,매칭테이블!$G:$J,4,0)*H1834</f>
        <v/>
      </c>
      <c r="O1834" s="55">
        <f>L1834/1.1</f>
        <v/>
      </c>
      <c r="P1834" s="39">
        <f>F1834&amp;E1834&amp;I1834&amp;J1834</f>
        <v/>
      </c>
    </row>
    <row r="1835">
      <c r="B1835" s="51" t="n">
        <v>44122</v>
      </c>
      <c r="C1835" s="39" t="inlineStr">
        <is>
          <t>일</t>
        </is>
      </c>
      <c r="E1835" s="39" t="inlineStr">
        <is>
          <t>고체향수</t>
        </is>
      </c>
      <c r="F1835" s="39" t="inlineStr">
        <is>
          <t>카페24</t>
        </is>
      </c>
      <c r="H1835" s="39" t="n">
        <v>220</v>
      </c>
      <c r="I1835" s="39" t="inlineStr">
        <is>
          <t>스테이포에버</t>
        </is>
      </c>
      <c r="J1835" s="20" t="n">
        <v>200720</v>
      </c>
      <c r="L1835" s="39">
        <f>VLOOKUP($P1835,매칭테이블!$G:$J,2,0)*H1835</f>
        <v/>
      </c>
      <c r="M1835" s="39">
        <f>L1835-L1835*VLOOKUP($P1835,매칭테이블!$G:$J,3,0)</f>
        <v/>
      </c>
      <c r="N1835" s="39">
        <f>VLOOKUP($P1835,매칭테이블!$G:$J,4,0)*H1835</f>
        <v/>
      </c>
      <c r="O1835" s="55">
        <f>L1835/1.1</f>
        <v/>
      </c>
      <c r="P1835" s="39">
        <f>F1835&amp;E1835&amp;I1835&amp;J1835</f>
        <v/>
      </c>
    </row>
    <row r="1836">
      <c r="B1836" s="51" t="n">
        <v>44122</v>
      </c>
      <c r="C1836" s="39" t="inlineStr">
        <is>
          <t>일</t>
        </is>
      </c>
      <c r="E1836" s="39" t="inlineStr">
        <is>
          <t>고체향수</t>
        </is>
      </c>
      <c r="F1836" s="39" t="inlineStr">
        <is>
          <t>카페24</t>
        </is>
      </c>
      <c r="G1836" s="39" t="n"/>
      <c r="H1836" s="39" t="n">
        <v>66</v>
      </c>
      <c r="I1836" s="39" t="inlineStr">
        <is>
          <t>스테이포에버 2set</t>
        </is>
      </c>
      <c r="J1836" s="20" t="n">
        <v>200720</v>
      </c>
      <c r="L1836" s="39">
        <f>VLOOKUP($P1836,매칭테이블!$G:$J,2,0)*H1836</f>
        <v/>
      </c>
      <c r="M1836" s="39">
        <f>L1836-L1836*VLOOKUP($P1836,매칭테이블!$G:$J,3,0)</f>
        <v/>
      </c>
      <c r="N1836" s="39">
        <f>VLOOKUP($P1836,매칭테이블!$G:$J,4,0)*H1836</f>
        <v/>
      </c>
      <c r="O1836" s="55">
        <f>L1836/1.1</f>
        <v/>
      </c>
      <c r="P1836" s="39">
        <f>F1836&amp;E1836&amp;I1836&amp;J1836</f>
        <v/>
      </c>
    </row>
    <row r="1837">
      <c r="B1837" s="51" t="n">
        <v>44122</v>
      </c>
      <c r="C1837" s="39" t="inlineStr">
        <is>
          <t>일</t>
        </is>
      </c>
      <c r="E1837" s="39" t="inlineStr">
        <is>
          <t>고체향수</t>
        </is>
      </c>
      <c r="F1837" s="39" t="inlineStr">
        <is>
          <t>카페24</t>
        </is>
      </c>
      <c r="H1837" s="39" t="n">
        <v>2</v>
      </c>
      <c r="I1837" s="39" t="inlineStr">
        <is>
          <t>이그나이트</t>
        </is>
      </c>
      <c r="J1837" s="20" t="n">
        <v>200720</v>
      </c>
      <c r="L1837" s="39">
        <f>VLOOKUP($P1837,매칭테이블!$G:$J,2,0)*H1837</f>
        <v/>
      </c>
      <c r="M1837" s="39">
        <f>L1837-L1837*VLOOKUP($P1837,매칭테이블!$G:$J,3,0)</f>
        <v/>
      </c>
      <c r="N1837" s="39">
        <f>VLOOKUP($P1837,매칭테이블!$G:$J,4,0)*H1837</f>
        <v/>
      </c>
      <c r="O1837" s="55">
        <f>L1837/1.1</f>
        <v/>
      </c>
      <c r="P1837" s="39">
        <f>F1837&amp;E1837&amp;I1837&amp;J1837</f>
        <v/>
      </c>
    </row>
    <row r="1838">
      <c r="B1838" s="51" t="n">
        <v>44122</v>
      </c>
      <c r="C1838" s="39" t="inlineStr">
        <is>
          <t>일</t>
        </is>
      </c>
      <c r="E1838" s="39" t="inlineStr">
        <is>
          <t>쇼핑백</t>
        </is>
      </c>
      <c r="F1838" s="39" t="inlineStr">
        <is>
          <t>카페24</t>
        </is>
      </c>
      <c r="H1838" s="39" t="n">
        <v>7</v>
      </c>
      <c r="I1838" s="39" t="inlineStr">
        <is>
          <t>유즈쇼핑백</t>
        </is>
      </c>
      <c r="J1838" s="20" t="n">
        <v>200720</v>
      </c>
      <c r="L1838" s="39">
        <f>VLOOKUP($P1838,매칭테이블!$G:$J,2,0)*H1838</f>
        <v/>
      </c>
      <c r="M1838" s="39">
        <f>L1838-L1838*VLOOKUP($P1838,매칭테이블!$G:$J,3,0)</f>
        <v/>
      </c>
      <c r="N1838" s="39">
        <f>VLOOKUP($P1838,매칭테이블!$G:$J,4,0)*H1838</f>
        <v/>
      </c>
      <c r="O1838" s="55">
        <f>L1838/1.1</f>
        <v/>
      </c>
      <c r="P1838" s="39">
        <f>F1838&amp;E1838&amp;I1838&amp;J1838</f>
        <v/>
      </c>
    </row>
    <row r="1839">
      <c r="B1839" s="51" t="n">
        <v>44123</v>
      </c>
      <c r="C1839" s="39" t="inlineStr">
        <is>
          <t>월</t>
        </is>
      </c>
      <c r="E1839" s="39" t="inlineStr">
        <is>
          <t>고체향수</t>
        </is>
      </c>
      <c r="F1839" s="39" t="inlineStr">
        <is>
          <t>카페24</t>
        </is>
      </c>
      <c r="H1839" s="39" t="n">
        <v>14</v>
      </c>
      <c r="I1839" s="39" t="inlineStr">
        <is>
          <t>이그나이트 + 스테이포에버</t>
        </is>
      </c>
      <c r="J1839" s="20" t="n">
        <v>200720</v>
      </c>
      <c r="L1839" s="39">
        <f>VLOOKUP($P1839,매칭테이블!$G:$J,2,0)*H1839</f>
        <v/>
      </c>
      <c r="M1839" s="39">
        <f>L1839-L1839*VLOOKUP($P1839,매칭테이블!$G:$J,3,0)</f>
        <v/>
      </c>
      <c r="N1839" s="39">
        <f>VLOOKUP($P1839,매칭테이블!$G:$J,4,0)*H1839</f>
        <v/>
      </c>
      <c r="O1839" s="55">
        <f>L1839/1.1</f>
        <v/>
      </c>
      <c r="P1839" s="39">
        <f>F1839&amp;E1839&amp;I1839&amp;J1839</f>
        <v/>
      </c>
    </row>
    <row r="1840">
      <c r="B1840" s="51" t="n">
        <v>44123</v>
      </c>
      <c r="C1840" s="39" t="inlineStr">
        <is>
          <t>월</t>
        </is>
      </c>
      <c r="E1840" s="39" t="inlineStr">
        <is>
          <t>고체향수</t>
        </is>
      </c>
      <c r="F1840" s="39" t="inlineStr">
        <is>
          <t>카페24</t>
        </is>
      </c>
      <c r="H1840" s="39" t="n">
        <v>226</v>
      </c>
      <c r="I1840" s="39" t="inlineStr">
        <is>
          <t>스테이포에버</t>
        </is>
      </c>
      <c r="J1840" s="20" t="n">
        <v>200720</v>
      </c>
      <c r="L1840" s="39">
        <f>VLOOKUP($P1840,매칭테이블!$G:$J,2,0)*H1840</f>
        <v/>
      </c>
      <c r="M1840" s="39">
        <f>L1840-L1840*VLOOKUP($P1840,매칭테이블!$G:$J,3,0)</f>
        <v/>
      </c>
      <c r="N1840" s="39">
        <f>VLOOKUP($P1840,매칭테이블!$G:$J,4,0)*H1840</f>
        <v/>
      </c>
      <c r="O1840" s="55">
        <f>L1840/1.1</f>
        <v/>
      </c>
      <c r="P1840" s="39">
        <f>F1840&amp;E1840&amp;I1840&amp;J1840</f>
        <v/>
      </c>
    </row>
    <row r="1841">
      <c r="B1841" s="51" t="n">
        <v>44123</v>
      </c>
      <c r="C1841" s="39" t="inlineStr">
        <is>
          <t>월</t>
        </is>
      </c>
      <c r="E1841" s="39" t="inlineStr">
        <is>
          <t>고체향수</t>
        </is>
      </c>
      <c r="F1841" s="39" t="inlineStr">
        <is>
          <t>카페24</t>
        </is>
      </c>
      <c r="G1841" s="39" t="n"/>
      <c r="H1841" s="39" t="n">
        <v>52</v>
      </c>
      <c r="I1841" s="39" t="inlineStr">
        <is>
          <t>스테이포에버 2set</t>
        </is>
      </c>
      <c r="J1841" s="20" t="n">
        <v>200720</v>
      </c>
      <c r="L1841" s="39">
        <f>VLOOKUP($P1841,매칭테이블!$G:$J,2,0)*H1841</f>
        <v/>
      </c>
      <c r="M1841" s="39">
        <f>L1841-L1841*VLOOKUP($P1841,매칭테이블!$G:$J,3,0)</f>
        <v/>
      </c>
      <c r="N1841" s="39">
        <f>VLOOKUP($P1841,매칭테이블!$G:$J,4,0)*H1841</f>
        <v/>
      </c>
      <c r="O1841" s="55">
        <f>L1841/1.1</f>
        <v/>
      </c>
      <c r="P1841" s="39">
        <f>F1841&amp;E1841&amp;I1841&amp;J1841</f>
        <v/>
      </c>
    </row>
    <row r="1842">
      <c r="B1842" s="51" t="n">
        <v>44123</v>
      </c>
      <c r="C1842" s="39" t="inlineStr">
        <is>
          <t>월</t>
        </is>
      </c>
      <c r="E1842" s="39" t="inlineStr">
        <is>
          <t>고체향수</t>
        </is>
      </c>
      <c r="F1842" s="39" t="inlineStr">
        <is>
          <t>카페24</t>
        </is>
      </c>
      <c r="H1842" s="39" t="n">
        <v>3</v>
      </c>
      <c r="I1842" s="39" t="inlineStr">
        <is>
          <t>이그나이트</t>
        </is>
      </c>
      <c r="J1842" s="20" t="n">
        <v>200720</v>
      </c>
      <c r="L1842" s="39">
        <f>VLOOKUP($P1842,매칭테이블!$G:$J,2,0)*H1842</f>
        <v/>
      </c>
      <c r="M1842" s="39">
        <f>L1842-L1842*VLOOKUP($P1842,매칭테이블!$G:$J,3,0)</f>
        <v/>
      </c>
      <c r="N1842" s="39">
        <f>VLOOKUP($P1842,매칭테이블!$G:$J,4,0)*H1842</f>
        <v/>
      </c>
      <c r="O1842" s="55">
        <f>L1842/1.1</f>
        <v/>
      </c>
      <c r="P1842" s="39">
        <f>F1842&amp;E1842&amp;I1842&amp;J1842</f>
        <v/>
      </c>
    </row>
    <row r="1843">
      <c r="B1843" s="51" t="n">
        <v>44123</v>
      </c>
      <c r="C1843" s="39" t="inlineStr">
        <is>
          <t>월</t>
        </is>
      </c>
      <c r="E1843" s="39" t="inlineStr">
        <is>
          <t>쇼핑백</t>
        </is>
      </c>
      <c r="F1843" s="39" t="inlineStr">
        <is>
          <t>카페24</t>
        </is>
      </c>
      <c r="H1843" s="39" t="n">
        <v>5</v>
      </c>
      <c r="I1843" s="39" t="inlineStr">
        <is>
          <t>유즈쇼핑백</t>
        </is>
      </c>
      <c r="J1843" s="20" t="n">
        <v>200720</v>
      </c>
      <c r="L1843" s="39">
        <f>VLOOKUP($P1843,매칭테이블!$G:$J,2,0)*H1843</f>
        <v/>
      </c>
      <c r="M1843" s="39">
        <f>L1843-L1843*VLOOKUP($P1843,매칭테이블!$G:$J,3,0)</f>
        <v/>
      </c>
      <c r="N1843" s="39">
        <f>VLOOKUP($P1843,매칭테이블!$G:$J,4,0)*H1843</f>
        <v/>
      </c>
      <c r="O1843" s="55">
        <f>L1843/1.1</f>
        <v/>
      </c>
      <c r="P1843" s="39">
        <f>F1843&amp;E1843&amp;I1843&amp;J1843</f>
        <v/>
      </c>
    </row>
    <row r="1844">
      <c r="B1844" s="51" t="n">
        <v>44124</v>
      </c>
      <c r="C1844" s="39" t="inlineStr">
        <is>
          <t>화</t>
        </is>
      </c>
      <c r="E1844" s="39" t="inlineStr">
        <is>
          <t>고체향수</t>
        </is>
      </c>
      <c r="F1844" s="39" t="inlineStr">
        <is>
          <t>카페24</t>
        </is>
      </c>
      <c r="H1844" s="39" t="n">
        <v>16</v>
      </c>
      <c r="I1844" s="39" t="inlineStr">
        <is>
          <t>이그나이트 + 스테이포에버</t>
        </is>
      </c>
      <c r="J1844" s="20" t="n">
        <v>200720</v>
      </c>
      <c r="L1844" s="39">
        <f>VLOOKUP($P1844,매칭테이블!$G:$J,2,0)*H1844</f>
        <v/>
      </c>
      <c r="M1844" s="39">
        <f>L1844-L1844*VLOOKUP($P1844,매칭테이블!$G:$J,3,0)</f>
        <v/>
      </c>
      <c r="N1844" s="39">
        <f>VLOOKUP($P1844,매칭테이블!$G:$J,4,0)*H1844</f>
        <v/>
      </c>
      <c r="O1844" s="55">
        <f>L1844/1.1</f>
        <v/>
      </c>
      <c r="P1844" s="39">
        <f>F1844&amp;E1844&amp;I1844&amp;J1844</f>
        <v/>
      </c>
    </row>
    <row r="1845">
      <c r="B1845" s="51" t="n">
        <v>44124</v>
      </c>
      <c r="C1845" s="39" t="inlineStr">
        <is>
          <t>화</t>
        </is>
      </c>
      <c r="E1845" s="39" t="inlineStr">
        <is>
          <t>고체향수</t>
        </is>
      </c>
      <c r="F1845" s="39" t="inlineStr">
        <is>
          <t>카페24</t>
        </is>
      </c>
      <c r="H1845" s="39" t="n">
        <v>224</v>
      </c>
      <c r="I1845" s="39" t="inlineStr">
        <is>
          <t>스테이포에버</t>
        </is>
      </c>
      <c r="J1845" s="20" t="n">
        <v>200720</v>
      </c>
      <c r="L1845" s="39">
        <f>VLOOKUP($P1845,매칭테이블!$G:$J,2,0)*H1845</f>
        <v/>
      </c>
      <c r="M1845" s="39">
        <f>L1845-L1845*VLOOKUP($P1845,매칭테이블!$G:$J,3,0)</f>
        <v/>
      </c>
      <c r="N1845" s="39">
        <f>VLOOKUP($P1845,매칭테이블!$G:$J,4,0)*H1845</f>
        <v/>
      </c>
      <c r="O1845" s="55">
        <f>L1845/1.1</f>
        <v/>
      </c>
      <c r="P1845" s="39">
        <f>F1845&amp;E1845&amp;I1845&amp;J1845</f>
        <v/>
      </c>
    </row>
    <row r="1846">
      <c r="B1846" s="51" t="n">
        <v>44124</v>
      </c>
      <c r="C1846" s="39" t="inlineStr">
        <is>
          <t>화</t>
        </is>
      </c>
      <c r="E1846" s="39" t="inlineStr">
        <is>
          <t>고체향수</t>
        </is>
      </c>
      <c r="F1846" s="39" t="inlineStr">
        <is>
          <t>카페24</t>
        </is>
      </c>
      <c r="G1846" s="39" t="n"/>
      <c r="H1846" s="39" t="n">
        <v>55</v>
      </c>
      <c r="I1846" s="39" t="inlineStr">
        <is>
          <t>스테이포에버 2set</t>
        </is>
      </c>
      <c r="J1846" s="20" t="n">
        <v>200720</v>
      </c>
      <c r="L1846" s="39">
        <f>VLOOKUP($P1846,매칭테이블!$G:$J,2,0)*H1846</f>
        <v/>
      </c>
      <c r="M1846" s="39">
        <f>L1846-L1846*VLOOKUP($P1846,매칭테이블!$G:$J,3,0)</f>
        <v/>
      </c>
      <c r="N1846" s="39">
        <f>VLOOKUP($P1846,매칭테이블!$G:$J,4,0)*H1846</f>
        <v/>
      </c>
      <c r="O1846" s="55">
        <f>L1846/1.1</f>
        <v/>
      </c>
      <c r="P1846" s="39">
        <f>F1846&amp;E1846&amp;I1846&amp;J1846</f>
        <v/>
      </c>
    </row>
    <row r="1847">
      <c r="B1847" s="51" t="n">
        <v>44124</v>
      </c>
      <c r="C1847" s="39" t="inlineStr">
        <is>
          <t>화</t>
        </is>
      </c>
      <c r="E1847" s="39" t="inlineStr">
        <is>
          <t>고체향수</t>
        </is>
      </c>
      <c r="F1847" s="39" t="inlineStr">
        <is>
          <t>카페24</t>
        </is>
      </c>
      <c r="H1847" s="39" t="n">
        <v>4</v>
      </c>
      <c r="I1847" s="39" t="inlineStr">
        <is>
          <t>이그나이트</t>
        </is>
      </c>
      <c r="J1847" s="20" t="n">
        <v>200720</v>
      </c>
      <c r="L1847" s="39">
        <f>VLOOKUP($P1847,매칭테이블!$G:$J,2,0)*H1847</f>
        <v/>
      </c>
      <c r="M1847" s="39">
        <f>L1847-L1847*VLOOKUP($P1847,매칭테이블!$G:$J,3,0)</f>
        <v/>
      </c>
      <c r="N1847" s="39">
        <f>VLOOKUP($P1847,매칭테이블!$G:$J,4,0)*H1847</f>
        <v/>
      </c>
      <c r="O1847" s="55">
        <f>L1847/1.1</f>
        <v/>
      </c>
      <c r="P1847" s="39">
        <f>F1847&amp;E1847&amp;I1847&amp;J1847</f>
        <v/>
      </c>
    </row>
    <row r="1848">
      <c r="B1848" s="51" t="n">
        <v>44124</v>
      </c>
      <c r="C1848" s="39" t="inlineStr">
        <is>
          <t>화</t>
        </is>
      </c>
      <c r="E1848" s="39" t="inlineStr">
        <is>
          <t>쇼핑백</t>
        </is>
      </c>
      <c r="F1848" s="39" t="inlineStr">
        <is>
          <t>카페24</t>
        </is>
      </c>
      <c r="H1848" s="39" t="n">
        <v>7</v>
      </c>
      <c r="I1848" s="39" t="inlineStr">
        <is>
          <t>유즈쇼핑백</t>
        </is>
      </c>
      <c r="J1848" s="20" t="n">
        <v>200720</v>
      </c>
      <c r="L1848" s="39">
        <f>VLOOKUP($P1848,매칭테이블!$G:$J,2,0)*H1848</f>
        <v/>
      </c>
      <c r="M1848" s="39">
        <f>L1848-L1848*VLOOKUP($P1848,매칭테이블!$G:$J,3,0)</f>
        <v/>
      </c>
      <c r="N1848" s="39">
        <f>VLOOKUP($P1848,매칭테이블!$G:$J,4,0)*H1848</f>
        <v/>
      </c>
      <c r="O1848" s="55">
        <f>L1848/1.1</f>
        <v/>
      </c>
      <c r="P1848" s="39">
        <f>F1848&amp;E1848&amp;I1848&amp;J1848</f>
        <v/>
      </c>
    </row>
    <row r="1849">
      <c r="B1849" s="51" t="n">
        <v>44125</v>
      </c>
      <c r="C1849" s="39" t="inlineStr">
        <is>
          <t>수</t>
        </is>
      </c>
      <c r="E1849" s="39" t="inlineStr">
        <is>
          <t>고체향수</t>
        </is>
      </c>
      <c r="F1849" s="39" t="inlineStr">
        <is>
          <t>카페24</t>
        </is>
      </c>
      <c r="H1849" s="39" t="n">
        <v>16</v>
      </c>
      <c r="I1849" s="39" t="inlineStr">
        <is>
          <t>이그나이트 + 스테이포에버</t>
        </is>
      </c>
      <c r="J1849" s="20" t="n">
        <v>200720</v>
      </c>
      <c r="L1849" s="39">
        <f>VLOOKUP($P1849,매칭테이블!$G:$J,2,0)*H1849</f>
        <v/>
      </c>
      <c r="M1849" s="39">
        <f>L1849-L1849*VLOOKUP($P1849,매칭테이블!$G:$J,3,0)</f>
        <v/>
      </c>
      <c r="N1849" s="39">
        <f>VLOOKUP($P1849,매칭테이블!$G:$J,4,0)*H1849</f>
        <v/>
      </c>
      <c r="O1849" s="55">
        <f>L1849/1.1</f>
        <v/>
      </c>
      <c r="P1849" s="39">
        <f>F1849&amp;E1849&amp;I1849&amp;J1849</f>
        <v/>
      </c>
    </row>
    <row r="1850">
      <c r="B1850" s="51" t="n">
        <v>44125</v>
      </c>
      <c r="C1850" s="39" t="inlineStr">
        <is>
          <t>수</t>
        </is>
      </c>
      <c r="E1850" s="39" t="inlineStr">
        <is>
          <t>고체향수</t>
        </is>
      </c>
      <c r="F1850" s="39" t="inlineStr">
        <is>
          <t>카페24</t>
        </is>
      </c>
      <c r="H1850" s="39" t="n">
        <v>203</v>
      </c>
      <c r="I1850" s="39" t="inlineStr">
        <is>
          <t>스테이포에버</t>
        </is>
      </c>
      <c r="J1850" s="20" t="n">
        <v>200720</v>
      </c>
      <c r="L1850" s="39">
        <f>VLOOKUP($P1850,매칭테이블!$G:$J,2,0)*H1850</f>
        <v/>
      </c>
      <c r="M1850" s="39">
        <f>L1850-L1850*VLOOKUP($P1850,매칭테이블!$G:$J,3,0)</f>
        <v/>
      </c>
      <c r="N1850" s="39">
        <f>VLOOKUP($P1850,매칭테이블!$G:$J,4,0)*H1850</f>
        <v/>
      </c>
      <c r="O1850" s="55">
        <f>L1850/1.1</f>
        <v/>
      </c>
      <c r="P1850" s="39">
        <f>F1850&amp;E1850&amp;I1850&amp;J1850</f>
        <v/>
      </c>
    </row>
    <row r="1851">
      <c r="B1851" s="51" t="n">
        <v>44125</v>
      </c>
      <c r="C1851" s="39" t="inlineStr">
        <is>
          <t>수</t>
        </is>
      </c>
      <c r="E1851" s="39" t="inlineStr">
        <is>
          <t>고체향수</t>
        </is>
      </c>
      <c r="F1851" s="39" t="inlineStr">
        <is>
          <t>카페24</t>
        </is>
      </c>
      <c r="G1851" s="39" t="n"/>
      <c r="H1851" s="39" t="n">
        <v>61</v>
      </c>
      <c r="I1851" s="39" t="inlineStr">
        <is>
          <t>스테이포에버 2set</t>
        </is>
      </c>
      <c r="J1851" s="20" t="n">
        <v>200720</v>
      </c>
      <c r="L1851" s="39">
        <f>VLOOKUP($P1851,매칭테이블!$G:$J,2,0)*H1851</f>
        <v/>
      </c>
      <c r="M1851" s="39">
        <f>L1851-L1851*VLOOKUP($P1851,매칭테이블!$G:$J,3,0)</f>
        <v/>
      </c>
      <c r="N1851" s="39">
        <f>VLOOKUP($P1851,매칭테이블!$G:$J,4,0)*H1851</f>
        <v/>
      </c>
      <c r="O1851" s="55">
        <f>L1851/1.1</f>
        <v/>
      </c>
      <c r="P1851" s="39">
        <f>F1851&amp;E1851&amp;I1851&amp;J1851</f>
        <v/>
      </c>
    </row>
    <row r="1852">
      <c r="B1852" s="51" t="n">
        <v>44125</v>
      </c>
      <c r="C1852" s="39" t="inlineStr">
        <is>
          <t>수</t>
        </is>
      </c>
      <c r="E1852" s="39" t="inlineStr">
        <is>
          <t>고체향수</t>
        </is>
      </c>
      <c r="F1852" s="39" t="inlineStr">
        <is>
          <t>카페24</t>
        </is>
      </c>
      <c r="H1852" s="39" t="n">
        <v>1</v>
      </c>
      <c r="I1852" s="39" t="inlineStr">
        <is>
          <t>이그나이트</t>
        </is>
      </c>
      <c r="J1852" s="20" t="n">
        <v>200720</v>
      </c>
      <c r="L1852" s="39">
        <f>VLOOKUP($P1852,매칭테이블!$G:$J,2,0)*H1852</f>
        <v/>
      </c>
      <c r="M1852" s="39">
        <f>L1852-L1852*VLOOKUP($P1852,매칭테이블!$G:$J,3,0)</f>
        <v/>
      </c>
      <c r="N1852" s="39">
        <f>VLOOKUP($P1852,매칭테이블!$G:$J,4,0)*H1852</f>
        <v/>
      </c>
      <c r="O1852" s="55">
        <f>L1852/1.1</f>
        <v/>
      </c>
      <c r="P1852" s="39">
        <f>F1852&amp;E1852&amp;I1852&amp;J1852</f>
        <v/>
      </c>
    </row>
    <row r="1853">
      <c r="B1853" s="51" t="n">
        <v>44125</v>
      </c>
      <c r="C1853" s="39" t="inlineStr">
        <is>
          <t>수</t>
        </is>
      </c>
      <c r="E1853" s="39" t="inlineStr">
        <is>
          <t>쇼핑백</t>
        </is>
      </c>
      <c r="F1853" s="39" t="inlineStr">
        <is>
          <t>카페24</t>
        </is>
      </c>
      <c r="H1853" s="39" t="n">
        <v>5</v>
      </c>
      <c r="I1853" s="39" t="inlineStr">
        <is>
          <t>유즈쇼핑백</t>
        </is>
      </c>
      <c r="J1853" s="20" t="n">
        <v>200720</v>
      </c>
      <c r="L1853" s="39">
        <f>VLOOKUP($P1853,매칭테이블!$G:$J,2,0)*H1853</f>
        <v/>
      </c>
      <c r="M1853" s="39">
        <f>L1853-L1853*VLOOKUP($P1853,매칭테이블!$G:$J,3,0)</f>
        <v/>
      </c>
      <c r="N1853" s="39">
        <f>VLOOKUP($P1853,매칭테이블!$G:$J,4,0)*H1853</f>
        <v/>
      </c>
      <c r="O1853" s="55">
        <f>L1853/1.1</f>
        <v/>
      </c>
      <c r="P1853" s="39">
        <f>F1853&amp;E1853&amp;I1853&amp;J1853</f>
        <v/>
      </c>
    </row>
    <row r="1854">
      <c r="B1854" s="51" t="n">
        <v>44126</v>
      </c>
      <c r="C1854" s="39" t="inlineStr">
        <is>
          <t>목</t>
        </is>
      </c>
      <c r="E1854" s="39" t="inlineStr">
        <is>
          <t>고체향수</t>
        </is>
      </c>
      <c r="F1854" s="39" t="inlineStr">
        <is>
          <t>카페24</t>
        </is>
      </c>
      <c r="H1854" s="39" t="n">
        <v>14</v>
      </c>
      <c r="I1854" s="39" t="inlineStr">
        <is>
          <t>이그나이트 + 스테이포에버</t>
        </is>
      </c>
      <c r="J1854" s="20" t="n">
        <v>200720</v>
      </c>
      <c r="L1854" s="39">
        <f>VLOOKUP($P1854,매칭테이블!$G:$J,2,0)*H1854</f>
        <v/>
      </c>
      <c r="M1854" s="39">
        <f>L1854-L1854*VLOOKUP($P1854,매칭테이블!$G:$J,3,0)</f>
        <v/>
      </c>
      <c r="N1854" s="39">
        <f>VLOOKUP($P1854,매칭테이블!$G:$J,4,0)*H1854</f>
        <v/>
      </c>
      <c r="O1854" s="55">
        <f>L1854/1.1</f>
        <v/>
      </c>
      <c r="P1854" s="39">
        <f>F1854&amp;E1854&amp;I1854&amp;J1854</f>
        <v/>
      </c>
    </row>
    <row r="1855">
      <c r="B1855" s="51" t="n">
        <v>44126</v>
      </c>
      <c r="C1855" s="39" t="inlineStr">
        <is>
          <t>목</t>
        </is>
      </c>
      <c r="E1855" s="39" t="inlineStr">
        <is>
          <t>고체향수</t>
        </is>
      </c>
      <c r="F1855" s="39" t="inlineStr">
        <is>
          <t>카페24</t>
        </is>
      </c>
      <c r="H1855" s="39" t="n">
        <v>218</v>
      </c>
      <c r="I1855" s="39" t="inlineStr">
        <is>
          <t>스테이포에버</t>
        </is>
      </c>
      <c r="J1855" s="20" t="n">
        <v>200720</v>
      </c>
      <c r="L1855" s="39">
        <f>VLOOKUP($P1855,매칭테이블!$G:$J,2,0)*H1855</f>
        <v/>
      </c>
      <c r="M1855" s="39">
        <f>L1855-L1855*VLOOKUP($P1855,매칭테이블!$G:$J,3,0)</f>
        <v/>
      </c>
      <c r="N1855" s="39">
        <f>VLOOKUP($P1855,매칭테이블!$G:$J,4,0)*H1855</f>
        <v/>
      </c>
      <c r="O1855" s="55">
        <f>L1855/1.1</f>
        <v/>
      </c>
      <c r="P1855" s="39">
        <f>F1855&amp;E1855&amp;I1855&amp;J1855</f>
        <v/>
      </c>
    </row>
    <row r="1856">
      <c r="B1856" s="51" t="n">
        <v>44126</v>
      </c>
      <c r="C1856" s="39" t="inlineStr">
        <is>
          <t>목</t>
        </is>
      </c>
      <c r="E1856" s="39" t="inlineStr">
        <is>
          <t>고체향수</t>
        </is>
      </c>
      <c r="F1856" s="39" t="inlineStr">
        <is>
          <t>카페24</t>
        </is>
      </c>
      <c r="G1856" s="39" t="n"/>
      <c r="H1856" s="39" t="n">
        <v>73</v>
      </c>
      <c r="I1856" s="39" t="inlineStr">
        <is>
          <t>스테이포에버 2set</t>
        </is>
      </c>
      <c r="J1856" s="20" t="n">
        <v>200720</v>
      </c>
      <c r="L1856" s="39">
        <f>VLOOKUP($P1856,매칭테이블!$G:$J,2,0)*H1856</f>
        <v/>
      </c>
      <c r="M1856" s="39">
        <f>L1856-L1856*VLOOKUP($P1856,매칭테이블!$G:$J,3,0)</f>
        <v/>
      </c>
      <c r="N1856" s="39">
        <f>VLOOKUP($P1856,매칭테이블!$G:$J,4,0)*H1856</f>
        <v/>
      </c>
      <c r="O1856" s="55">
        <f>L1856/1.1</f>
        <v/>
      </c>
      <c r="P1856" s="39">
        <f>F1856&amp;E1856&amp;I1856&amp;J1856</f>
        <v/>
      </c>
    </row>
    <row r="1857">
      <c r="B1857" s="51" t="n">
        <v>44126</v>
      </c>
      <c r="C1857" s="39" t="inlineStr">
        <is>
          <t>목</t>
        </is>
      </c>
      <c r="E1857" s="39" t="inlineStr">
        <is>
          <t>고체향수</t>
        </is>
      </c>
      <c r="F1857" s="39" t="inlineStr">
        <is>
          <t>카페24</t>
        </is>
      </c>
      <c r="H1857" s="39" t="n">
        <v>1</v>
      </c>
      <c r="I1857" s="39" t="inlineStr">
        <is>
          <t>이그나이트</t>
        </is>
      </c>
      <c r="J1857" s="20" t="n">
        <v>200720</v>
      </c>
      <c r="L1857" s="39">
        <f>VLOOKUP($P1857,매칭테이블!$G:$J,2,0)*H1857</f>
        <v/>
      </c>
      <c r="M1857" s="39">
        <f>L1857-L1857*VLOOKUP($P1857,매칭테이블!$G:$J,3,0)</f>
        <v/>
      </c>
      <c r="N1857" s="39">
        <f>VLOOKUP($P1857,매칭테이블!$G:$J,4,0)*H1857</f>
        <v/>
      </c>
      <c r="O1857" s="55">
        <f>L1857/1.1</f>
        <v/>
      </c>
      <c r="P1857" s="39">
        <f>F1857&amp;E1857&amp;I1857&amp;J1857</f>
        <v/>
      </c>
    </row>
    <row r="1858">
      <c r="B1858" s="51" t="n">
        <v>44126</v>
      </c>
      <c r="C1858" s="39" t="inlineStr">
        <is>
          <t>목</t>
        </is>
      </c>
      <c r="E1858" s="39" t="inlineStr">
        <is>
          <t>고체향수</t>
        </is>
      </c>
      <c r="F1858" s="39" t="inlineStr">
        <is>
          <t>카페24</t>
        </is>
      </c>
      <c r="H1858" s="39" t="n">
        <v>2</v>
      </c>
      <c r="I1858" s="39" t="inlineStr">
        <is>
          <t>이그나이트 2set</t>
        </is>
      </c>
      <c r="J1858" s="20" t="n">
        <v>200720</v>
      </c>
      <c r="L1858" s="39">
        <f>VLOOKUP($P1858,매칭테이블!$G:$J,2,0)*H1858</f>
        <v/>
      </c>
      <c r="M1858" s="39">
        <f>L1858-L1858*VLOOKUP($P1858,매칭테이블!$G:$J,3,0)</f>
        <v/>
      </c>
      <c r="N1858" s="39">
        <f>VLOOKUP($P1858,매칭테이블!$G:$J,4,0)*H1858</f>
        <v/>
      </c>
      <c r="O1858" s="55">
        <f>L1858/1.1</f>
        <v/>
      </c>
      <c r="P1858" s="39">
        <f>F1858&amp;E1858&amp;I1858&amp;J1858</f>
        <v/>
      </c>
    </row>
    <row r="1859">
      <c r="B1859" s="51" t="n">
        <v>44126</v>
      </c>
      <c r="C1859" s="39" t="inlineStr">
        <is>
          <t>목</t>
        </is>
      </c>
      <c r="E1859" s="39" t="inlineStr">
        <is>
          <t>쇼핑백</t>
        </is>
      </c>
      <c r="F1859" s="39" t="inlineStr">
        <is>
          <t>카페24</t>
        </is>
      </c>
      <c r="H1859" s="39" t="n">
        <v>3</v>
      </c>
      <c r="I1859" s="39" t="inlineStr">
        <is>
          <t>유즈쇼핑백</t>
        </is>
      </c>
      <c r="J1859" s="20" t="n">
        <v>200720</v>
      </c>
      <c r="L1859" s="39">
        <f>VLOOKUP($P1859,매칭테이블!$G:$J,2,0)*H1859</f>
        <v/>
      </c>
      <c r="M1859" s="39">
        <f>L1859-L1859*VLOOKUP($P1859,매칭테이블!$G:$J,3,0)</f>
        <v/>
      </c>
      <c r="N1859" s="39">
        <f>VLOOKUP($P1859,매칭테이블!$G:$J,4,0)*H1859</f>
        <v/>
      </c>
      <c r="O1859" s="55">
        <f>L1859/1.1</f>
        <v/>
      </c>
      <c r="P1859" s="39">
        <f>F1859&amp;E1859&amp;I1859&amp;J1859</f>
        <v/>
      </c>
    </row>
    <row r="1860">
      <c r="B1860" s="51" t="n">
        <v>44127</v>
      </c>
      <c r="C1860" s="39" t="inlineStr">
        <is>
          <t>금</t>
        </is>
      </c>
      <c r="E1860" s="39" t="inlineStr">
        <is>
          <t>고체향수</t>
        </is>
      </c>
      <c r="F1860" s="39" t="inlineStr">
        <is>
          <t>카페24</t>
        </is>
      </c>
      <c r="H1860" s="39" t="n">
        <v>21</v>
      </c>
      <c r="I1860" s="39" t="inlineStr">
        <is>
          <t>이그나이트 + 스테이포에버</t>
        </is>
      </c>
      <c r="J1860" s="20" t="n">
        <v>200720</v>
      </c>
      <c r="L1860" s="39">
        <f>VLOOKUP($P1860,매칭테이블!$G:$J,2,0)*H1860</f>
        <v/>
      </c>
      <c r="M1860" s="39">
        <f>L1860-L1860*VLOOKUP($P1860,매칭테이블!$G:$J,3,0)</f>
        <v/>
      </c>
      <c r="N1860" s="39">
        <f>VLOOKUP($P1860,매칭테이블!$G:$J,4,0)*H1860</f>
        <v/>
      </c>
      <c r="O1860" s="55">
        <f>L1860/1.1</f>
        <v/>
      </c>
      <c r="P1860" s="39">
        <f>F1860&amp;E1860&amp;I1860&amp;J1860</f>
        <v/>
      </c>
    </row>
    <row r="1861">
      <c r="B1861" s="51" t="n">
        <v>44127</v>
      </c>
      <c r="C1861" s="39" t="inlineStr">
        <is>
          <t>금</t>
        </is>
      </c>
      <c r="E1861" s="39" t="inlineStr">
        <is>
          <t>고체향수</t>
        </is>
      </c>
      <c r="F1861" s="39" t="inlineStr">
        <is>
          <t>카페24</t>
        </is>
      </c>
      <c r="H1861" s="39" t="n">
        <v>219</v>
      </c>
      <c r="I1861" s="39" t="inlineStr">
        <is>
          <t>스테이포에버</t>
        </is>
      </c>
      <c r="J1861" s="20" t="n">
        <v>200720</v>
      </c>
      <c r="L1861" s="39">
        <f>VLOOKUP($P1861,매칭테이블!$G:$J,2,0)*H1861</f>
        <v/>
      </c>
      <c r="M1861" s="39">
        <f>L1861-L1861*VLOOKUP($P1861,매칭테이블!$G:$J,3,0)</f>
        <v/>
      </c>
      <c r="N1861" s="39">
        <f>VLOOKUP($P1861,매칭테이블!$G:$J,4,0)*H1861</f>
        <v/>
      </c>
      <c r="O1861" s="55">
        <f>L1861/1.1</f>
        <v/>
      </c>
      <c r="P1861" s="39">
        <f>F1861&amp;E1861&amp;I1861&amp;J1861</f>
        <v/>
      </c>
    </row>
    <row r="1862">
      <c r="B1862" s="51" t="n">
        <v>44127</v>
      </c>
      <c r="C1862" s="39" t="inlineStr">
        <is>
          <t>금</t>
        </is>
      </c>
      <c r="E1862" s="39" t="inlineStr">
        <is>
          <t>고체향수</t>
        </is>
      </c>
      <c r="F1862" s="39" t="inlineStr">
        <is>
          <t>카페24</t>
        </is>
      </c>
      <c r="G1862" s="39" t="n"/>
      <c r="H1862" s="39" t="n">
        <v>55</v>
      </c>
      <c r="I1862" s="39" t="inlineStr">
        <is>
          <t>스테이포에버 2set</t>
        </is>
      </c>
      <c r="J1862" s="20" t="n">
        <v>200720</v>
      </c>
      <c r="L1862" s="39">
        <f>VLOOKUP($P1862,매칭테이블!$G:$J,2,0)*H1862</f>
        <v/>
      </c>
      <c r="M1862" s="39">
        <f>L1862-L1862*VLOOKUP($P1862,매칭테이블!$G:$J,3,0)</f>
        <v/>
      </c>
      <c r="N1862" s="39">
        <f>VLOOKUP($P1862,매칭테이블!$G:$J,4,0)*H1862</f>
        <v/>
      </c>
      <c r="O1862" s="55">
        <f>L1862/1.1</f>
        <v/>
      </c>
      <c r="P1862" s="39">
        <f>F1862&amp;E1862&amp;I1862&amp;J1862</f>
        <v/>
      </c>
    </row>
    <row r="1863">
      <c r="B1863" s="51" t="n">
        <v>44127</v>
      </c>
      <c r="C1863" s="39" t="inlineStr">
        <is>
          <t>금</t>
        </is>
      </c>
      <c r="E1863" s="39" t="inlineStr">
        <is>
          <t>고체향수</t>
        </is>
      </c>
      <c r="F1863" s="39" t="inlineStr">
        <is>
          <t>카페24</t>
        </is>
      </c>
      <c r="H1863" s="39" t="n">
        <v>7</v>
      </c>
      <c r="I1863" s="39" t="inlineStr">
        <is>
          <t>이그나이트</t>
        </is>
      </c>
      <c r="J1863" s="20" t="n">
        <v>200720</v>
      </c>
      <c r="L1863" s="39">
        <f>VLOOKUP($P1863,매칭테이블!$G:$J,2,0)*H1863</f>
        <v/>
      </c>
      <c r="M1863" s="39">
        <f>L1863-L1863*VLOOKUP($P1863,매칭테이블!$G:$J,3,0)</f>
        <v/>
      </c>
      <c r="N1863" s="39">
        <f>VLOOKUP($P1863,매칭테이블!$G:$J,4,0)*H1863</f>
        <v/>
      </c>
      <c r="O1863" s="55">
        <f>L1863/1.1</f>
        <v/>
      </c>
      <c r="P1863" s="39">
        <f>F1863&amp;E1863&amp;I1863&amp;J1863</f>
        <v/>
      </c>
    </row>
    <row r="1864">
      <c r="B1864" s="51" t="n">
        <v>44127</v>
      </c>
      <c r="C1864" s="39" t="inlineStr">
        <is>
          <t>금</t>
        </is>
      </c>
      <c r="E1864" s="39" t="inlineStr">
        <is>
          <t>쇼핑백</t>
        </is>
      </c>
      <c r="F1864" s="39" t="inlineStr">
        <is>
          <t>카페24</t>
        </is>
      </c>
      <c r="H1864" s="39" t="n">
        <v>9</v>
      </c>
      <c r="I1864" s="39" t="inlineStr">
        <is>
          <t>유즈쇼핑백</t>
        </is>
      </c>
      <c r="J1864" s="20" t="n">
        <v>200720</v>
      </c>
      <c r="L1864" s="39">
        <f>VLOOKUP($P1864,매칭테이블!$G:$J,2,0)*H1864</f>
        <v/>
      </c>
      <c r="M1864" s="39">
        <f>L1864-L1864*VLOOKUP($P1864,매칭테이블!$G:$J,3,0)</f>
        <v/>
      </c>
      <c r="N1864" s="39">
        <f>VLOOKUP($P1864,매칭테이블!$G:$J,4,0)*H1864</f>
        <v/>
      </c>
      <c r="O1864" s="55">
        <f>L1864/1.1</f>
        <v/>
      </c>
      <c r="P1864" s="39">
        <f>F1864&amp;E1864&amp;I1864&amp;J1864</f>
        <v/>
      </c>
    </row>
    <row r="1865">
      <c r="B1865" s="51" t="n">
        <v>44128</v>
      </c>
      <c r="C1865" s="39" t="inlineStr">
        <is>
          <t>토</t>
        </is>
      </c>
      <c r="E1865" s="39" t="inlineStr">
        <is>
          <t>고체향수</t>
        </is>
      </c>
      <c r="F1865" s="39" t="inlineStr">
        <is>
          <t>카페24</t>
        </is>
      </c>
      <c r="H1865" s="39" t="n">
        <v>15</v>
      </c>
      <c r="I1865" s="39" t="inlineStr">
        <is>
          <t>이그나이트 + 스테이포에버</t>
        </is>
      </c>
      <c r="J1865" s="20" t="n">
        <v>200720</v>
      </c>
      <c r="L1865" s="39">
        <f>VLOOKUP($P1865,매칭테이블!$G:$J,2,0)*H1865</f>
        <v/>
      </c>
      <c r="M1865" s="39">
        <f>L1865-L1865*VLOOKUP($P1865,매칭테이블!$G:$J,3,0)</f>
        <v/>
      </c>
      <c r="N1865" s="39">
        <f>VLOOKUP($P1865,매칭테이블!$G:$J,4,0)*H1865</f>
        <v/>
      </c>
      <c r="O1865" s="55">
        <f>L1865/1.1</f>
        <v/>
      </c>
      <c r="P1865" s="39">
        <f>F1865&amp;E1865&amp;I1865&amp;J1865</f>
        <v/>
      </c>
    </row>
    <row r="1866">
      <c r="B1866" s="51" t="n">
        <v>44128</v>
      </c>
      <c r="C1866" s="39" t="inlineStr">
        <is>
          <t>토</t>
        </is>
      </c>
      <c r="E1866" s="39" t="inlineStr">
        <is>
          <t>고체향수</t>
        </is>
      </c>
      <c r="F1866" s="39" t="inlineStr">
        <is>
          <t>카페24</t>
        </is>
      </c>
      <c r="H1866" s="39" t="n">
        <v>224</v>
      </c>
      <c r="I1866" s="39" t="inlineStr">
        <is>
          <t>스테이포에버</t>
        </is>
      </c>
      <c r="J1866" s="20" t="n">
        <v>200720</v>
      </c>
      <c r="L1866" s="39">
        <f>VLOOKUP($P1866,매칭테이블!$G:$J,2,0)*H1866</f>
        <v/>
      </c>
      <c r="M1866" s="39">
        <f>L1866-L1866*VLOOKUP($P1866,매칭테이블!$G:$J,3,0)</f>
        <v/>
      </c>
      <c r="N1866" s="39">
        <f>VLOOKUP($P1866,매칭테이블!$G:$J,4,0)*H1866</f>
        <v/>
      </c>
      <c r="O1866" s="55">
        <f>L1866/1.1</f>
        <v/>
      </c>
      <c r="P1866" s="39">
        <f>F1866&amp;E1866&amp;I1866&amp;J1866</f>
        <v/>
      </c>
    </row>
    <row r="1867">
      <c r="B1867" s="51" t="n">
        <v>44128</v>
      </c>
      <c r="C1867" s="39" t="inlineStr">
        <is>
          <t>토</t>
        </is>
      </c>
      <c r="E1867" s="39" t="inlineStr">
        <is>
          <t>고체향수</t>
        </is>
      </c>
      <c r="F1867" s="39" t="inlineStr">
        <is>
          <t>카페24</t>
        </is>
      </c>
      <c r="G1867" s="39" t="n"/>
      <c r="H1867" s="39" t="n">
        <v>66</v>
      </c>
      <c r="I1867" s="39" t="inlineStr">
        <is>
          <t>스테이포에버 2set</t>
        </is>
      </c>
      <c r="J1867" s="20" t="n">
        <v>200720</v>
      </c>
      <c r="L1867" s="39">
        <f>VLOOKUP($P1867,매칭테이블!$G:$J,2,0)*H1867</f>
        <v/>
      </c>
      <c r="M1867" s="39">
        <f>L1867-L1867*VLOOKUP($P1867,매칭테이블!$G:$J,3,0)</f>
        <v/>
      </c>
      <c r="N1867" s="39">
        <f>VLOOKUP($P1867,매칭테이블!$G:$J,4,0)*H1867</f>
        <v/>
      </c>
      <c r="O1867" s="55">
        <f>L1867/1.1</f>
        <v/>
      </c>
      <c r="P1867" s="39">
        <f>F1867&amp;E1867&amp;I1867&amp;J1867</f>
        <v/>
      </c>
    </row>
    <row r="1868">
      <c r="B1868" s="51" t="n">
        <v>44128</v>
      </c>
      <c r="C1868" s="39" t="inlineStr">
        <is>
          <t>토</t>
        </is>
      </c>
      <c r="E1868" s="39" t="inlineStr">
        <is>
          <t>고체향수</t>
        </is>
      </c>
      <c r="F1868" s="39" t="inlineStr">
        <is>
          <t>카페24</t>
        </is>
      </c>
      <c r="H1868" s="39" t="n">
        <v>4</v>
      </c>
      <c r="I1868" s="39" t="inlineStr">
        <is>
          <t>이그나이트</t>
        </is>
      </c>
      <c r="J1868" s="20" t="n">
        <v>200720</v>
      </c>
      <c r="L1868" s="39">
        <f>VLOOKUP($P1868,매칭테이블!$G:$J,2,0)*H1868</f>
        <v/>
      </c>
      <c r="M1868" s="39">
        <f>L1868-L1868*VLOOKUP($P1868,매칭테이블!$G:$J,3,0)</f>
        <v/>
      </c>
      <c r="N1868" s="39">
        <f>VLOOKUP($P1868,매칭테이블!$G:$J,4,0)*H1868</f>
        <v/>
      </c>
      <c r="O1868" s="55">
        <f>L1868/1.1</f>
        <v/>
      </c>
      <c r="P1868" s="39">
        <f>F1868&amp;E1868&amp;I1868&amp;J1868</f>
        <v/>
      </c>
    </row>
    <row r="1869">
      <c r="B1869" s="51" t="n">
        <v>44128</v>
      </c>
      <c r="C1869" s="39" t="inlineStr">
        <is>
          <t>토</t>
        </is>
      </c>
      <c r="E1869" s="39" t="inlineStr">
        <is>
          <t>고체향수</t>
        </is>
      </c>
      <c r="F1869" s="39" t="inlineStr">
        <is>
          <t>카페24</t>
        </is>
      </c>
      <c r="H1869" s="39" t="n">
        <v>2</v>
      </c>
      <c r="I1869" s="39" t="inlineStr">
        <is>
          <t>이그나이트 2set</t>
        </is>
      </c>
      <c r="J1869" s="20" t="n">
        <v>200720</v>
      </c>
      <c r="L1869" s="39">
        <f>VLOOKUP($P1869,매칭테이블!$G:$J,2,0)*H1869</f>
        <v/>
      </c>
      <c r="M1869" s="39">
        <f>L1869-L1869*VLOOKUP($P1869,매칭테이블!$G:$J,3,0)</f>
        <v/>
      </c>
      <c r="N1869" s="39">
        <f>VLOOKUP($P1869,매칭테이블!$G:$J,4,0)*H1869</f>
        <v/>
      </c>
      <c r="O1869" s="55">
        <f>L1869/1.1</f>
        <v/>
      </c>
      <c r="P1869" s="39">
        <f>F1869&amp;E1869&amp;I1869&amp;J1869</f>
        <v/>
      </c>
    </row>
    <row r="1870">
      <c r="B1870" s="51" t="n">
        <v>44128</v>
      </c>
      <c r="C1870" s="39" t="inlineStr">
        <is>
          <t>토</t>
        </is>
      </c>
      <c r="E1870" s="39" t="inlineStr">
        <is>
          <t>쇼핑백</t>
        </is>
      </c>
      <c r="F1870" s="39" t="inlineStr">
        <is>
          <t>카페24</t>
        </is>
      </c>
      <c r="H1870" s="39" t="n">
        <v>10</v>
      </c>
      <c r="I1870" s="39" t="inlineStr">
        <is>
          <t>유즈쇼핑백</t>
        </is>
      </c>
      <c r="J1870" s="20" t="n">
        <v>200720</v>
      </c>
      <c r="L1870" s="39">
        <f>VLOOKUP($P1870,매칭테이블!$G:$J,2,0)*H1870</f>
        <v/>
      </c>
      <c r="M1870" s="39">
        <f>L1870-L1870*VLOOKUP($P1870,매칭테이블!$G:$J,3,0)</f>
        <v/>
      </c>
      <c r="N1870" s="39">
        <f>VLOOKUP($P1870,매칭테이블!$G:$J,4,0)*H1870</f>
        <v/>
      </c>
      <c r="O1870" s="55">
        <f>L1870/1.1</f>
        <v/>
      </c>
      <c r="P1870" s="39">
        <f>F1870&amp;E1870&amp;I1870&amp;J1870</f>
        <v/>
      </c>
    </row>
    <row r="1871">
      <c r="B1871" s="51" t="n">
        <v>44129</v>
      </c>
      <c r="C1871" s="39" t="inlineStr">
        <is>
          <t>일</t>
        </is>
      </c>
      <c r="E1871" s="39" t="inlineStr">
        <is>
          <t>고체향수</t>
        </is>
      </c>
      <c r="F1871" s="39" t="inlineStr">
        <is>
          <t>카페24</t>
        </is>
      </c>
      <c r="H1871" s="39" t="n">
        <v>10</v>
      </c>
      <c r="I1871" s="39" t="inlineStr">
        <is>
          <t>이그나이트 + 스테이포에버</t>
        </is>
      </c>
      <c r="J1871" s="20" t="n">
        <v>200720</v>
      </c>
      <c r="L1871" s="39">
        <f>VLOOKUP($P1871,매칭테이블!$G:$J,2,0)*H1871</f>
        <v/>
      </c>
      <c r="M1871" s="39">
        <f>L1871-L1871*VLOOKUP($P1871,매칭테이블!$G:$J,3,0)</f>
        <v/>
      </c>
      <c r="N1871" s="39">
        <f>VLOOKUP($P1871,매칭테이블!$G:$J,4,0)*H1871</f>
        <v/>
      </c>
      <c r="O1871" s="55">
        <f>L1871/1.1</f>
        <v/>
      </c>
      <c r="P1871" s="39">
        <f>F1871&amp;E1871&amp;I1871&amp;J1871</f>
        <v/>
      </c>
    </row>
    <row r="1872">
      <c r="B1872" s="51" t="n">
        <v>44129</v>
      </c>
      <c r="C1872" s="39" t="inlineStr">
        <is>
          <t>일</t>
        </is>
      </c>
      <c r="E1872" s="39" t="inlineStr">
        <is>
          <t>고체향수</t>
        </is>
      </c>
      <c r="F1872" s="39" t="inlineStr">
        <is>
          <t>카페24</t>
        </is>
      </c>
      <c r="H1872" s="39" t="n">
        <v>236</v>
      </c>
      <c r="I1872" s="39" t="inlineStr">
        <is>
          <t>스테이포에버</t>
        </is>
      </c>
      <c r="J1872" s="20" t="n">
        <v>200720</v>
      </c>
      <c r="L1872" s="39">
        <f>VLOOKUP($P1872,매칭테이블!$G:$J,2,0)*H1872</f>
        <v/>
      </c>
      <c r="M1872" s="39">
        <f>L1872-L1872*VLOOKUP($P1872,매칭테이블!$G:$J,3,0)</f>
        <v/>
      </c>
      <c r="N1872" s="39">
        <f>VLOOKUP($P1872,매칭테이블!$G:$J,4,0)*H1872</f>
        <v/>
      </c>
      <c r="O1872" s="55">
        <f>L1872/1.1</f>
        <v/>
      </c>
      <c r="P1872" s="39">
        <f>F1872&amp;E1872&amp;I1872&amp;J1872</f>
        <v/>
      </c>
    </row>
    <row r="1873">
      <c r="B1873" s="51" t="n">
        <v>44129</v>
      </c>
      <c r="C1873" s="39" t="inlineStr">
        <is>
          <t>일</t>
        </is>
      </c>
      <c r="E1873" s="39" t="inlineStr">
        <is>
          <t>고체향수</t>
        </is>
      </c>
      <c r="F1873" s="39" t="inlineStr">
        <is>
          <t>카페24</t>
        </is>
      </c>
      <c r="G1873" s="39" t="n"/>
      <c r="H1873" s="39" t="n">
        <v>67</v>
      </c>
      <c r="I1873" s="39" t="inlineStr">
        <is>
          <t>스테이포에버 2set</t>
        </is>
      </c>
      <c r="J1873" s="20" t="n">
        <v>200720</v>
      </c>
      <c r="L1873" s="39">
        <f>VLOOKUP($P1873,매칭테이블!$G:$J,2,0)*H1873</f>
        <v/>
      </c>
      <c r="M1873" s="39">
        <f>L1873-L1873*VLOOKUP($P1873,매칭테이블!$G:$J,3,0)</f>
        <v/>
      </c>
      <c r="N1873" s="39">
        <f>VLOOKUP($P1873,매칭테이블!$G:$J,4,0)*H1873</f>
        <v/>
      </c>
      <c r="O1873" s="55">
        <f>L1873/1.1</f>
        <v/>
      </c>
      <c r="P1873" s="39">
        <f>F1873&amp;E1873&amp;I1873&amp;J1873</f>
        <v/>
      </c>
    </row>
    <row r="1874">
      <c r="B1874" s="51" t="n">
        <v>44129</v>
      </c>
      <c r="C1874" s="39" t="inlineStr">
        <is>
          <t>일</t>
        </is>
      </c>
      <c r="E1874" s="39" t="inlineStr">
        <is>
          <t>고체향수</t>
        </is>
      </c>
      <c r="F1874" s="39" t="inlineStr">
        <is>
          <t>카페24</t>
        </is>
      </c>
      <c r="H1874" s="39" t="n">
        <v>2</v>
      </c>
      <c r="I1874" s="39" t="inlineStr">
        <is>
          <t>이그나이트</t>
        </is>
      </c>
      <c r="J1874" s="20" t="n">
        <v>200720</v>
      </c>
      <c r="L1874" s="39">
        <f>VLOOKUP($P1874,매칭테이블!$G:$J,2,0)*H1874</f>
        <v/>
      </c>
      <c r="M1874" s="39">
        <f>L1874-L1874*VLOOKUP($P1874,매칭테이블!$G:$J,3,0)</f>
        <v/>
      </c>
      <c r="N1874" s="39">
        <f>VLOOKUP($P1874,매칭테이블!$G:$J,4,0)*H1874</f>
        <v/>
      </c>
      <c r="O1874" s="55">
        <f>L1874/1.1</f>
        <v/>
      </c>
      <c r="P1874" s="39">
        <f>F1874&amp;E1874&amp;I1874&amp;J1874</f>
        <v/>
      </c>
    </row>
    <row r="1875">
      <c r="B1875" s="51" t="n">
        <v>44129</v>
      </c>
      <c r="C1875" s="39" t="inlineStr">
        <is>
          <t>일</t>
        </is>
      </c>
      <c r="E1875" s="39" t="inlineStr">
        <is>
          <t>쇼핑백</t>
        </is>
      </c>
      <c r="F1875" s="39" t="inlineStr">
        <is>
          <t>카페24</t>
        </is>
      </c>
      <c r="H1875" s="39" t="n">
        <v>9</v>
      </c>
      <c r="I1875" s="39" t="inlineStr">
        <is>
          <t>유즈쇼핑백</t>
        </is>
      </c>
      <c r="J1875" s="20" t="n">
        <v>200720</v>
      </c>
      <c r="L1875" s="39">
        <f>VLOOKUP($P1875,매칭테이블!$G:$J,2,0)*H1875</f>
        <v/>
      </c>
      <c r="M1875" s="39">
        <f>L1875-L1875*VLOOKUP($P1875,매칭테이블!$G:$J,3,0)</f>
        <v/>
      </c>
      <c r="N1875" s="39">
        <f>VLOOKUP($P1875,매칭테이블!$G:$J,4,0)*H1875</f>
        <v/>
      </c>
      <c r="O1875" s="55">
        <f>L1875/1.1</f>
        <v/>
      </c>
      <c r="P1875" s="39">
        <f>F1875&amp;E1875&amp;I1875&amp;J1875</f>
        <v/>
      </c>
    </row>
    <row r="1876">
      <c r="B1876" s="51" t="n">
        <v>44130</v>
      </c>
      <c r="C1876" s="39" t="inlineStr">
        <is>
          <t>월</t>
        </is>
      </c>
      <c r="E1876" s="39" t="inlineStr">
        <is>
          <t>고체향수</t>
        </is>
      </c>
      <c r="F1876" s="39" t="inlineStr">
        <is>
          <t>카페24</t>
        </is>
      </c>
      <c r="H1876" s="39" t="n">
        <v>20</v>
      </c>
      <c r="I1876" s="39" t="inlineStr">
        <is>
          <t>이그나이트 + 스테이포에버</t>
        </is>
      </c>
      <c r="J1876" s="20" t="n">
        <v>200720</v>
      </c>
      <c r="L1876" s="39">
        <f>VLOOKUP($P1876,매칭테이블!$G:$J,2,0)*H1876</f>
        <v/>
      </c>
      <c r="M1876" s="39">
        <f>L1876-L1876*VLOOKUP($P1876,매칭테이블!$G:$J,3,0)</f>
        <v/>
      </c>
      <c r="N1876" s="39">
        <f>VLOOKUP($P1876,매칭테이블!$G:$J,4,0)*H1876</f>
        <v/>
      </c>
      <c r="O1876" s="55">
        <f>L1876/1.1</f>
        <v/>
      </c>
      <c r="P1876" s="39">
        <f>F1876&amp;E1876&amp;I1876&amp;J1876</f>
        <v/>
      </c>
    </row>
    <row r="1877">
      <c r="B1877" s="51" t="n">
        <v>44130</v>
      </c>
      <c r="C1877" s="39" t="inlineStr">
        <is>
          <t>월</t>
        </is>
      </c>
      <c r="E1877" s="39" t="inlineStr">
        <is>
          <t>고체향수</t>
        </is>
      </c>
      <c r="F1877" s="39" t="inlineStr">
        <is>
          <t>카페24</t>
        </is>
      </c>
      <c r="H1877" s="39" t="n">
        <v>228</v>
      </c>
      <c r="I1877" s="39" t="inlineStr">
        <is>
          <t>스테이포에버</t>
        </is>
      </c>
      <c r="J1877" s="20" t="n">
        <v>200720</v>
      </c>
      <c r="L1877" s="39">
        <f>VLOOKUP($P1877,매칭테이블!$G:$J,2,0)*H1877</f>
        <v/>
      </c>
      <c r="M1877" s="39">
        <f>L1877-L1877*VLOOKUP($P1877,매칭테이블!$G:$J,3,0)</f>
        <v/>
      </c>
      <c r="N1877" s="39">
        <f>VLOOKUP($P1877,매칭테이블!$G:$J,4,0)*H1877</f>
        <v/>
      </c>
      <c r="O1877" s="55">
        <f>L1877/1.1</f>
        <v/>
      </c>
      <c r="P1877" s="39">
        <f>F1877&amp;E1877&amp;I1877&amp;J1877</f>
        <v/>
      </c>
    </row>
    <row r="1878">
      <c r="B1878" s="51" t="n">
        <v>44130</v>
      </c>
      <c r="C1878" s="39" t="inlineStr">
        <is>
          <t>월</t>
        </is>
      </c>
      <c r="E1878" s="39" t="inlineStr">
        <is>
          <t>고체향수</t>
        </is>
      </c>
      <c r="F1878" s="39" t="inlineStr">
        <is>
          <t>카페24</t>
        </is>
      </c>
      <c r="G1878" s="39" t="n"/>
      <c r="H1878" s="39" t="n">
        <v>59</v>
      </c>
      <c r="I1878" s="39" t="inlineStr">
        <is>
          <t>스테이포에버 2set</t>
        </is>
      </c>
      <c r="J1878" s="20" t="n">
        <v>200720</v>
      </c>
      <c r="L1878" s="39">
        <f>VLOOKUP($P1878,매칭테이블!$G:$J,2,0)*H1878</f>
        <v/>
      </c>
      <c r="M1878" s="39">
        <f>L1878-L1878*VLOOKUP($P1878,매칭테이블!$G:$J,3,0)</f>
        <v/>
      </c>
      <c r="N1878" s="39">
        <f>VLOOKUP($P1878,매칭테이블!$G:$J,4,0)*H1878</f>
        <v/>
      </c>
      <c r="O1878" s="55">
        <f>L1878/1.1</f>
        <v/>
      </c>
      <c r="P1878" s="39">
        <f>F1878&amp;E1878&amp;I1878&amp;J1878</f>
        <v/>
      </c>
    </row>
    <row r="1879">
      <c r="B1879" s="51" t="n">
        <v>44130</v>
      </c>
      <c r="C1879" s="39" t="inlineStr">
        <is>
          <t>월</t>
        </is>
      </c>
      <c r="E1879" s="39" t="inlineStr">
        <is>
          <t>고체향수</t>
        </is>
      </c>
      <c r="F1879" s="39" t="inlineStr">
        <is>
          <t>카페24</t>
        </is>
      </c>
      <c r="H1879" s="39" t="n">
        <v>3</v>
      </c>
      <c r="I1879" s="39" t="inlineStr">
        <is>
          <t>이그나이트</t>
        </is>
      </c>
      <c r="J1879" s="20" t="n">
        <v>200720</v>
      </c>
      <c r="L1879" s="39">
        <f>VLOOKUP($P1879,매칭테이블!$G:$J,2,0)*H1879</f>
        <v/>
      </c>
      <c r="M1879" s="39">
        <f>L1879-L1879*VLOOKUP($P1879,매칭테이블!$G:$J,3,0)</f>
        <v/>
      </c>
      <c r="N1879" s="39">
        <f>VLOOKUP($P1879,매칭테이블!$G:$J,4,0)*H1879</f>
        <v/>
      </c>
      <c r="O1879" s="55">
        <f>L1879/1.1</f>
        <v/>
      </c>
      <c r="P1879" s="39">
        <f>F1879&amp;E1879&amp;I1879&amp;J1879</f>
        <v/>
      </c>
    </row>
    <row r="1880">
      <c r="B1880" s="51" t="n">
        <v>44130</v>
      </c>
      <c r="C1880" s="39" t="inlineStr">
        <is>
          <t>월</t>
        </is>
      </c>
      <c r="E1880" s="39" t="inlineStr">
        <is>
          <t>고체향수</t>
        </is>
      </c>
      <c r="F1880" s="39" t="inlineStr">
        <is>
          <t>카페24</t>
        </is>
      </c>
      <c r="H1880" s="39" t="n">
        <v>1</v>
      </c>
      <c r="I1880" s="39" t="inlineStr">
        <is>
          <t>이그나이트 2set</t>
        </is>
      </c>
      <c r="J1880" s="20" t="n">
        <v>200720</v>
      </c>
      <c r="L1880" s="39">
        <f>VLOOKUP($P1880,매칭테이블!$G:$J,2,0)*H1880</f>
        <v/>
      </c>
      <c r="M1880" s="39">
        <f>L1880-L1880*VLOOKUP($P1880,매칭테이블!$G:$J,3,0)</f>
        <v/>
      </c>
      <c r="N1880" s="39">
        <f>VLOOKUP($P1880,매칭테이블!$G:$J,4,0)*H1880</f>
        <v/>
      </c>
      <c r="O1880" s="55">
        <f>L1880/1.1</f>
        <v/>
      </c>
      <c r="P1880" s="39">
        <f>F1880&amp;E1880&amp;I1880&amp;J1880</f>
        <v/>
      </c>
    </row>
    <row r="1881">
      <c r="B1881" s="51" t="n">
        <v>44130</v>
      </c>
      <c r="C1881" s="39" t="inlineStr">
        <is>
          <t>월</t>
        </is>
      </c>
      <c r="E1881" s="39" t="inlineStr">
        <is>
          <t>쇼핑백</t>
        </is>
      </c>
      <c r="F1881" s="39" t="inlineStr">
        <is>
          <t>카페24</t>
        </is>
      </c>
      <c r="H1881" s="39" t="n">
        <v>7</v>
      </c>
      <c r="I1881" s="39" t="inlineStr">
        <is>
          <t>유즈쇼핑백</t>
        </is>
      </c>
      <c r="J1881" s="20" t="n">
        <v>200720</v>
      </c>
      <c r="L1881" s="39">
        <f>VLOOKUP($P1881,매칭테이블!$G:$J,2,0)*H1881</f>
        <v/>
      </c>
      <c r="M1881" s="39">
        <f>L1881-L1881*VLOOKUP($P1881,매칭테이블!$G:$J,3,0)</f>
        <v/>
      </c>
      <c r="N1881" s="39">
        <f>VLOOKUP($P1881,매칭테이블!$G:$J,4,0)*H1881</f>
        <v/>
      </c>
      <c r="O1881" s="55">
        <f>L1881/1.1</f>
        <v/>
      </c>
      <c r="P1881" s="39">
        <f>F1881&amp;E1881&amp;I1881&amp;J1881</f>
        <v/>
      </c>
    </row>
    <row r="1882">
      <c r="B1882" s="51" t="n">
        <v>44131</v>
      </c>
      <c r="C1882" s="39" t="inlineStr">
        <is>
          <t>화</t>
        </is>
      </c>
      <c r="E1882" s="39" t="inlineStr">
        <is>
          <t>고체향수</t>
        </is>
      </c>
      <c r="F1882" s="39" t="inlineStr">
        <is>
          <t>카페24</t>
        </is>
      </c>
      <c r="H1882" s="39" t="n">
        <v>17</v>
      </c>
      <c r="I1882" s="39" t="inlineStr">
        <is>
          <t>이그나이트 + 스테이포에버</t>
        </is>
      </c>
      <c r="J1882" s="20" t="n">
        <v>200720</v>
      </c>
      <c r="L1882" s="39">
        <f>VLOOKUP($P1882,매칭테이블!$G:$J,2,0)*H1882</f>
        <v/>
      </c>
      <c r="M1882" s="39">
        <f>L1882-L1882*VLOOKUP($P1882,매칭테이블!$G:$J,3,0)</f>
        <v/>
      </c>
      <c r="N1882" s="39">
        <f>VLOOKUP($P1882,매칭테이블!$G:$J,4,0)*H1882</f>
        <v/>
      </c>
      <c r="O1882" s="55">
        <f>L1882/1.1</f>
        <v/>
      </c>
      <c r="P1882" s="39">
        <f>F1882&amp;E1882&amp;I1882&amp;J1882</f>
        <v/>
      </c>
    </row>
    <row r="1883">
      <c r="B1883" s="51" t="n">
        <v>44131</v>
      </c>
      <c r="C1883" s="39" t="inlineStr">
        <is>
          <t>화</t>
        </is>
      </c>
      <c r="E1883" s="39" t="inlineStr">
        <is>
          <t>고체향수</t>
        </is>
      </c>
      <c r="F1883" s="39" t="inlineStr">
        <is>
          <t>카페24</t>
        </is>
      </c>
      <c r="H1883" s="39" t="n">
        <v>216</v>
      </c>
      <c r="I1883" s="39" t="inlineStr">
        <is>
          <t>스테이포에버</t>
        </is>
      </c>
      <c r="J1883" s="20" t="n">
        <v>200720</v>
      </c>
      <c r="L1883" s="39">
        <f>VLOOKUP($P1883,매칭테이블!$G:$J,2,0)*H1883</f>
        <v/>
      </c>
      <c r="M1883" s="39">
        <f>L1883-L1883*VLOOKUP($P1883,매칭테이블!$G:$J,3,0)</f>
        <v/>
      </c>
      <c r="N1883" s="39">
        <f>VLOOKUP($P1883,매칭테이블!$G:$J,4,0)*H1883</f>
        <v/>
      </c>
      <c r="O1883" s="55">
        <f>L1883/1.1</f>
        <v/>
      </c>
      <c r="P1883" s="39">
        <f>F1883&amp;E1883&amp;I1883&amp;J1883</f>
        <v/>
      </c>
    </row>
    <row r="1884">
      <c r="B1884" s="51" t="n">
        <v>44131</v>
      </c>
      <c r="C1884" s="39" t="inlineStr">
        <is>
          <t>화</t>
        </is>
      </c>
      <c r="E1884" s="39" t="inlineStr">
        <is>
          <t>고체향수</t>
        </is>
      </c>
      <c r="F1884" s="39" t="inlineStr">
        <is>
          <t>카페24</t>
        </is>
      </c>
      <c r="G1884" s="39" t="n"/>
      <c r="H1884" s="39" t="n">
        <v>56</v>
      </c>
      <c r="I1884" s="39" t="inlineStr">
        <is>
          <t>스테이포에버 2set</t>
        </is>
      </c>
      <c r="J1884" s="20" t="n">
        <v>200720</v>
      </c>
      <c r="L1884" s="39">
        <f>VLOOKUP($P1884,매칭테이블!$G:$J,2,0)*H1884</f>
        <v/>
      </c>
      <c r="M1884" s="39">
        <f>L1884-L1884*VLOOKUP($P1884,매칭테이블!$G:$J,3,0)</f>
        <v/>
      </c>
      <c r="N1884" s="39">
        <f>VLOOKUP($P1884,매칭테이블!$G:$J,4,0)*H1884</f>
        <v/>
      </c>
      <c r="O1884" s="55">
        <f>L1884/1.1</f>
        <v/>
      </c>
      <c r="P1884" s="39">
        <f>F1884&amp;E1884&amp;I1884&amp;J1884</f>
        <v/>
      </c>
    </row>
    <row r="1885">
      <c r="B1885" s="51" t="n">
        <v>44131</v>
      </c>
      <c r="C1885" s="39" t="inlineStr">
        <is>
          <t>화</t>
        </is>
      </c>
      <c r="E1885" s="39" t="inlineStr">
        <is>
          <t>고체향수</t>
        </is>
      </c>
      <c r="F1885" s="39" t="inlineStr">
        <is>
          <t>카페24</t>
        </is>
      </c>
      <c r="H1885" s="39" t="n">
        <v>4</v>
      </c>
      <c r="I1885" s="39" t="inlineStr">
        <is>
          <t>이그나이트</t>
        </is>
      </c>
      <c r="J1885" s="20" t="n">
        <v>200720</v>
      </c>
      <c r="L1885" s="39">
        <f>VLOOKUP($P1885,매칭테이블!$G:$J,2,0)*H1885</f>
        <v/>
      </c>
      <c r="M1885" s="39">
        <f>L1885-L1885*VLOOKUP($P1885,매칭테이블!$G:$J,3,0)</f>
        <v/>
      </c>
      <c r="N1885" s="39">
        <f>VLOOKUP($P1885,매칭테이블!$G:$J,4,0)*H1885</f>
        <v/>
      </c>
      <c r="O1885" s="55">
        <f>L1885/1.1</f>
        <v/>
      </c>
      <c r="P1885" s="39">
        <f>F1885&amp;E1885&amp;I1885&amp;J1885</f>
        <v/>
      </c>
    </row>
    <row r="1886">
      <c r="B1886" s="51" t="n">
        <v>44131</v>
      </c>
      <c r="C1886" s="39" t="inlineStr">
        <is>
          <t>화</t>
        </is>
      </c>
      <c r="E1886" s="39" t="inlineStr">
        <is>
          <t>쇼핑백</t>
        </is>
      </c>
      <c r="F1886" s="39" t="inlineStr">
        <is>
          <t>카페24</t>
        </is>
      </c>
      <c r="H1886" s="39" t="n">
        <v>3</v>
      </c>
      <c r="I1886" s="39" t="inlineStr">
        <is>
          <t>유즈쇼핑백</t>
        </is>
      </c>
      <c r="J1886" s="20" t="n">
        <v>200720</v>
      </c>
      <c r="L1886" s="39">
        <f>VLOOKUP($P1886,매칭테이블!$G:$J,2,0)*H1886</f>
        <v/>
      </c>
      <c r="M1886" s="39">
        <f>L1886-L1886*VLOOKUP($P1886,매칭테이블!$G:$J,3,0)</f>
        <v/>
      </c>
      <c r="N1886" s="39">
        <f>VLOOKUP($P1886,매칭테이블!$G:$J,4,0)*H1886</f>
        <v/>
      </c>
      <c r="O1886" s="55">
        <f>L1886/1.1</f>
        <v/>
      </c>
      <c r="P1886" s="39">
        <f>F1886&amp;E1886&amp;I1886&amp;J1886</f>
        <v/>
      </c>
    </row>
    <row r="1887">
      <c r="B1887" s="51" t="n">
        <v>44132</v>
      </c>
      <c r="C1887" s="39" t="inlineStr">
        <is>
          <t>수</t>
        </is>
      </c>
      <c r="E1887" s="39" t="inlineStr">
        <is>
          <t>고체향수</t>
        </is>
      </c>
      <c r="F1887" s="39" t="inlineStr">
        <is>
          <t>유즈 CS</t>
        </is>
      </c>
      <c r="H1887" s="39" t="n">
        <v>5</v>
      </c>
      <c r="I1887" s="39" t="inlineStr">
        <is>
          <t>스테이포에버</t>
        </is>
      </c>
      <c r="J1887" s="39" t="n">
        <v>200520</v>
      </c>
      <c r="L1887" s="39">
        <f>VLOOKUP($P1887,매칭테이블!$G:$J,2,0)*H1887</f>
        <v/>
      </c>
      <c r="M1887" s="39">
        <f>L1887-L1887*VLOOKUP($P1887,매칭테이블!$G:$J,3,0)</f>
        <v/>
      </c>
      <c r="N1887" s="39">
        <f>VLOOKUP($P1887,매칭테이블!$G:$J,4,0)*H1887</f>
        <v/>
      </c>
      <c r="O1887" s="55">
        <f>L1887/1.1</f>
        <v/>
      </c>
      <c r="P1887" s="39">
        <f>F1887&amp;E1887&amp;I1887&amp;J1887</f>
        <v/>
      </c>
    </row>
    <row r="1888">
      <c r="B1888" s="51" t="n">
        <v>44132</v>
      </c>
      <c r="C1888" s="39" t="inlineStr">
        <is>
          <t>수</t>
        </is>
      </c>
      <c r="E1888" s="39" t="inlineStr">
        <is>
          <t>고체향수</t>
        </is>
      </c>
      <c r="F1888" s="39" t="inlineStr">
        <is>
          <t>유즈 CS</t>
        </is>
      </c>
      <c r="H1888" s="39" t="n">
        <v>5</v>
      </c>
      <c r="I1888" s="39" t="inlineStr">
        <is>
          <t>이그나이트</t>
        </is>
      </c>
      <c r="J1888" s="39" t="n">
        <v>200520</v>
      </c>
      <c r="L1888" s="39">
        <f>VLOOKUP($P1888,매칭테이블!$G:$J,2,0)*H1888</f>
        <v/>
      </c>
      <c r="M1888" s="39">
        <f>L1888-L1888*VLOOKUP($P1888,매칭테이블!$G:$J,3,0)</f>
        <v/>
      </c>
      <c r="N1888" s="39">
        <f>VLOOKUP($P1888,매칭테이블!$G:$J,4,0)*H1888</f>
        <v/>
      </c>
      <c r="O1888" s="55">
        <f>L1888/1.1</f>
        <v/>
      </c>
      <c r="P1888" s="39">
        <f>F1888&amp;E1888&amp;I1888&amp;J1888</f>
        <v/>
      </c>
    </row>
    <row r="1889">
      <c r="B1889" s="51" t="n">
        <v>44132</v>
      </c>
      <c r="C1889" s="39" t="inlineStr">
        <is>
          <t>수</t>
        </is>
      </c>
      <c r="E1889" s="39" t="inlineStr">
        <is>
          <t>쇼핑백</t>
        </is>
      </c>
      <c r="F1889" s="39" t="inlineStr">
        <is>
          <t>유즈 CS</t>
        </is>
      </c>
      <c r="H1889" s="39" t="n">
        <v>5</v>
      </c>
      <c r="I1889" s="39" t="inlineStr">
        <is>
          <t>유즈쇼핑백</t>
        </is>
      </c>
      <c r="J1889" s="39" t="n">
        <v>200520</v>
      </c>
      <c r="L1889" s="39">
        <f>VLOOKUP($P1889,매칭테이블!$G:$J,2,0)*H1889</f>
        <v/>
      </c>
      <c r="M1889" s="39">
        <f>L1889-L1889*VLOOKUP($P1889,매칭테이블!$G:$J,3,0)</f>
        <v/>
      </c>
      <c r="N1889" s="39">
        <f>VLOOKUP($P1889,매칭테이블!$G:$J,4,0)*H1889</f>
        <v/>
      </c>
      <c r="O1889" s="55">
        <f>L1889/1.1</f>
        <v/>
      </c>
      <c r="P1889" s="39">
        <f>F1889&amp;E1889&amp;I1889&amp;J1889</f>
        <v/>
      </c>
    </row>
    <row r="1890">
      <c r="B1890" s="51" t="n">
        <v>44132</v>
      </c>
      <c r="C1890" s="39" t="inlineStr">
        <is>
          <t>수</t>
        </is>
      </c>
      <c r="E1890" s="39" t="inlineStr">
        <is>
          <t>고체향수</t>
        </is>
      </c>
      <c r="F1890" s="39" t="inlineStr">
        <is>
          <t>카페24</t>
        </is>
      </c>
      <c r="H1890" s="39" t="n">
        <v>25</v>
      </c>
      <c r="I1890" s="39" t="inlineStr">
        <is>
          <t>이그나이트 + 스테이포에버</t>
        </is>
      </c>
      <c r="J1890" s="20" t="n">
        <v>200720</v>
      </c>
      <c r="L1890" s="39">
        <f>VLOOKUP($P1890,매칭테이블!$G:$J,2,0)*H1890</f>
        <v/>
      </c>
      <c r="M1890" s="39">
        <f>L1890-L1890*VLOOKUP($P1890,매칭테이블!$G:$J,3,0)</f>
        <v/>
      </c>
      <c r="N1890" s="39">
        <f>VLOOKUP($P1890,매칭테이블!$G:$J,4,0)*H1890</f>
        <v/>
      </c>
      <c r="O1890" s="55">
        <f>L1890/1.1</f>
        <v/>
      </c>
      <c r="P1890" s="39">
        <f>F1890&amp;E1890&amp;I1890&amp;J1890</f>
        <v/>
      </c>
    </row>
    <row r="1891">
      <c r="B1891" s="51" t="n">
        <v>44132</v>
      </c>
      <c r="C1891" s="39" t="inlineStr">
        <is>
          <t>수</t>
        </is>
      </c>
      <c r="E1891" s="39" t="inlineStr">
        <is>
          <t>고체향수</t>
        </is>
      </c>
      <c r="F1891" s="39" t="inlineStr">
        <is>
          <t>카페24</t>
        </is>
      </c>
      <c r="H1891" s="39" t="n">
        <v>1</v>
      </c>
      <c r="I1891" s="39" t="inlineStr">
        <is>
          <t>이그나이트 + 스테이포에버 2set</t>
        </is>
      </c>
      <c r="J1891" s="20" t="n">
        <v>200720</v>
      </c>
      <c r="L1891" s="39">
        <f>VLOOKUP($P1891,매칭테이블!$G:$J,2,0)*H1891</f>
        <v/>
      </c>
      <c r="M1891" s="39">
        <f>L1891-L1891*VLOOKUP($P1891,매칭테이블!$G:$J,3,0)</f>
        <v/>
      </c>
      <c r="N1891" s="39">
        <f>VLOOKUP($P1891,매칭테이블!$G:$J,4,0)*H1891</f>
        <v/>
      </c>
      <c r="O1891" s="55">
        <f>L1891/1.1</f>
        <v/>
      </c>
      <c r="P1891" s="39">
        <f>F1891&amp;E1891&amp;I1891&amp;J1891</f>
        <v/>
      </c>
    </row>
    <row r="1892">
      <c r="B1892" s="51" t="n">
        <v>44132</v>
      </c>
      <c r="C1892" s="39" t="inlineStr">
        <is>
          <t>수</t>
        </is>
      </c>
      <c r="E1892" s="39" t="inlineStr">
        <is>
          <t>고체향수</t>
        </is>
      </c>
      <c r="F1892" s="39" t="inlineStr">
        <is>
          <t>카페24</t>
        </is>
      </c>
      <c r="H1892" s="39" t="n">
        <v>253</v>
      </c>
      <c r="I1892" s="39" t="inlineStr">
        <is>
          <t>스테이포에버</t>
        </is>
      </c>
      <c r="J1892" s="20" t="n">
        <v>200720</v>
      </c>
      <c r="L1892" s="39">
        <f>VLOOKUP($P1892,매칭테이블!$G:$J,2,0)*H1892</f>
        <v/>
      </c>
      <c r="M1892" s="39">
        <f>L1892-L1892*VLOOKUP($P1892,매칭테이블!$G:$J,3,0)</f>
        <v/>
      </c>
      <c r="N1892" s="39">
        <f>VLOOKUP($P1892,매칭테이블!$G:$J,4,0)*H1892</f>
        <v/>
      </c>
      <c r="O1892" s="55">
        <f>L1892/1.1</f>
        <v/>
      </c>
      <c r="P1892" s="39">
        <f>F1892&amp;E1892&amp;I1892&amp;J1892</f>
        <v/>
      </c>
    </row>
    <row r="1893">
      <c r="B1893" s="51" t="n">
        <v>44132</v>
      </c>
      <c r="C1893" s="39" t="inlineStr">
        <is>
          <t>수</t>
        </is>
      </c>
      <c r="E1893" s="39" t="inlineStr">
        <is>
          <t>고체향수</t>
        </is>
      </c>
      <c r="F1893" s="39" t="inlineStr">
        <is>
          <t>카페24</t>
        </is>
      </c>
      <c r="G1893" s="39" t="n"/>
      <c r="H1893" s="39" t="n">
        <v>59</v>
      </c>
      <c r="I1893" s="39" t="inlineStr">
        <is>
          <t>스테이포에버 2set</t>
        </is>
      </c>
      <c r="J1893" s="20" t="n">
        <v>200720</v>
      </c>
      <c r="L1893" s="39">
        <f>VLOOKUP($P1893,매칭테이블!$G:$J,2,0)*H1893</f>
        <v/>
      </c>
      <c r="M1893" s="39">
        <f>L1893-L1893*VLOOKUP($P1893,매칭테이블!$G:$J,3,0)</f>
        <v/>
      </c>
      <c r="N1893" s="39">
        <f>VLOOKUP($P1893,매칭테이블!$G:$J,4,0)*H1893</f>
        <v/>
      </c>
      <c r="O1893" s="55">
        <f>L1893/1.1</f>
        <v/>
      </c>
      <c r="P1893" s="39">
        <f>F1893&amp;E1893&amp;I1893&amp;J1893</f>
        <v/>
      </c>
    </row>
    <row r="1894">
      <c r="B1894" s="51" t="n">
        <v>44132</v>
      </c>
      <c r="C1894" s="39" t="inlineStr">
        <is>
          <t>수</t>
        </is>
      </c>
      <c r="E1894" s="39" t="inlineStr">
        <is>
          <t>고체향수</t>
        </is>
      </c>
      <c r="F1894" s="39" t="inlineStr">
        <is>
          <t>카페24</t>
        </is>
      </c>
      <c r="H1894" s="39" t="n">
        <v>1</v>
      </c>
      <c r="I1894" s="39" t="inlineStr">
        <is>
          <t>이그나이트</t>
        </is>
      </c>
      <c r="J1894" s="20" t="n">
        <v>200720</v>
      </c>
      <c r="L1894" s="39">
        <f>VLOOKUP($P1894,매칭테이블!$G:$J,2,0)*H1894</f>
        <v/>
      </c>
      <c r="M1894" s="39">
        <f>L1894-L1894*VLOOKUP($P1894,매칭테이블!$G:$J,3,0)</f>
        <v/>
      </c>
      <c r="N1894" s="39">
        <f>VLOOKUP($P1894,매칭테이블!$G:$J,4,0)*H1894</f>
        <v/>
      </c>
      <c r="O1894" s="55">
        <f>L1894/1.1</f>
        <v/>
      </c>
      <c r="P1894" s="39">
        <f>F1894&amp;E1894&amp;I1894&amp;J1894</f>
        <v/>
      </c>
    </row>
    <row r="1895">
      <c r="B1895" s="51" t="n">
        <v>44132</v>
      </c>
      <c r="C1895" s="39" t="inlineStr">
        <is>
          <t>수</t>
        </is>
      </c>
      <c r="E1895" s="39" t="inlineStr">
        <is>
          <t>쇼핑백</t>
        </is>
      </c>
      <c r="F1895" s="39" t="inlineStr">
        <is>
          <t>카페24</t>
        </is>
      </c>
      <c r="H1895" s="39" t="n">
        <v>6</v>
      </c>
      <c r="I1895" s="39" t="inlineStr">
        <is>
          <t>유즈쇼핑백</t>
        </is>
      </c>
      <c r="J1895" s="20" t="n">
        <v>200720</v>
      </c>
      <c r="L1895" s="39">
        <f>VLOOKUP($P1895,매칭테이블!$G:$J,2,0)*H1895</f>
        <v/>
      </c>
      <c r="M1895" s="39">
        <f>L1895-L1895*VLOOKUP($P1895,매칭테이블!$G:$J,3,0)</f>
        <v/>
      </c>
      <c r="N1895" s="39">
        <f>VLOOKUP($P1895,매칭테이블!$G:$J,4,0)*H1895</f>
        <v/>
      </c>
      <c r="O1895" s="55">
        <f>L1895/1.1</f>
        <v/>
      </c>
      <c r="P1895" s="39">
        <f>F1895&amp;E1895&amp;I1895&amp;J1895</f>
        <v/>
      </c>
    </row>
    <row r="1896">
      <c r="B1896" s="51" t="n">
        <v>44133</v>
      </c>
      <c r="C1896" s="39" t="inlineStr">
        <is>
          <t>목</t>
        </is>
      </c>
      <c r="E1896" s="39" t="inlineStr">
        <is>
          <t>고체향수</t>
        </is>
      </c>
      <c r="F1896" s="39" t="inlineStr">
        <is>
          <t>카페24</t>
        </is>
      </c>
      <c r="H1896" s="39" t="n">
        <v>10</v>
      </c>
      <c r="I1896" s="39" t="inlineStr">
        <is>
          <t>이그나이트 + 스테이포에버</t>
        </is>
      </c>
      <c r="J1896" s="20" t="n">
        <v>200720</v>
      </c>
      <c r="L1896" s="39">
        <f>VLOOKUP($P1896,매칭테이블!$G:$J,2,0)*H1896</f>
        <v/>
      </c>
      <c r="M1896" s="39">
        <f>L1896-L1896*VLOOKUP($P1896,매칭테이블!$G:$J,3,0)</f>
        <v/>
      </c>
      <c r="N1896" s="39">
        <f>VLOOKUP($P1896,매칭테이블!$G:$J,4,0)*H1896</f>
        <v/>
      </c>
      <c r="O1896" s="55">
        <f>L1896/1.1</f>
        <v/>
      </c>
      <c r="P1896" s="39">
        <f>F1896&amp;E1896&amp;I1896&amp;J1896</f>
        <v/>
      </c>
    </row>
    <row r="1897">
      <c r="B1897" s="51" t="n">
        <v>44133</v>
      </c>
      <c r="C1897" s="39" t="inlineStr">
        <is>
          <t>목</t>
        </is>
      </c>
      <c r="E1897" s="39" t="inlineStr">
        <is>
          <t>고체향수</t>
        </is>
      </c>
      <c r="F1897" s="39" t="inlineStr">
        <is>
          <t>카페24</t>
        </is>
      </c>
      <c r="H1897" s="39" t="n">
        <v>1</v>
      </c>
      <c r="I1897" s="39" t="inlineStr">
        <is>
          <t>이그나이트 + 스테이포에버 2set</t>
        </is>
      </c>
      <c r="J1897" s="20" t="n">
        <v>200720</v>
      </c>
      <c r="L1897" s="39">
        <f>VLOOKUP($P1897,매칭테이블!$G:$J,2,0)*H1897</f>
        <v/>
      </c>
      <c r="M1897" s="39">
        <f>L1897-L1897*VLOOKUP($P1897,매칭테이블!$G:$J,3,0)</f>
        <v/>
      </c>
      <c r="N1897" s="39">
        <f>VLOOKUP($P1897,매칭테이블!$G:$J,4,0)*H1897</f>
        <v/>
      </c>
      <c r="O1897" s="55">
        <f>L1897/1.1</f>
        <v/>
      </c>
      <c r="P1897" s="39">
        <f>F1897&amp;E1897&amp;I1897&amp;J1897</f>
        <v/>
      </c>
    </row>
    <row r="1898">
      <c r="B1898" s="51" t="n">
        <v>44133</v>
      </c>
      <c r="C1898" s="39" t="inlineStr">
        <is>
          <t>목</t>
        </is>
      </c>
      <c r="E1898" s="39" t="inlineStr">
        <is>
          <t>고체향수</t>
        </is>
      </c>
      <c r="F1898" s="39" t="inlineStr">
        <is>
          <t>카페24</t>
        </is>
      </c>
      <c r="H1898" s="39" t="n">
        <v>214</v>
      </c>
      <c r="I1898" s="39" t="inlineStr">
        <is>
          <t>스테이포에버</t>
        </is>
      </c>
      <c r="J1898" s="20" t="n">
        <v>200720</v>
      </c>
      <c r="L1898" s="39">
        <f>VLOOKUP($P1898,매칭테이블!$G:$J,2,0)*H1898</f>
        <v/>
      </c>
      <c r="M1898" s="39">
        <f>L1898-L1898*VLOOKUP($P1898,매칭테이블!$G:$J,3,0)</f>
        <v/>
      </c>
      <c r="N1898" s="39">
        <f>VLOOKUP($P1898,매칭테이블!$G:$J,4,0)*H1898</f>
        <v/>
      </c>
      <c r="O1898" s="55">
        <f>L1898/1.1</f>
        <v/>
      </c>
      <c r="P1898" s="39">
        <f>F1898&amp;E1898&amp;I1898&amp;J1898</f>
        <v/>
      </c>
    </row>
    <row r="1899">
      <c r="B1899" s="51" t="n">
        <v>44133</v>
      </c>
      <c r="C1899" s="39" t="inlineStr">
        <is>
          <t>목</t>
        </is>
      </c>
      <c r="E1899" s="39" t="inlineStr">
        <is>
          <t>고체향수</t>
        </is>
      </c>
      <c r="F1899" s="39" t="inlineStr">
        <is>
          <t>카페24</t>
        </is>
      </c>
      <c r="G1899" s="39" t="n"/>
      <c r="H1899" s="39" t="n">
        <v>65</v>
      </c>
      <c r="I1899" s="39" t="inlineStr">
        <is>
          <t>스테이포에버 2set</t>
        </is>
      </c>
      <c r="J1899" s="20" t="n">
        <v>200720</v>
      </c>
      <c r="L1899" s="39">
        <f>VLOOKUP($P1899,매칭테이블!$G:$J,2,0)*H1899</f>
        <v/>
      </c>
      <c r="M1899" s="39">
        <f>L1899-L1899*VLOOKUP($P1899,매칭테이블!$G:$J,3,0)</f>
        <v/>
      </c>
      <c r="N1899" s="39">
        <f>VLOOKUP($P1899,매칭테이블!$G:$J,4,0)*H1899</f>
        <v/>
      </c>
      <c r="O1899" s="55">
        <f>L1899/1.1</f>
        <v/>
      </c>
      <c r="P1899" s="39">
        <f>F1899&amp;E1899&amp;I1899&amp;J1899</f>
        <v/>
      </c>
    </row>
    <row r="1900">
      <c r="B1900" s="51" t="n">
        <v>44133</v>
      </c>
      <c r="C1900" s="39" t="inlineStr">
        <is>
          <t>목</t>
        </is>
      </c>
      <c r="E1900" s="39" t="inlineStr">
        <is>
          <t>고체향수</t>
        </is>
      </c>
      <c r="F1900" s="39" t="inlineStr">
        <is>
          <t>카페24</t>
        </is>
      </c>
      <c r="H1900" s="39" t="n">
        <v>4</v>
      </c>
      <c r="I1900" s="39" t="inlineStr">
        <is>
          <t>이그나이트</t>
        </is>
      </c>
      <c r="J1900" s="20" t="n">
        <v>200720</v>
      </c>
      <c r="L1900" s="39">
        <f>VLOOKUP($P1900,매칭테이블!$G:$J,2,0)*H1900</f>
        <v/>
      </c>
      <c r="M1900" s="39">
        <f>L1900-L1900*VLOOKUP($P1900,매칭테이블!$G:$J,3,0)</f>
        <v/>
      </c>
      <c r="N1900" s="39">
        <f>VLOOKUP($P1900,매칭테이블!$G:$J,4,0)*H1900</f>
        <v/>
      </c>
      <c r="O1900" s="55">
        <f>L1900/1.1</f>
        <v/>
      </c>
      <c r="P1900" s="39">
        <f>F1900&amp;E1900&amp;I1900&amp;J1900</f>
        <v/>
      </c>
    </row>
    <row r="1901">
      <c r="B1901" s="51" t="n">
        <v>44133</v>
      </c>
      <c r="C1901" s="39" t="inlineStr">
        <is>
          <t>목</t>
        </is>
      </c>
      <c r="E1901" s="39" t="inlineStr">
        <is>
          <t>쇼핑백</t>
        </is>
      </c>
      <c r="F1901" s="39" t="inlineStr">
        <is>
          <t>카페24</t>
        </is>
      </c>
      <c r="H1901" s="39" t="n">
        <v>7</v>
      </c>
      <c r="I1901" s="39" t="inlineStr">
        <is>
          <t>유즈쇼핑백</t>
        </is>
      </c>
      <c r="J1901" s="20" t="n">
        <v>200720</v>
      </c>
      <c r="L1901" s="39">
        <f>VLOOKUP($P1901,매칭테이블!$G:$J,2,0)*H1901</f>
        <v/>
      </c>
      <c r="M1901" s="39">
        <f>L1901-L1901*VLOOKUP($P1901,매칭테이블!$G:$J,3,0)</f>
        <v/>
      </c>
      <c r="N1901" s="39">
        <f>VLOOKUP($P1901,매칭테이블!$G:$J,4,0)*H1901</f>
        <v/>
      </c>
      <c r="O1901" s="55">
        <f>L1901/1.1</f>
        <v/>
      </c>
      <c r="P1901" s="39">
        <f>F1901&amp;E1901&amp;I1901&amp;J1901</f>
        <v/>
      </c>
    </row>
    <row r="1902">
      <c r="B1902" s="51" t="n">
        <v>44134</v>
      </c>
      <c r="C1902" s="39" t="inlineStr">
        <is>
          <t>금</t>
        </is>
      </c>
      <c r="E1902" s="39" t="inlineStr">
        <is>
          <t>고체향수</t>
        </is>
      </c>
      <c r="F1902" s="39" t="inlineStr">
        <is>
          <t>유즈 CS</t>
        </is>
      </c>
      <c r="H1902" s="39" t="n">
        <v>2</v>
      </c>
      <c r="I1902" s="39" t="inlineStr">
        <is>
          <t>스테이포에버</t>
        </is>
      </c>
      <c r="J1902" s="39" t="n">
        <v>200520</v>
      </c>
      <c r="L1902" s="39">
        <f>VLOOKUP($P1902,매칭테이블!$G:$J,2,0)*H1902</f>
        <v/>
      </c>
      <c r="M1902" s="39">
        <f>L1902-L1902*VLOOKUP($P1902,매칭테이블!$G:$J,3,0)</f>
        <v/>
      </c>
      <c r="N1902" s="39">
        <f>VLOOKUP($P1902,매칭테이블!$G:$J,4,0)*H1902</f>
        <v/>
      </c>
      <c r="O1902" s="55">
        <f>L1902/1.1</f>
        <v/>
      </c>
      <c r="P1902" s="39">
        <f>F1902&amp;E1902&amp;I1902&amp;J1902</f>
        <v/>
      </c>
    </row>
    <row r="1903">
      <c r="B1903" s="51" t="n">
        <v>44134</v>
      </c>
      <c r="C1903" s="39" t="inlineStr">
        <is>
          <t>금</t>
        </is>
      </c>
      <c r="E1903" s="39" t="inlineStr">
        <is>
          <t>고체향수</t>
        </is>
      </c>
      <c r="F1903" s="39" t="inlineStr">
        <is>
          <t>카페24</t>
        </is>
      </c>
      <c r="H1903" s="39" t="n">
        <v>13</v>
      </c>
      <c r="I1903" s="39" t="inlineStr">
        <is>
          <t>이그나이트 + 스테이포에버</t>
        </is>
      </c>
      <c r="J1903" s="20" t="n">
        <v>200720</v>
      </c>
      <c r="L1903" s="39">
        <f>VLOOKUP($P1903,매칭테이블!$G:$J,2,0)*H1903</f>
        <v/>
      </c>
      <c r="M1903" s="39">
        <f>L1903-L1903*VLOOKUP($P1903,매칭테이블!$G:$J,3,0)</f>
        <v/>
      </c>
      <c r="N1903" s="39">
        <f>VLOOKUP($P1903,매칭테이블!$G:$J,4,0)*H1903</f>
        <v/>
      </c>
      <c r="O1903" s="55">
        <f>L1903/1.1</f>
        <v/>
      </c>
      <c r="P1903" s="39">
        <f>F1903&amp;E1903&amp;I1903&amp;J1903</f>
        <v/>
      </c>
    </row>
    <row r="1904">
      <c r="B1904" s="51" t="n">
        <v>44134</v>
      </c>
      <c r="C1904" s="39" t="inlineStr">
        <is>
          <t>금</t>
        </is>
      </c>
      <c r="E1904" s="39" t="inlineStr">
        <is>
          <t>고체향수</t>
        </is>
      </c>
      <c r="F1904" s="39" t="inlineStr">
        <is>
          <t>카페24</t>
        </is>
      </c>
      <c r="H1904" s="39" t="n">
        <v>206</v>
      </c>
      <c r="I1904" s="39" t="inlineStr">
        <is>
          <t>스테이포에버</t>
        </is>
      </c>
      <c r="J1904" s="20" t="n">
        <v>200720</v>
      </c>
      <c r="L1904" s="39">
        <f>VLOOKUP($P1904,매칭테이블!$G:$J,2,0)*H1904</f>
        <v/>
      </c>
      <c r="M1904" s="39">
        <f>L1904-L1904*VLOOKUP($P1904,매칭테이블!$G:$J,3,0)</f>
        <v/>
      </c>
      <c r="N1904" s="39">
        <f>VLOOKUP($P1904,매칭테이블!$G:$J,4,0)*H1904</f>
        <v/>
      </c>
      <c r="O1904" s="55">
        <f>L1904/1.1</f>
        <v/>
      </c>
      <c r="P1904" s="39">
        <f>F1904&amp;E1904&amp;I1904&amp;J1904</f>
        <v/>
      </c>
    </row>
    <row r="1905">
      <c r="B1905" s="51" t="n">
        <v>44134</v>
      </c>
      <c r="C1905" s="39" t="inlineStr">
        <is>
          <t>금</t>
        </is>
      </c>
      <c r="E1905" s="39" t="inlineStr">
        <is>
          <t>고체향수</t>
        </is>
      </c>
      <c r="F1905" s="39" t="inlineStr">
        <is>
          <t>카페24</t>
        </is>
      </c>
      <c r="G1905" s="39" t="n"/>
      <c r="H1905" s="39" t="n">
        <v>54</v>
      </c>
      <c r="I1905" s="39" t="inlineStr">
        <is>
          <t>스테이포에버 2set</t>
        </is>
      </c>
      <c r="J1905" s="20" t="n">
        <v>200720</v>
      </c>
      <c r="L1905" s="39">
        <f>VLOOKUP($P1905,매칭테이블!$G:$J,2,0)*H1905</f>
        <v/>
      </c>
      <c r="M1905" s="39">
        <f>L1905-L1905*VLOOKUP($P1905,매칭테이블!$G:$J,3,0)</f>
        <v/>
      </c>
      <c r="N1905" s="39">
        <f>VLOOKUP($P1905,매칭테이블!$G:$J,4,0)*H1905</f>
        <v/>
      </c>
      <c r="O1905" s="55">
        <f>L1905/1.1</f>
        <v/>
      </c>
      <c r="P1905" s="39">
        <f>F1905&amp;E1905&amp;I1905&amp;J1905</f>
        <v/>
      </c>
    </row>
    <row r="1906">
      <c r="B1906" s="51" t="n">
        <v>44134</v>
      </c>
      <c r="C1906" s="39" t="inlineStr">
        <is>
          <t>금</t>
        </is>
      </c>
      <c r="E1906" s="39" t="inlineStr">
        <is>
          <t>쇼핑백</t>
        </is>
      </c>
      <c r="F1906" s="39" t="inlineStr">
        <is>
          <t>카페24</t>
        </is>
      </c>
      <c r="H1906" s="39" t="n">
        <v>1</v>
      </c>
      <c r="I1906" s="39" t="inlineStr">
        <is>
          <t>유즈쇼핑백</t>
        </is>
      </c>
      <c r="J1906" s="20" t="n">
        <v>200720</v>
      </c>
      <c r="L1906" s="39">
        <f>VLOOKUP($P1906,매칭테이블!$G:$J,2,0)*H1906</f>
        <v/>
      </c>
      <c r="M1906" s="39">
        <f>L1906-L1906*VLOOKUP($P1906,매칭테이블!$G:$J,3,0)</f>
        <v/>
      </c>
      <c r="N1906" s="39">
        <f>VLOOKUP($P1906,매칭테이블!$G:$J,4,0)*H1906</f>
        <v/>
      </c>
      <c r="O1906" s="55">
        <f>L1906/1.1</f>
        <v/>
      </c>
      <c r="P1906" s="39">
        <f>F1906&amp;E1906&amp;I1906&amp;J1906</f>
        <v/>
      </c>
    </row>
    <row r="1907">
      <c r="B1907" s="51" t="n">
        <v>44135</v>
      </c>
      <c r="C1907" s="39" t="inlineStr">
        <is>
          <t>토</t>
        </is>
      </c>
      <c r="E1907" s="39" t="inlineStr">
        <is>
          <t>고체향수</t>
        </is>
      </c>
      <c r="F1907" s="39" t="inlineStr">
        <is>
          <t>카페24</t>
        </is>
      </c>
      <c r="H1907" s="39" t="n">
        <v>17</v>
      </c>
      <c r="I1907" s="39" t="inlineStr">
        <is>
          <t>이그나이트 + 스테이포에버</t>
        </is>
      </c>
      <c r="J1907" s="20" t="n">
        <v>200720</v>
      </c>
      <c r="L1907" s="39">
        <f>VLOOKUP($P1907,매칭테이블!$G:$J,2,0)*H1907</f>
        <v/>
      </c>
      <c r="M1907" s="39">
        <f>L1907-L1907*VLOOKUP($P1907,매칭테이블!$G:$J,3,0)</f>
        <v/>
      </c>
      <c r="N1907" s="39">
        <f>VLOOKUP($P1907,매칭테이블!$G:$J,4,0)*H1907</f>
        <v/>
      </c>
      <c r="O1907" s="55">
        <f>L1907/1.1</f>
        <v/>
      </c>
      <c r="P1907" s="39">
        <f>F1907&amp;E1907&amp;I1907&amp;J1907</f>
        <v/>
      </c>
    </row>
    <row r="1908">
      <c r="B1908" s="51" t="n">
        <v>44135</v>
      </c>
      <c r="C1908" s="39" t="inlineStr">
        <is>
          <t>토</t>
        </is>
      </c>
      <c r="E1908" s="39" t="inlineStr">
        <is>
          <t>고체향수</t>
        </is>
      </c>
      <c r="F1908" s="39" t="inlineStr">
        <is>
          <t>카페24</t>
        </is>
      </c>
      <c r="H1908" s="39" t="n">
        <v>243</v>
      </c>
      <c r="I1908" s="39" t="inlineStr">
        <is>
          <t>스테이포에버</t>
        </is>
      </c>
      <c r="J1908" s="20" t="n">
        <v>200720</v>
      </c>
      <c r="L1908" s="39">
        <f>VLOOKUP($P1908,매칭테이블!$G:$J,2,0)*H1908</f>
        <v/>
      </c>
      <c r="M1908" s="39">
        <f>L1908-L1908*VLOOKUP($P1908,매칭테이블!$G:$J,3,0)</f>
        <v/>
      </c>
      <c r="N1908" s="39">
        <f>VLOOKUP($P1908,매칭테이블!$G:$J,4,0)*H1908</f>
        <v/>
      </c>
      <c r="O1908" s="55">
        <f>L1908/1.1</f>
        <v/>
      </c>
      <c r="P1908" s="39">
        <f>F1908&amp;E1908&amp;I1908&amp;J1908</f>
        <v/>
      </c>
    </row>
    <row r="1909">
      <c r="B1909" s="51" t="n">
        <v>44135</v>
      </c>
      <c r="C1909" s="39" t="inlineStr">
        <is>
          <t>토</t>
        </is>
      </c>
      <c r="E1909" s="39" t="inlineStr">
        <is>
          <t>고체향수</t>
        </is>
      </c>
      <c r="F1909" s="39" t="inlineStr">
        <is>
          <t>카페24</t>
        </is>
      </c>
      <c r="G1909" s="39" t="n"/>
      <c r="H1909" s="39" t="n">
        <v>59</v>
      </c>
      <c r="I1909" s="39" t="inlineStr">
        <is>
          <t>스테이포에버 2set</t>
        </is>
      </c>
      <c r="J1909" s="20" t="n">
        <v>200720</v>
      </c>
      <c r="L1909" s="39">
        <f>VLOOKUP($P1909,매칭테이블!$G:$J,2,0)*H1909</f>
        <v/>
      </c>
      <c r="M1909" s="39">
        <f>L1909-L1909*VLOOKUP($P1909,매칭테이블!$G:$J,3,0)</f>
        <v/>
      </c>
      <c r="N1909" s="39">
        <f>VLOOKUP($P1909,매칭테이블!$G:$J,4,0)*H1909</f>
        <v/>
      </c>
      <c r="O1909" s="55">
        <f>L1909/1.1</f>
        <v/>
      </c>
      <c r="P1909" s="39">
        <f>F1909&amp;E1909&amp;I1909&amp;J1909</f>
        <v/>
      </c>
    </row>
    <row r="1910">
      <c r="B1910" s="51" t="n">
        <v>44135</v>
      </c>
      <c r="C1910" s="39" t="inlineStr">
        <is>
          <t>토</t>
        </is>
      </c>
      <c r="E1910" s="39" t="inlineStr">
        <is>
          <t>고체향수</t>
        </is>
      </c>
      <c r="F1910" s="39" t="inlineStr">
        <is>
          <t>카페24</t>
        </is>
      </c>
      <c r="H1910" s="39" t="n">
        <v>2</v>
      </c>
      <c r="I1910" s="39" t="inlineStr">
        <is>
          <t>이그나이트</t>
        </is>
      </c>
      <c r="J1910" s="20" t="n">
        <v>200720</v>
      </c>
      <c r="L1910" s="39">
        <f>VLOOKUP($P1910,매칭테이블!$G:$J,2,0)*H1910</f>
        <v/>
      </c>
      <c r="M1910" s="39">
        <f>L1910-L1910*VLOOKUP($P1910,매칭테이블!$G:$J,3,0)</f>
        <v/>
      </c>
      <c r="N1910" s="39">
        <f>VLOOKUP($P1910,매칭테이블!$G:$J,4,0)*H1910</f>
        <v/>
      </c>
      <c r="O1910" s="55">
        <f>L1910/1.1</f>
        <v/>
      </c>
      <c r="P1910" s="39">
        <f>F1910&amp;E1910&amp;I1910&amp;J1910</f>
        <v/>
      </c>
    </row>
    <row r="1911">
      <c r="B1911" s="51" t="n">
        <v>44135</v>
      </c>
      <c r="C1911" s="39" t="inlineStr">
        <is>
          <t>토</t>
        </is>
      </c>
      <c r="E1911" s="39" t="inlineStr">
        <is>
          <t>고체향수</t>
        </is>
      </c>
      <c r="F1911" s="39" t="inlineStr">
        <is>
          <t>카페24</t>
        </is>
      </c>
      <c r="H1911" s="39" t="n">
        <v>1</v>
      </c>
      <c r="I1911" s="39" t="inlineStr">
        <is>
          <t>이그나이트 2set</t>
        </is>
      </c>
      <c r="J1911" s="20" t="n">
        <v>200720</v>
      </c>
      <c r="L1911" s="39">
        <f>VLOOKUP($P1911,매칭테이블!$G:$J,2,0)*H1911</f>
        <v/>
      </c>
      <c r="M1911" s="39">
        <f>L1911-L1911*VLOOKUP($P1911,매칭테이블!$G:$J,3,0)</f>
        <v/>
      </c>
      <c r="N1911" s="39">
        <f>VLOOKUP($P1911,매칭테이블!$G:$J,4,0)*H1911</f>
        <v/>
      </c>
      <c r="O1911" s="55">
        <f>L1911/1.1</f>
        <v/>
      </c>
      <c r="P1911" s="39">
        <f>F1911&amp;E1911&amp;I1911&amp;J1911</f>
        <v/>
      </c>
    </row>
    <row r="1912">
      <c r="B1912" s="51" t="n">
        <v>44135</v>
      </c>
      <c r="C1912" s="39" t="inlineStr">
        <is>
          <t>토</t>
        </is>
      </c>
      <c r="E1912" s="39" t="inlineStr">
        <is>
          <t>쇼핑백</t>
        </is>
      </c>
      <c r="F1912" s="39" t="inlineStr">
        <is>
          <t>카페24</t>
        </is>
      </c>
      <c r="H1912" s="39" t="n">
        <v>8</v>
      </c>
      <c r="I1912" s="39" t="inlineStr">
        <is>
          <t>유즈쇼핑백</t>
        </is>
      </c>
      <c r="J1912" s="20" t="n">
        <v>200720</v>
      </c>
      <c r="L1912" s="39">
        <f>VLOOKUP($P1912,매칭테이블!$G:$J,2,0)*H1912</f>
        <v/>
      </c>
      <c r="M1912" s="39">
        <f>L1912-L1912*VLOOKUP($P1912,매칭테이블!$G:$J,3,0)</f>
        <v/>
      </c>
      <c r="N1912" s="39">
        <f>VLOOKUP($P1912,매칭테이블!$G:$J,4,0)*H1912</f>
        <v/>
      </c>
      <c r="O1912" s="55">
        <f>L1912/1.1</f>
        <v/>
      </c>
      <c r="P1912" s="39">
        <f>F1912&amp;E1912&amp;I1912&amp;J1912</f>
        <v/>
      </c>
    </row>
    <row r="1913">
      <c r="B1913" s="51" t="n">
        <v>44136</v>
      </c>
      <c r="C1913" s="39" t="inlineStr">
        <is>
          <t>일</t>
        </is>
      </c>
      <c r="E1913" s="39" t="inlineStr">
        <is>
          <t>고체향수</t>
        </is>
      </c>
      <c r="F1913" s="39" t="inlineStr">
        <is>
          <t>카페24</t>
        </is>
      </c>
      <c r="H1913" s="39" t="n">
        <v>14</v>
      </c>
      <c r="I1913" s="39" t="inlineStr">
        <is>
          <t>이그나이트 + 스테이포에버</t>
        </is>
      </c>
      <c r="J1913" s="20" t="n">
        <v>200720</v>
      </c>
      <c r="L1913" s="39">
        <f>VLOOKUP($P1913,매칭테이블!$G:$J,2,0)*H1913</f>
        <v/>
      </c>
      <c r="M1913" s="39">
        <f>L1913-L1913*VLOOKUP($P1913,매칭테이블!$G:$J,3,0)</f>
        <v/>
      </c>
      <c r="N1913" s="39">
        <f>VLOOKUP($P1913,매칭테이블!$G:$J,4,0)*H1913</f>
        <v/>
      </c>
      <c r="O1913" s="55">
        <f>L1913/1.1</f>
        <v/>
      </c>
      <c r="P1913" s="39">
        <f>F1913&amp;E1913&amp;I1913&amp;J1913</f>
        <v/>
      </c>
    </row>
    <row r="1914">
      <c r="B1914" s="51" t="n">
        <v>44136</v>
      </c>
      <c r="C1914" s="39" t="inlineStr">
        <is>
          <t>일</t>
        </is>
      </c>
      <c r="E1914" s="39" t="inlineStr">
        <is>
          <t>고체향수</t>
        </is>
      </c>
      <c r="F1914" s="39" t="inlineStr">
        <is>
          <t>카페24</t>
        </is>
      </c>
      <c r="H1914" s="39" t="n">
        <v>291</v>
      </c>
      <c r="I1914" s="39" t="inlineStr">
        <is>
          <t>스테이포에버</t>
        </is>
      </c>
      <c r="J1914" s="20" t="n">
        <v>200720</v>
      </c>
      <c r="L1914" s="39">
        <f>VLOOKUP($P1914,매칭테이블!$G:$J,2,0)*H1914</f>
        <v/>
      </c>
      <c r="M1914" s="39">
        <f>L1914-L1914*VLOOKUP($P1914,매칭테이블!$G:$J,3,0)</f>
        <v/>
      </c>
      <c r="N1914" s="39">
        <f>VLOOKUP($P1914,매칭테이블!$G:$J,4,0)*H1914</f>
        <v/>
      </c>
      <c r="O1914" s="55">
        <f>L1914/1.1</f>
        <v/>
      </c>
      <c r="P1914" s="39">
        <f>F1914&amp;E1914&amp;I1914&amp;J1914</f>
        <v/>
      </c>
    </row>
    <row r="1915">
      <c r="B1915" s="51" t="n">
        <v>44136</v>
      </c>
      <c r="C1915" s="39" t="inlineStr">
        <is>
          <t>일</t>
        </is>
      </c>
      <c r="E1915" s="39" t="inlineStr">
        <is>
          <t>고체향수</t>
        </is>
      </c>
      <c r="F1915" s="39" t="inlineStr">
        <is>
          <t>카페24</t>
        </is>
      </c>
      <c r="G1915" s="39" t="n"/>
      <c r="H1915" s="39" t="n">
        <v>71</v>
      </c>
      <c r="I1915" s="39" t="inlineStr">
        <is>
          <t>스테이포에버 2set</t>
        </is>
      </c>
      <c r="J1915" s="20" t="n">
        <v>200720</v>
      </c>
      <c r="L1915" s="39">
        <f>VLOOKUP($P1915,매칭테이블!$G:$J,2,0)*H1915</f>
        <v/>
      </c>
      <c r="M1915" s="39">
        <f>L1915-L1915*VLOOKUP($P1915,매칭테이블!$G:$J,3,0)</f>
        <v/>
      </c>
      <c r="N1915" s="39">
        <f>VLOOKUP($P1915,매칭테이블!$G:$J,4,0)*H1915</f>
        <v/>
      </c>
      <c r="O1915" s="55">
        <f>L1915/1.1</f>
        <v/>
      </c>
      <c r="P1915" s="39">
        <f>F1915&amp;E1915&amp;I1915&amp;J1915</f>
        <v/>
      </c>
    </row>
    <row r="1916">
      <c r="B1916" s="51" t="n">
        <v>44136</v>
      </c>
      <c r="C1916" s="39" t="inlineStr">
        <is>
          <t>일</t>
        </is>
      </c>
      <c r="E1916" s="39" t="inlineStr">
        <is>
          <t>고체향수</t>
        </is>
      </c>
      <c r="F1916" s="39" t="inlineStr">
        <is>
          <t>카페24</t>
        </is>
      </c>
      <c r="H1916" s="39" t="n">
        <v>1</v>
      </c>
      <c r="I1916" s="39" t="inlineStr">
        <is>
          <t>이그나이트</t>
        </is>
      </c>
      <c r="J1916" s="20" t="n">
        <v>200720</v>
      </c>
      <c r="L1916" s="39">
        <f>VLOOKUP($P1916,매칭테이블!$G:$J,2,0)*H1916</f>
        <v/>
      </c>
      <c r="M1916" s="39">
        <f>L1916-L1916*VLOOKUP($P1916,매칭테이블!$G:$J,3,0)</f>
        <v/>
      </c>
      <c r="N1916" s="39">
        <f>VLOOKUP($P1916,매칭테이블!$G:$J,4,0)*H1916</f>
        <v/>
      </c>
      <c r="O1916" s="55">
        <f>L1916/1.1</f>
        <v/>
      </c>
      <c r="P1916" s="39">
        <f>F1916&amp;E1916&amp;I1916&amp;J1916</f>
        <v/>
      </c>
    </row>
    <row r="1917">
      <c r="B1917" s="51" t="n">
        <v>44136</v>
      </c>
      <c r="C1917" s="39" t="inlineStr">
        <is>
          <t>일</t>
        </is>
      </c>
      <c r="E1917" s="39" t="inlineStr">
        <is>
          <t>쇼핑백</t>
        </is>
      </c>
      <c r="F1917" s="39" t="inlineStr">
        <is>
          <t>카페24</t>
        </is>
      </c>
      <c r="H1917" s="39" t="n">
        <v>7</v>
      </c>
      <c r="I1917" s="39" t="inlineStr">
        <is>
          <t>유즈쇼핑백</t>
        </is>
      </c>
      <c r="J1917" s="20" t="n">
        <v>200720</v>
      </c>
      <c r="L1917" s="39">
        <f>VLOOKUP($P1917,매칭테이블!$G:$J,2,0)*H1917</f>
        <v/>
      </c>
      <c r="M1917" s="39">
        <f>L1917-L1917*VLOOKUP($P1917,매칭테이블!$G:$J,3,0)</f>
        <v/>
      </c>
      <c r="N1917" s="39">
        <f>VLOOKUP($P1917,매칭테이블!$G:$J,4,0)*H1917</f>
        <v/>
      </c>
      <c r="O1917" s="55">
        <f>L1917/1.1</f>
        <v/>
      </c>
      <c r="P1917" s="39">
        <f>F1917&amp;E1917&amp;I1917&amp;J1917</f>
        <v/>
      </c>
    </row>
    <row r="1918">
      <c r="B1918" s="51" t="n">
        <v>44137</v>
      </c>
      <c r="C1918" s="39" t="inlineStr">
        <is>
          <t>월</t>
        </is>
      </c>
      <c r="E1918" s="39" t="inlineStr">
        <is>
          <t>고체향수</t>
        </is>
      </c>
      <c r="F1918" s="39" t="inlineStr">
        <is>
          <t>카페24</t>
        </is>
      </c>
      <c r="H1918" s="39" t="n">
        <v>17</v>
      </c>
      <c r="I1918" s="39" t="inlineStr">
        <is>
          <t>이그나이트 + 스테이포에버</t>
        </is>
      </c>
      <c r="J1918" s="20" t="n">
        <v>200720</v>
      </c>
      <c r="L1918" s="39">
        <f>VLOOKUP($P1918,매칭테이블!$G:$J,2,0)*H1918</f>
        <v/>
      </c>
      <c r="M1918" s="39">
        <f>L1918-L1918*VLOOKUP($P1918,매칭테이블!$G:$J,3,0)</f>
        <v/>
      </c>
      <c r="N1918" s="39">
        <f>VLOOKUP($P1918,매칭테이블!$G:$J,4,0)*H1918</f>
        <v/>
      </c>
      <c r="O1918" s="55">
        <f>L1918/1.1</f>
        <v/>
      </c>
      <c r="P1918" s="39">
        <f>F1918&amp;E1918&amp;I1918&amp;J1918</f>
        <v/>
      </c>
    </row>
    <row r="1919">
      <c r="B1919" s="51" t="n">
        <v>44137</v>
      </c>
      <c r="C1919" s="39" t="inlineStr">
        <is>
          <t>월</t>
        </is>
      </c>
      <c r="E1919" s="39" t="inlineStr">
        <is>
          <t>고체향수</t>
        </is>
      </c>
      <c r="F1919" s="39" t="inlineStr">
        <is>
          <t>카페24</t>
        </is>
      </c>
      <c r="H1919" s="39" t="n">
        <v>267</v>
      </c>
      <c r="I1919" s="39" t="inlineStr">
        <is>
          <t>스테이포에버</t>
        </is>
      </c>
      <c r="J1919" s="20" t="n">
        <v>200720</v>
      </c>
      <c r="L1919" s="39">
        <f>VLOOKUP($P1919,매칭테이블!$G:$J,2,0)*H1919</f>
        <v/>
      </c>
      <c r="M1919" s="39">
        <f>L1919-L1919*VLOOKUP($P1919,매칭테이블!$G:$J,3,0)</f>
        <v/>
      </c>
      <c r="N1919" s="39">
        <f>VLOOKUP($P1919,매칭테이블!$G:$J,4,0)*H1919</f>
        <v/>
      </c>
      <c r="O1919" s="55">
        <f>L1919/1.1</f>
        <v/>
      </c>
      <c r="P1919" s="39">
        <f>F1919&amp;E1919&amp;I1919&amp;J1919</f>
        <v/>
      </c>
    </row>
    <row r="1920">
      <c r="B1920" s="51" t="n">
        <v>44137</v>
      </c>
      <c r="C1920" s="39" t="inlineStr">
        <is>
          <t>월</t>
        </is>
      </c>
      <c r="E1920" s="39" t="inlineStr">
        <is>
          <t>고체향수</t>
        </is>
      </c>
      <c r="F1920" s="39" t="inlineStr">
        <is>
          <t>카페24</t>
        </is>
      </c>
      <c r="G1920" s="39" t="n"/>
      <c r="H1920" s="39" t="n">
        <v>66</v>
      </c>
      <c r="I1920" s="39" t="inlineStr">
        <is>
          <t>스테이포에버 2set</t>
        </is>
      </c>
      <c r="J1920" s="20" t="n">
        <v>200720</v>
      </c>
      <c r="L1920" s="39">
        <f>VLOOKUP($P1920,매칭테이블!$G:$J,2,0)*H1920</f>
        <v/>
      </c>
      <c r="M1920" s="39">
        <f>L1920-L1920*VLOOKUP($P1920,매칭테이블!$G:$J,3,0)</f>
        <v/>
      </c>
      <c r="N1920" s="39">
        <f>VLOOKUP($P1920,매칭테이블!$G:$J,4,0)*H1920</f>
        <v/>
      </c>
      <c r="O1920" s="55">
        <f>L1920/1.1</f>
        <v/>
      </c>
      <c r="P1920" s="39">
        <f>F1920&amp;E1920&amp;I1920&amp;J1920</f>
        <v/>
      </c>
    </row>
    <row r="1921">
      <c r="B1921" s="51" t="n">
        <v>44137</v>
      </c>
      <c r="C1921" s="39" t="inlineStr">
        <is>
          <t>월</t>
        </is>
      </c>
      <c r="E1921" s="39" t="inlineStr">
        <is>
          <t>고체향수</t>
        </is>
      </c>
      <c r="F1921" s="39" t="inlineStr">
        <is>
          <t>카페24</t>
        </is>
      </c>
      <c r="H1921" s="39" t="n">
        <v>3</v>
      </c>
      <c r="I1921" s="39" t="inlineStr">
        <is>
          <t>이그나이트</t>
        </is>
      </c>
      <c r="J1921" s="20" t="n">
        <v>200720</v>
      </c>
      <c r="L1921" s="39">
        <f>VLOOKUP($P1921,매칭테이블!$G:$J,2,0)*H1921</f>
        <v/>
      </c>
      <c r="M1921" s="39">
        <f>L1921-L1921*VLOOKUP($P1921,매칭테이블!$G:$J,3,0)</f>
        <v/>
      </c>
      <c r="N1921" s="39">
        <f>VLOOKUP($P1921,매칭테이블!$G:$J,4,0)*H1921</f>
        <v/>
      </c>
      <c r="O1921" s="55">
        <f>L1921/1.1</f>
        <v/>
      </c>
      <c r="P1921" s="39">
        <f>F1921&amp;E1921&amp;I1921&amp;J1921</f>
        <v/>
      </c>
    </row>
    <row r="1922">
      <c r="B1922" s="51" t="n">
        <v>44137</v>
      </c>
      <c r="C1922" s="39" t="inlineStr">
        <is>
          <t>월</t>
        </is>
      </c>
      <c r="E1922" s="39" t="inlineStr">
        <is>
          <t>고체향수</t>
        </is>
      </c>
      <c r="F1922" s="39" t="inlineStr">
        <is>
          <t>카페24</t>
        </is>
      </c>
      <c r="H1922" s="39" t="n">
        <v>1</v>
      </c>
      <c r="I1922" s="39" t="inlineStr">
        <is>
          <t>이그나이트 2set</t>
        </is>
      </c>
      <c r="J1922" s="20" t="n">
        <v>200720</v>
      </c>
      <c r="L1922" s="39">
        <f>VLOOKUP($P1922,매칭테이블!$G:$J,2,0)*H1922</f>
        <v/>
      </c>
      <c r="M1922" s="39">
        <f>L1922-L1922*VLOOKUP($P1922,매칭테이블!$G:$J,3,0)</f>
        <v/>
      </c>
      <c r="N1922" s="39">
        <f>VLOOKUP($P1922,매칭테이블!$G:$J,4,0)*H1922</f>
        <v/>
      </c>
      <c r="O1922" s="55">
        <f>L1922/1.1</f>
        <v/>
      </c>
      <c r="P1922" s="39">
        <f>F1922&amp;E1922&amp;I1922&amp;J1922</f>
        <v/>
      </c>
    </row>
    <row r="1923">
      <c r="B1923" s="51" t="n">
        <v>44137</v>
      </c>
      <c r="C1923" s="39" t="inlineStr">
        <is>
          <t>월</t>
        </is>
      </c>
      <c r="E1923" s="39" t="inlineStr">
        <is>
          <t>쇼핑백</t>
        </is>
      </c>
      <c r="F1923" s="39" t="inlineStr">
        <is>
          <t>카페24</t>
        </is>
      </c>
      <c r="H1923" s="39" t="n">
        <v>10</v>
      </c>
      <c r="I1923" s="39" t="inlineStr">
        <is>
          <t>유즈쇼핑백</t>
        </is>
      </c>
      <c r="J1923" s="20" t="n">
        <v>200720</v>
      </c>
      <c r="L1923" s="39">
        <f>VLOOKUP($P1923,매칭테이블!$G:$J,2,0)*H1923</f>
        <v/>
      </c>
      <c r="M1923" s="39">
        <f>L1923-L1923*VLOOKUP($P1923,매칭테이블!$G:$J,3,0)</f>
        <v/>
      </c>
      <c r="N1923" s="39">
        <f>VLOOKUP($P1923,매칭테이블!$G:$J,4,0)*H1923</f>
        <v/>
      </c>
      <c r="O1923" s="55">
        <f>L1923/1.1</f>
        <v/>
      </c>
      <c r="P1923" s="39">
        <f>F1923&amp;E1923&amp;I1923&amp;J1923</f>
        <v/>
      </c>
    </row>
    <row r="1924">
      <c r="B1924" s="51" t="n">
        <v>44138</v>
      </c>
      <c r="C1924" s="39" t="inlineStr">
        <is>
          <t>화</t>
        </is>
      </c>
      <c r="E1924" s="39" t="inlineStr">
        <is>
          <t>고체향수</t>
        </is>
      </c>
      <c r="F1924" s="39" t="inlineStr">
        <is>
          <t>카페24</t>
        </is>
      </c>
      <c r="H1924" s="39" t="n">
        <v>25</v>
      </c>
      <c r="I1924" s="39" t="inlineStr">
        <is>
          <t>이그나이트 + 스테이포에버</t>
        </is>
      </c>
      <c r="J1924" s="20" t="n">
        <v>200720</v>
      </c>
      <c r="L1924" s="39">
        <f>VLOOKUP($P1924,매칭테이블!$G:$J,2,0)*H1924</f>
        <v/>
      </c>
      <c r="M1924" s="39">
        <f>L1924-L1924*VLOOKUP($P1924,매칭테이블!$G:$J,3,0)</f>
        <v/>
      </c>
      <c r="N1924" s="39">
        <f>VLOOKUP($P1924,매칭테이블!$G:$J,4,0)*H1924</f>
        <v/>
      </c>
      <c r="O1924" s="55">
        <f>L1924/1.1</f>
        <v/>
      </c>
      <c r="P1924" s="39">
        <f>F1924&amp;E1924&amp;I1924&amp;J1924</f>
        <v/>
      </c>
    </row>
    <row r="1925">
      <c r="B1925" s="51" t="n">
        <v>44138</v>
      </c>
      <c r="C1925" s="39" t="inlineStr">
        <is>
          <t>화</t>
        </is>
      </c>
      <c r="E1925" s="39" t="inlineStr">
        <is>
          <t>고체향수</t>
        </is>
      </c>
      <c r="F1925" s="39" t="inlineStr">
        <is>
          <t>카페24</t>
        </is>
      </c>
      <c r="H1925" s="39" t="n">
        <v>270</v>
      </c>
      <c r="I1925" s="39" t="inlineStr">
        <is>
          <t>스테이포에버</t>
        </is>
      </c>
      <c r="J1925" s="20" t="n">
        <v>200720</v>
      </c>
      <c r="L1925" s="39">
        <f>VLOOKUP($P1925,매칭테이블!$G:$J,2,0)*H1925</f>
        <v/>
      </c>
      <c r="M1925" s="39">
        <f>L1925-L1925*VLOOKUP($P1925,매칭테이블!$G:$J,3,0)</f>
        <v/>
      </c>
      <c r="N1925" s="39">
        <f>VLOOKUP($P1925,매칭테이블!$G:$J,4,0)*H1925</f>
        <v/>
      </c>
      <c r="O1925" s="55">
        <f>L1925/1.1</f>
        <v/>
      </c>
      <c r="P1925" s="39">
        <f>F1925&amp;E1925&amp;I1925&amp;J1925</f>
        <v/>
      </c>
    </row>
    <row r="1926">
      <c r="B1926" s="51" t="n">
        <v>44138</v>
      </c>
      <c r="C1926" s="39" t="inlineStr">
        <is>
          <t>화</t>
        </is>
      </c>
      <c r="E1926" s="39" t="inlineStr">
        <is>
          <t>고체향수</t>
        </is>
      </c>
      <c r="F1926" s="39" t="inlineStr">
        <is>
          <t>카페24</t>
        </is>
      </c>
      <c r="G1926" s="39" t="n"/>
      <c r="H1926" s="39" t="n">
        <v>83</v>
      </c>
      <c r="I1926" s="39" t="inlineStr">
        <is>
          <t>스테이포에버 2set</t>
        </is>
      </c>
      <c r="J1926" s="20" t="n">
        <v>200720</v>
      </c>
      <c r="L1926" s="39">
        <f>VLOOKUP($P1926,매칭테이블!$G:$J,2,0)*H1926</f>
        <v/>
      </c>
      <c r="M1926" s="39">
        <f>L1926-L1926*VLOOKUP($P1926,매칭테이블!$G:$J,3,0)</f>
        <v/>
      </c>
      <c r="N1926" s="39">
        <f>VLOOKUP($P1926,매칭테이블!$G:$J,4,0)*H1926</f>
        <v/>
      </c>
      <c r="O1926" s="55">
        <f>L1926/1.1</f>
        <v/>
      </c>
      <c r="P1926" s="39">
        <f>F1926&amp;E1926&amp;I1926&amp;J1926</f>
        <v/>
      </c>
    </row>
    <row r="1927">
      <c r="B1927" s="51" t="n">
        <v>44138</v>
      </c>
      <c r="C1927" s="39" t="inlineStr">
        <is>
          <t>화</t>
        </is>
      </c>
      <c r="E1927" s="39" t="inlineStr">
        <is>
          <t>고체향수</t>
        </is>
      </c>
      <c r="F1927" s="39" t="inlineStr">
        <is>
          <t>카페24</t>
        </is>
      </c>
      <c r="H1927" s="39" t="n">
        <v>3</v>
      </c>
      <c r="I1927" s="39" t="inlineStr">
        <is>
          <t>이그나이트</t>
        </is>
      </c>
      <c r="J1927" s="20" t="n">
        <v>200720</v>
      </c>
      <c r="L1927" s="39">
        <f>VLOOKUP($P1927,매칭테이블!$G:$J,2,0)*H1927</f>
        <v/>
      </c>
      <c r="M1927" s="39">
        <f>L1927-L1927*VLOOKUP($P1927,매칭테이블!$G:$J,3,0)</f>
        <v/>
      </c>
      <c r="N1927" s="39">
        <f>VLOOKUP($P1927,매칭테이블!$G:$J,4,0)*H1927</f>
        <v/>
      </c>
      <c r="O1927" s="55">
        <f>L1927/1.1</f>
        <v/>
      </c>
      <c r="P1927" s="39">
        <f>F1927&amp;E1927&amp;I1927&amp;J1927</f>
        <v/>
      </c>
    </row>
    <row r="1928">
      <c r="B1928" s="51" t="n">
        <v>44138</v>
      </c>
      <c r="C1928" s="39" t="inlineStr">
        <is>
          <t>화</t>
        </is>
      </c>
      <c r="E1928" s="39" t="inlineStr">
        <is>
          <t>고체향수</t>
        </is>
      </c>
      <c r="F1928" s="39" t="inlineStr">
        <is>
          <t>카페24</t>
        </is>
      </c>
      <c r="H1928" s="39" t="n">
        <v>1</v>
      </c>
      <c r="I1928" s="39" t="inlineStr">
        <is>
          <t>이그나이트 2set</t>
        </is>
      </c>
      <c r="J1928" s="20" t="n">
        <v>200720</v>
      </c>
      <c r="L1928" s="39">
        <f>VLOOKUP($P1928,매칭테이블!$G:$J,2,0)*H1928</f>
        <v/>
      </c>
      <c r="M1928" s="39">
        <f>L1928-L1928*VLOOKUP($P1928,매칭테이블!$G:$J,3,0)</f>
        <v/>
      </c>
      <c r="N1928" s="39">
        <f>VLOOKUP($P1928,매칭테이블!$G:$J,4,0)*H1928</f>
        <v/>
      </c>
      <c r="O1928" s="55">
        <f>L1928/1.1</f>
        <v/>
      </c>
      <c r="P1928" s="39">
        <f>F1928&amp;E1928&amp;I1928&amp;J1928</f>
        <v/>
      </c>
    </row>
    <row r="1929">
      <c r="B1929" s="51" t="n">
        <v>44138</v>
      </c>
      <c r="C1929" s="39" t="inlineStr">
        <is>
          <t>화</t>
        </is>
      </c>
      <c r="E1929" s="39" t="inlineStr">
        <is>
          <t>쇼핑백</t>
        </is>
      </c>
      <c r="F1929" s="39" t="inlineStr">
        <is>
          <t>카페24</t>
        </is>
      </c>
      <c r="H1929" s="39" t="n">
        <v>6</v>
      </c>
      <c r="I1929" s="39" t="inlineStr">
        <is>
          <t>유즈쇼핑백</t>
        </is>
      </c>
      <c r="J1929" s="20" t="n">
        <v>200720</v>
      </c>
      <c r="L1929" s="39">
        <f>VLOOKUP($P1929,매칭테이블!$G:$J,2,0)*H1929</f>
        <v/>
      </c>
      <c r="M1929" s="39">
        <f>L1929-L1929*VLOOKUP($P1929,매칭테이블!$G:$J,3,0)</f>
        <v/>
      </c>
      <c r="N1929" s="39">
        <f>VLOOKUP($P1929,매칭테이블!$G:$J,4,0)*H1929</f>
        <v/>
      </c>
      <c r="O1929" s="55">
        <f>L1929/1.1</f>
        <v/>
      </c>
      <c r="P1929" s="39">
        <f>F1929&amp;E1929&amp;I1929&amp;J1929</f>
        <v/>
      </c>
    </row>
    <row r="1930">
      <c r="B1930" s="51" t="n">
        <v>44139</v>
      </c>
      <c r="C1930" s="39" t="inlineStr">
        <is>
          <t>수</t>
        </is>
      </c>
      <c r="E1930" s="39" t="inlineStr">
        <is>
          <t>고체향수</t>
        </is>
      </c>
      <c r="F1930" s="39" t="inlineStr">
        <is>
          <t>카페24</t>
        </is>
      </c>
      <c r="H1930" s="39" t="n">
        <v>19</v>
      </c>
      <c r="I1930" s="39" t="inlineStr">
        <is>
          <t>이그나이트 + 스테이포에버</t>
        </is>
      </c>
      <c r="J1930" s="20" t="n">
        <v>200720</v>
      </c>
      <c r="L1930" s="39">
        <f>VLOOKUP($P1930,매칭테이블!$G:$J,2,0)*H1930</f>
        <v/>
      </c>
      <c r="M1930" s="39">
        <f>L1930-L1930*VLOOKUP($P1930,매칭테이블!$G:$J,3,0)</f>
        <v/>
      </c>
      <c r="N1930" s="39">
        <f>VLOOKUP($P1930,매칭테이블!$G:$J,4,0)*H1930</f>
        <v/>
      </c>
      <c r="O1930" s="55">
        <f>L1930/1.1</f>
        <v/>
      </c>
      <c r="P1930" s="39">
        <f>F1930&amp;E1930&amp;I1930&amp;J1930</f>
        <v/>
      </c>
    </row>
    <row r="1931">
      <c r="B1931" s="51" t="n">
        <v>44139</v>
      </c>
      <c r="C1931" s="39" t="inlineStr">
        <is>
          <t>수</t>
        </is>
      </c>
      <c r="E1931" s="39" t="inlineStr">
        <is>
          <t>고체향수</t>
        </is>
      </c>
      <c r="F1931" s="39" t="inlineStr">
        <is>
          <t>카페24</t>
        </is>
      </c>
      <c r="H1931" s="39" t="n">
        <v>260</v>
      </c>
      <c r="I1931" s="39" t="inlineStr">
        <is>
          <t>스테이포에버</t>
        </is>
      </c>
      <c r="J1931" s="20" t="n">
        <v>200720</v>
      </c>
      <c r="L1931" s="39">
        <f>VLOOKUP($P1931,매칭테이블!$G:$J,2,0)*H1931</f>
        <v/>
      </c>
      <c r="M1931" s="39">
        <f>L1931-L1931*VLOOKUP($P1931,매칭테이블!$G:$J,3,0)</f>
        <v/>
      </c>
      <c r="N1931" s="39">
        <f>VLOOKUP($P1931,매칭테이블!$G:$J,4,0)*H1931</f>
        <v/>
      </c>
      <c r="O1931" s="55">
        <f>L1931/1.1</f>
        <v/>
      </c>
      <c r="P1931" s="39">
        <f>F1931&amp;E1931&amp;I1931&amp;J1931</f>
        <v/>
      </c>
    </row>
    <row r="1932">
      <c r="B1932" s="51" t="n">
        <v>44139</v>
      </c>
      <c r="C1932" s="39" t="inlineStr">
        <is>
          <t>수</t>
        </is>
      </c>
      <c r="E1932" s="39" t="inlineStr">
        <is>
          <t>고체향수</t>
        </is>
      </c>
      <c r="F1932" s="39" t="inlineStr">
        <is>
          <t>카페24</t>
        </is>
      </c>
      <c r="G1932" s="39" t="n"/>
      <c r="H1932" s="39" t="n">
        <v>70</v>
      </c>
      <c r="I1932" s="39" t="inlineStr">
        <is>
          <t>스테이포에버 2set</t>
        </is>
      </c>
      <c r="J1932" s="20" t="n">
        <v>200720</v>
      </c>
      <c r="L1932" s="39">
        <f>VLOOKUP($P1932,매칭테이블!$G:$J,2,0)*H1932</f>
        <v/>
      </c>
      <c r="M1932" s="39">
        <f>L1932-L1932*VLOOKUP($P1932,매칭테이블!$G:$J,3,0)</f>
        <v/>
      </c>
      <c r="N1932" s="39">
        <f>VLOOKUP($P1932,매칭테이블!$G:$J,4,0)*H1932</f>
        <v/>
      </c>
      <c r="O1932" s="55">
        <f>L1932/1.1</f>
        <v/>
      </c>
      <c r="P1932" s="39">
        <f>F1932&amp;E1932&amp;I1932&amp;J1932</f>
        <v/>
      </c>
    </row>
    <row r="1933">
      <c r="B1933" s="51" t="n">
        <v>44139</v>
      </c>
      <c r="C1933" s="39" t="inlineStr">
        <is>
          <t>수</t>
        </is>
      </c>
      <c r="E1933" s="39" t="inlineStr">
        <is>
          <t>고체향수</t>
        </is>
      </c>
      <c r="F1933" s="39" t="inlineStr">
        <is>
          <t>카페24</t>
        </is>
      </c>
      <c r="H1933" s="39" t="n">
        <v>3</v>
      </c>
      <c r="I1933" s="39" t="inlineStr">
        <is>
          <t>이그나이트</t>
        </is>
      </c>
      <c r="J1933" s="20" t="n">
        <v>200720</v>
      </c>
      <c r="L1933" s="39">
        <f>VLOOKUP($P1933,매칭테이블!$G:$J,2,0)*H1933</f>
        <v/>
      </c>
      <c r="M1933" s="39">
        <f>L1933-L1933*VLOOKUP($P1933,매칭테이블!$G:$J,3,0)</f>
        <v/>
      </c>
      <c r="N1933" s="39">
        <f>VLOOKUP($P1933,매칭테이블!$G:$J,4,0)*H1933</f>
        <v/>
      </c>
      <c r="O1933" s="55">
        <f>L1933/1.1</f>
        <v/>
      </c>
      <c r="P1933" s="39">
        <f>F1933&amp;E1933&amp;I1933&amp;J1933</f>
        <v/>
      </c>
    </row>
    <row r="1934">
      <c r="B1934" s="51" t="n">
        <v>44139</v>
      </c>
      <c r="C1934" s="39" t="inlineStr">
        <is>
          <t>수</t>
        </is>
      </c>
      <c r="E1934" s="39" t="inlineStr">
        <is>
          <t>고체향수</t>
        </is>
      </c>
      <c r="F1934" s="39" t="inlineStr">
        <is>
          <t>카페24</t>
        </is>
      </c>
      <c r="H1934" s="39" t="n">
        <v>2</v>
      </c>
      <c r="I1934" s="39" t="inlineStr">
        <is>
          <t>이그나이트 2set</t>
        </is>
      </c>
      <c r="J1934" s="20" t="n">
        <v>200720</v>
      </c>
      <c r="L1934" s="39">
        <f>VLOOKUP($P1934,매칭테이블!$G:$J,2,0)*H1934</f>
        <v/>
      </c>
      <c r="M1934" s="39">
        <f>L1934-L1934*VLOOKUP($P1934,매칭테이블!$G:$J,3,0)</f>
        <v/>
      </c>
      <c r="N1934" s="39">
        <f>VLOOKUP($P1934,매칭테이블!$G:$J,4,0)*H1934</f>
        <v/>
      </c>
      <c r="O1934" s="55">
        <f>L1934/1.1</f>
        <v/>
      </c>
      <c r="P1934" s="39">
        <f>F1934&amp;E1934&amp;I1934&amp;J1934</f>
        <v/>
      </c>
    </row>
    <row r="1935">
      <c r="B1935" s="51" t="n">
        <v>44139</v>
      </c>
      <c r="C1935" s="39" t="inlineStr">
        <is>
          <t>수</t>
        </is>
      </c>
      <c r="E1935" s="39" t="inlineStr">
        <is>
          <t>쇼핑백</t>
        </is>
      </c>
      <c r="F1935" s="39" t="inlineStr">
        <is>
          <t>카페24</t>
        </is>
      </c>
      <c r="H1935" s="39" t="n">
        <v>9</v>
      </c>
      <c r="I1935" s="39" t="inlineStr">
        <is>
          <t>유즈쇼핑백</t>
        </is>
      </c>
      <c r="J1935" s="20" t="n">
        <v>200720</v>
      </c>
      <c r="L1935" s="39">
        <f>VLOOKUP($P1935,매칭테이블!$G:$J,2,0)*H1935</f>
        <v/>
      </c>
      <c r="M1935" s="39">
        <f>L1935-L1935*VLOOKUP($P1935,매칭테이블!$G:$J,3,0)</f>
        <v/>
      </c>
      <c r="N1935" s="39">
        <f>VLOOKUP($P1935,매칭테이블!$G:$J,4,0)*H1935</f>
        <v/>
      </c>
      <c r="O1935" s="55">
        <f>L1935/1.1</f>
        <v/>
      </c>
      <c r="P1935" s="39">
        <f>F1935&amp;E1935&amp;I1935&amp;J1935</f>
        <v/>
      </c>
    </row>
    <row r="1936">
      <c r="B1936" s="51" t="n">
        <v>44140</v>
      </c>
      <c r="C1936" s="39" t="inlineStr">
        <is>
          <t>목</t>
        </is>
      </c>
      <c r="E1936" s="39" t="inlineStr">
        <is>
          <t>고체향수</t>
        </is>
      </c>
      <c r="F1936" s="39" t="inlineStr">
        <is>
          <t>카페24</t>
        </is>
      </c>
      <c r="H1936" s="39" t="n">
        <v>15</v>
      </c>
      <c r="I1936" s="39" t="inlineStr">
        <is>
          <t>이그나이트 + 스테이포에버</t>
        </is>
      </c>
      <c r="J1936" s="20" t="n">
        <v>200720</v>
      </c>
      <c r="L1936" s="39">
        <f>VLOOKUP($P1936,매칭테이블!$G:$J,2,0)*H1936</f>
        <v/>
      </c>
      <c r="M1936" s="39">
        <f>L1936-L1936*VLOOKUP($P1936,매칭테이블!$G:$J,3,0)</f>
        <v/>
      </c>
      <c r="N1936" s="39">
        <f>VLOOKUP($P1936,매칭테이블!$G:$J,4,0)*H1936</f>
        <v/>
      </c>
      <c r="O1936" s="55">
        <f>L1936/1.1</f>
        <v/>
      </c>
      <c r="P1936" s="39">
        <f>F1936&amp;E1936&amp;I1936&amp;J1936</f>
        <v/>
      </c>
    </row>
    <row r="1937">
      <c r="B1937" s="51" t="n">
        <v>44140</v>
      </c>
      <c r="C1937" s="39" t="inlineStr">
        <is>
          <t>목</t>
        </is>
      </c>
      <c r="E1937" s="39" t="inlineStr">
        <is>
          <t>고체향수</t>
        </is>
      </c>
      <c r="F1937" s="39" t="inlineStr">
        <is>
          <t>카페24</t>
        </is>
      </c>
      <c r="H1937" s="39" t="n">
        <v>258</v>
      </c>
      <c r="I1937" s="39" t="inlineStr">
        <is>
          <t>스테이포에버</t>
        </is>
      </c>
      <c r="J1937" s="20" t="n">
        <v>200720</v>
      </c>
      <c r="L1937" s="39">
        <f>VLOOKUP($P1937,매칭테이블!$G:$J,2,0)*H1937</f>
        <v/>
      </c>
      <c r="M1937" s="39">
        <f>L1937-L1937*VLOOKUP($P1937,매칭테이블!$G:$J,3,0)</f>
        <v/>
      </c>
      <c r="N1937" s="39">
        <f>VLOOKUP($P1937,매칭테이블!$G:$J,4,0)*H1937</f>
        <v/>
      </c>
      <c r="O1937" s="55">
        <f>L1937/1.1</f>
        <v/>
      </c>
      <c r="P1937" s="39">
        <f>F1937&amp;E1937&amp;I1937&amp;J1937</f>
        <v/>
      </c>
    </row>
    <row r="1938">
      <c r="B1938" s="51" t="n">
        <v>44140</v>
      </c>
      <c r="C1938" s="39" t="inlineStr">
        <is>
          <t>목</t>
        </is>
      </c>
      <c r="E1938" s="39" t="inlineStr">
        <is>
          <t>고체향수</t>
        </is>
      </c>
      <c r="F1938" s="39" t="inlineStr">
        <is>
          <t>카페24</t>
        </is>
      </c>
      <c r="G1938" s="39" t="n"/>
      <c r="H1938" s="39" t="n">
        <v>61</v>
      </c>
      <c r="I1938" s="39" t="inlineStr">
        <is>
          <t>스테이포에버 2set</t>
        </is>
      </c>
      <c r="J1938" s="20" t="n">
        <v>200720</v>
      </c>
      <c r="L1938" s="39">
        <f>VLOOKUP($P1938,매칭테이블!$G:$J,2,0)*H1938</f>
        <v/>
      </c>
      <c r="M1938" s="39">
        <f>L1938-L1938*VLOOKUP($P1938,매칭테이블!$G:$J,3,0)</f>
        <v/>
      </c>
      <c r="N1938" s="39">
        <f>VLOOKUP($P1938,매칭테이블!$G:$J,4,0)*H1938</f>
        <v/>
      </c>
      <c r="O1938" s="55">
        <f>L1938/1.1</f>
        <v/>
      </c>
      <c r="P1938" s="39">
        <f>F1938&amp;E1938&amp;I1938&amp;J1938</f>
        <v/>
      </c>
    </row>
    <row r="1939">
      <c r="B1939" s="51" t="n">
        <v>44140</v>
      </c>
      <c r="C1939" s="39" t="inlineStr">
        <is>
          <t>목</t>
        </is>
      </c>
      <c r="E1939" s="39" t="inlineStr">
        <is>
          <t>고체향수</t>
        </is>
      </c>
      <c r="F1939" s="39" t="inlineStr">
        <is>
          <t>카페24</t>
        </is>
      </c>
      <c r="H1939" s="39" t="n">
        <v>1</v>
      </c>
      <c r="I1939" s="39" t="inlineStr">
        <is>
          <t>이그나이트</t>
        </is>
      </c>
      <c r="J1939" s="20" t="n">
        <v>200720</v>
      </c>
      <c r="L1939" s="39">
        <f>VLOOKUP($P1939,매칭테이블!$G:$J,2,0)*H1939</f>
        <v/>
      </c>
      <c r="M1939" s="39">
        <f>L1939-L1939*VLOOKUP($P1939,매칭테이블!$G:$J,3,0)</f>
        <v/>
      </c>
      <c r="N1939" s="39">
        <f>VLOOKUP($P1939,매칭테이블!$G:$J,4,0)*H1939</f>
        <v/>
      </c>
      <c r="O1939" s="55">
        <f>L1939/1.1</f>
        <v/>
      </c>
      <c r="P1939" s="39">
        <f>F1939&amp;E1939&amp;I1939&amp;J1939</f>
        <v/>
      </c>
    </row>
    <row r="1940">
      <c r="B1940" s="51" t="n">
        <v>44140</v>
      </c>
      <c r="C1940" s="39" t="inlineStr">
        <is>
          <t>목</t>
        </is>
      </c>
      <c r="E1940" s="39" t="inlineStr">
        <is>
          <t>고체향수</t>
        </is>
      </c>
      <c r="F1940" s="39" t="inlineStr">
        <is>
          <t>카페24</t>
        </is>
      </c>
      <c r="H1940" s="39" t="n">
        <v>2</v>
      </c>
      <c r="I1940" s="39" t="inlineStr">
        <is>
          <t>이그나이트 2set</t>
        </is>
      </c>
      <c r="J1940" s="20" t="n">
        <v>200720</v>
      </c>
      <c r="L1940" s="39">
        <f>VLOOKUP($P1940,매칭테이블!$G:$J,2,0)*H1940</f>
        <v/>
      </c>
      <c r="M1940" s="39">
        <f>L1940-L1940*VLOOKUP($P1940,매칭테이블!$G:$J,3,0)</f>
        <v/>
      </c>
      <c r="N1940" s="39">
        <f>VLOOKUP($P1940,매칭테이블!$G:$J,4,0)*H1940</f>
        <v/>
      </c>
      <c r="O1940" s="55">
        <f>L1940/1.1</f>
        <v/>
      </c>
      <c r="P1940" s="39">
        <f>F1940&amp;E1940&amp;I1940&amp;J1940</f>
        <v/>
      </c>
    </row>
    <row r="1941">
      <c r="B1941" s="51" t="n">
        <v>44140</v>
      </c>
      <c r="C1941" s="39" t="inlineStr">
        <is>
          <t>목</t>
        </is>
      </c>
      <c r="E1941" s="39" t="inlineStr">
        <is>
          <t>쇼핑백</t>
        </is>
      </c>
      <c r="F1941" s="39" t="inlineStr">
        <is>
          <t>카페24</t>
        </is>
      </c>
      <c r="H1941" s="39" t="n">
        <v>2</v>
      </c>
      <c r="I1941" s="39" t="inlineStr">
        <is>
          <t>유즈쇼핑백</t>
        </is>
      </c>
      <c r="J1941" s="20" t="n">
        <v>200720</v>
      </c>
      <c r="L1941" s="39">
        <f>VLOOKUP($P1941,매칭테이블!$G:$J,2,0)*H1941</f>
        <v/>
      </c>
      <c r="M1941" s="39">
        <f>L1941-L1941*VLOOKUP($P1941,매칭테이블!$G:$J,3,0)</f>
        <v/>
      </c>
      <c r="N1941" s="39">
        <f>VLOOKUP($P1941,매칭테이블!$G:$J,4,0)*H1941</f>
        <v/>
      </c>
      <c r="O1941" s="55">
        <f>L1941/1.1</f>
        <v/>
      </c>
      <c r="P1941" s="39">
        <f>F1941&amp;E1941&amp;I1941&amp;J1941</f>
        <v/>
      </c>
    </row>
    <row r="1942">
      <c r="B1942" s="51" t="n">
        <v>44141</v>
      </c>
      <c r="C1942" s="39" t="inlineStr">
        <is>
          <t>금</t>
        </is>
      </c>
      <c r="E1942" s="39" t="inlineStr">
        <is>
          <t>고체향수</t>
        </is>
      </c>
      <c r="F1942" s="39" t="inlineStr">
        <is>
          <t>카페24</t>
        </is>
      </c>
      <c r="H1942" s="39" t="n">
        <v>19</v>
      </c>
      <c r="I1942" s="39" t="inlineStr">
        <is>
          <t>이그나이트 + 스테이포에버</t>
        </is>
      </c>
      <c r="J1942" s="20" t="n">
        <v>200720</v>
      </c>
      <c r="L1942" s="39">
        <f>VLOOKUP($P1942,매칭테이블!$G:$J,2,0)*H1942</f>
        <v/>
      </c>
      <c r="M1942" s="39">
        <f>L1942-L1942*VLOOKUP($P1942,매칭테이블!$G:$J,3,0)</f>
        <v/>
      </c>
      <c r="N1942" s="39">
        <f>VLOOKUP($P1942,매칭테이블!$G:$J,4,0)*H1942</f>
        <v/>
      </c>
      <c r="O1942" s="55">
        <f>L1942/1.1</f>
        <v/>
      </c>
      <c r="P1942" s="39">
        <f>F1942&amp;E1942&amp;I1942&amp;J1942</f>
        <v/>
      </c>
    </row>
    <row r="1943">
      <c r="B1943" s="51" t="n">
        <v>44141</v>
      </c>
      <c r="C1943" s="39" t="inlineStr">
        <is>
          <t>금</t>
        </is>
      </c>
      <c r="E1943" s="39" t="inlineStr">
        <is>
          <t>고체향수</t>
        </is>
      </c>
      <c r="F1943" s="39" t="inlineStr">
        <is>
          <t>카페24</t>
        </is>
      </c>
      <c r="H1943" s="39" t="n">
        <v>230</v>
      </c>
      <c r="I1943" s="39" t="inlineStr">
        <is>
          <t>스테이포에버</t>
        </is>
      </c>
      <c r="J1943" s="20" t="n">
        <v>200720</v>
      </c>
      <c r="L1943" s="39">
        <f>VLOOKUP($P1943,매칭테이블!$G:$J,2,0)*H1943</f>
        <v/>
      </c>
      <c r="M1943" s="39">
        <f>L1943-L1943*VLOOKUP($P1943,매칭테이블!$G:$J,3,0)</f>
        <v/>
      </c>
      <c r="N1943" s="39">
        <f>VLOOKUP($P1943,매칭테이블!$G:$J,4,0)*H1943</f>
        <v/>
      </c>
      <c r="O1943" s="55">
        <f>L1943/1.1</f>
        <v/>
      </c>
      <c r="P1943" s="39">
        <f>F1943&amp;E1943&amp;I1943&amp;J1943</f>
        <v/>
      </c>
    </row>
    <row r="1944">
      <c r="B1944" s="51" t="n">
        <v>44141</v>
      </c>
      <c r="C1944" s="39" t="inlineStr">
        <is>
          <t>금</t>
        </is>
      </c>
      <c r="E1944" s="39" t="inlineStr">
        <is>
          <t>고체향수</t>
        </is>
      </c>
      <c r="F1944" s="39" t="inlineStr">
        <is>
          <t>카페24</t>
        </is>
      </c>
      <c r="G1944" s="39" t="n"/>
      <c r="H1944" s="39" t="n">
        <v>77</v>
      </c>
      <c r="I1944" s="39" t="inlineStr">
        <is>
          <t>스테이포에버 2set</t>
        </is>
      </c>
      <c r="J1944" s="20" t="n">
        <v>200720</v>
      </c>
      <c r="L1944" s="39">
        <f>VLOOKUP($P1944,매칭테이블!$G:$J,2,0)*H1944</f>
        <v/>
      </c>
      <c r="M1944" s="39">
        <f>L1944-L1944*VLOOKUP($P1944,매칭테이블!$G:$J,3,0)</f>
        <v/>
      </c>
      <c r="N1944" s="39">
        <f>VLOOKUP($P1944,매칭테이블!$G:$J,4,0)*H1944</f>
        <v/>
      </c>
      <c r="O1944" s="55">
        <f>L1944/1.1</f>
        <v/>
      </c>
      <c r="P1944" s="39">
        <f>F1944&amp;E1944&amp;I1944&amp;J1944</f>
        <v/>
      </c>
    </row>
    <row r="1945">
      <c r="B1945" s="51" t="n">
        <v>44141</v>
      </c>
      <c r="C1945" s="39" t="inlineStr">
        <is>
          <t>금</t>
        </is>
      </c>
      <c r="E1945" s="39" t="inlineStr">
        <is>
          <t>고체향수</t>
        </is>
      </c>
      <c r="F1945" s="39" t="inlineStr">
        <is>
          <t>카페24</t>
        </is>
      </c>
      <c r="H1945" s="39" t="n">
        <v>2</v>
      </c>
      <c r="I1945" s="39" t="inlineStr">
        <is>
          <t>이그나이트</t>
        </is>
      </c>
      <c r="J1945" s="20" t="n">
        <v>200720</v>
      </c>
      <c r="L1945" s="39">
        <f>VLOOKUP($P1945,매칭테이블!$G:$J,2,0)*H1945</f>
        <v/>
      </c>
      <c r="M1945" s="39">
        <f>L1945-L1945*VLOOKUP($P1945,매칭테이블!$G:$J,3,0)</f>
        <v/>
      </c>
      <c r="N1945" s="39">
        <f>VLOOKUP($P1945,매칭테이블!$G:$J,4,0)*H1945</f>
        <v/>
      </c>
      <c r="O1945" s="55">
        <f>L1945/1.1</f>
        <v/>
      </c>
      <c r="P1945" s="39">
        <f>F1945&amp;E1945&amp;I1945&amp;J1945</f>
        <v/>
      </c>
    </row>
    <row r="1946">
      <c r="B1946" s="51" t="n">
        <v>44141</v>
      </c>
      <c r="C1946" s="39" t="inlineStr">
        <is>
          <t>금</t>
        </is>
      </c>
      <c r="E1946" s="39" t="inlineStr">
        <is>
          <t>고체향수</t>
        </is>
      </c>
      <c r="F1946" s="39" t="inlineStr">
        <is>
          <t>카페24</t>
        </is>
      </c>
      <c r="H1946" s="39" t="n">
        <v>1</v>
      </c>
      <c r="I1946" s="39" t="inlineStr">
        <is>
          <t>이그나이트 2set</t>
        </is>
      </c>
      <c r="J1946" s="20" t="n">
        <v>200720</v>
      </c>
      <c r="L1946" s="39">
        <f>VLOOKUP($P1946,매칭테이블!$G:$J,2,0)*H1946</f>
        <v/>
      </c>
      <c r="M1946" s="39">
        <f>L1946-L1946*VLOOKUP($P1946,매칭테이블!$G:$J,3,0)</f>
        <v/>
      </c>
      <c r="N1946" s="39">
        <f>VLOOKUP($P1946,매칭테이블!$G:$J,4,0)*H1946</f>
        <v/>
      </c>
      <c r="O1946" s="55">
        <f>L1946/1.1</f>
        <v/>
      </c>
      <c r="P1946" s="39">
        <f>F1946&amp;E1946&amp;I1946&amp;J1946</f>
        <v/>
      </c>
    </row>
    <row r="1947">
      <c r="B1947" s="51" t="n">
        <v>44141</v>
      </c>
      <c r="C1947" s="39" t="inlineStr">
        <is>
          <t>금</t>
        </is>
      </c>
      <c r="E1947" s="39" t="inlineStr">
        <is>
          <t>쇼핑백</t>
        </is>
      </c>
      <c r="F1947" s="39" t="inlineStr">
        <is>
          <t>카페24</t>
        </is>
      </c>
      <c r="H1947" s="39" t="n">
        <v>7</v>
      </c>
      <c r="I1947" s="39" t="inlineStr">
        <is>
          <t>유즈쇼핑백</t>
        </is>
      </c>
      <c r="J1947" s="20" t="n">
        <v>200720</v>
      </c>
      <c r="L1947" s="39">
        <f>VLOOKUP($P1947,매칭테이블!$G:$J,2,0)*H1947</f>
        <v/>
      </c>
      <c r="M1947" s="39">
        <f>L1947-L1947*VLOOKUP($P1947,매칭테이블!$G:$J,3,0)</f>
        <v/>
      </c>
      <c r="N1947" s="39">
        <f>VLOOKUP($P1947,매칭테이블!$G:$J,4,0)*H1947</f>
        <v/>
      </c>
      <c r="O1947" s="55">
        <f>L1947/1.1</f>
        <v/>
      </c>
      <c r="P1947" s="39">
        <f>F1947&amp;E1947&amp;I1947&amp;J1947</f>
        <v/>
      </c>
    </row>
    <row r="1948">
      <c r="B1948" s="51" t="n">
        <v>44142</v>
      </c>
      <c r="C1948" s="39" t="inlineStr">
        <is>
          <t>토</t>
        </is>
      </c>
      <c r="E1948" s="39" t="inlineStr">
        <is>
          <t>고체향수</t>
        </is>
      </c>
      <c r="F1948" s="39" t="inlineStr">
        <is>
          <t>카페24</t>
        </is>
      </c>
      <c r="H1948" s="39" t="n">
        <v>23</v>
      </c>
      <c r="I1948" s="39" t="inlineStr">
        <is>
          <t>이그나이트 + 스테이포에버</t>
        </is>
      </c>
      <c r="J1948" s="20" t="n">
        <v>200720</v>
      </c>
      <c r="L1948" s="39">
        <f>VLOOKUP($P1948,매칭테이블!$G:$J,2,0)*H1948</f>
        <v/>
      </c>
      <c r="M1948" s="39">
        <f>L1948-L1948*VLOOKUP($P1948,매칭테이블!$G:$J,3,0)</f>
        <v/>
      </c>
      <c r="N1948" s="39">
        <f>VLOOKUP($P1948,매칭테이블!$G:$J,4,0)*H1948</f>
        <v/>
      </c>
      <c r="O1948" s="55">
        <f>L1948/1.1</f>
        <v/>
      </c>
      <c r="P1948" s="39">
        <f>F1948&amp;E1948&amp;I1948&amp;J1948</f>
        <v/>
      </c>
    </row>
    <row r="1949">
      <c r="B1949" s="51" t="n">
        <v>44142</v>
      </c>
      <c r="C1949" s="39" t="inlineStr">
        <is>
          <t>토</t>
        </is>
      </c>
      <c r="E1949" s="39" t="inlineStr">
        <is>
          <t>고체향수</t>
        </is>
      </c>
      <c r="F1949" s="39" t="inlineStr">
        <is>
          <t>카페24</t>
        </is>
      </c>
      <c r="H1949" s="39" t="n">
        <v>280</v>
      </c>
      <c r="I1949" s="39" t="inlineStr">
        <is>
          <t>스테이포에버</t>
        </is>
      </c>
      <c r="J1949" s="20" t="n">
        <v>200720</v>
      </c>
      <c r="L1949" s="39">
        <f>VLOOKUP($P1949,매칭테이블!$G:$J,2,0)*H1949</f>
        <v/>
      </c>
      <c r="M1949" s="39">
        <f>L1949-L1949*VLOOKUP($P1949,매칭테이블!$G:$J,3,0)</f>
        <v/>
      </c>
      <c r="N1949" s="39">
        <f>VLOOKUP($P1949,매칭테이블!$G:$J,4,0)*H1949</f>
        <v/>
      </c>
      <c r="O1949" s="55">
        <f>L1949/1.1</f>
        <v/>
      </c>
      <c r="P1949" s="39">
        <f>F1949&amp;E1949&amp;I1949&amp;J1949</f>
        <v/>
      </c>
    </row>
    <row r="1950">
      <c r="B1950" s="51" t="n">
        <v>44142</v>
      </c>
      <c r="C1950" s="39" t="inlineStr">
        <is>
          <t>토</t>
        </is>
      </c>
      <c r="E1950" s="39" t="inlineStr">
        <is>
          <t>고체향수</t>
        </is>
      </c>
      <c r="F1950" s="39" t="inlineStr">
        <is>
          <t>카페24</t>
        </is>
      </c>
      <c r="G1950" s="39" t="n"/>
      <c r="H1950" s="39" t="n">
        <v>75</v>
      </c>
      <c r="I1950" s="39" t="inlineStr">
        <is>
          <t>스테이포에버 2set</t>
        </is>
      </c>
      <c r="J1950" s="20" t="n">
        <v>200720</v>
      </c>
      <c r="L1950" s="39">
        <f>VLOOKUP($P1950,매칭테이블!$G:$J,2,0)*H1950</f>
        <v/>
      </c>
      <c r="M1950" s="39">
        <f>L1950-L1950*VLOOKUP($P1950,매칭테이블!$G:$J,3,0)</f>
        <v/>
      </c>
      <c r="N1950" s="39">
        <f>VLOOKUP($P1950,매칭테이블!$G:$J,4,0)*H1950</f>
        <v/>
      </c>
      <c r="O1950" s="55">
        <f>L1950/1.1</f>
        <v/>
      </c>
      <c r="P1950" s="39">
        <f>F1950&amp;E1950&amp;I1950&amp;J1950</f>
        <v/>
      </c>
    </row>
    <row r="1951">
      <c r="B1951" s="51" t="n">
        <v>44142</v>
      </c>
      <c r="C1951" s="39" t="inlineStr">
        <is>
          <t>토</t>
        </is>
      </c>
      <c r="E1951" s="39" t="inlineStr">
        <is>
          <t>고체향수</t>
        </is>
      </c>
      <c r="F1951" s="39" t="inlineStr">
        <is>
          <t>카페24</t>
        </is>
      </c>
      <c r="H1951" s="39" t="n">
        <v>4</v>
      </c>
      <c r="I1951" s="39" t="inlineStr">
        <is>
          <t>이그나이트 2set</t>
        </is>
      </c>
      <c r="J1951" s="20" t="n">
        <v>200720</v>
      </c>
      <c r="L1951" s="39">
        <f>VLOOKUP($P1951,매칭테이블!$G:$J,2,0)*H1951</f>
        <v/>
      </c>
      <c r="M1951" s="39">
        <f>L1951-L1951*VLOOKUP($P1951,매칭테이블!$G:$J,3,0)</f>
        <v/>
      </c>
      <c r="N1951" s="39">
        <f>VLOOKUP($P1951,매칭테이블!$G:$J,4,0)*H1951</f>
        <v/>
      </c>
      <c r="O1951" s="55">
        <f>L1951/1.1</f>
        <v/>
      </c>
      <c r="P1951" s="39">
        <f>F1951&amp;E1951&amp;I1951&amp;J1951</f>
        <v/>
      </c>
    </row>
    <row r="1952">
      <c r="B1952" s="51" t="n">
        <v>44142</v>
      </c>
      <c r="C1952" s="39" t="inlineStr">
        <is>
          <t>토</t>
        </is>
      </c>
      <c r="E1952" s="39" t="inlineStr">
        <is>
          <t>쇼핑백</t>
        </is>
      </c>
      <c r="F1952" s="39" t="inlineStr">
        <is>
          <t>카페24</t>
        </is>
      </c>
      <c r="H1952" s="39" t="n">
        <v>8</v>
      </c>
      <c r="I1952" s="39" t="inlineStr">
        <is>
          <t>유즈쇼핑백</t>
        </is>
      </c>
      <c r="J1952" s="20" t="n">
        <v>200720</v>
      </c>
      <c r="L1952" s="39">
        <f>VLOOKUP($P1952,매칭테이블!$G:$J,2,0)*H1952</f>
        <v/>
      </c>
      <c r="M1952" s="39">
        <f>L1952-L1952*VLOOKUP($P1952,매칭테이블!$G:$J,3,0)</f>
        <v/>
      </c>
      <c r="N1952" s="39">
        <f>VLOOKUP($P1952,매칭테이블!$G:$J,4,0)*H1952</f>
        <v/>
      </c>
      <c r="O1952" s="55">
        <f>L1952/1.1</f>
        <v/>
      </c>
      <c r="P1952" s="39">
        <f>F1952&amp;E1952&amp;I1952&amp;J1952</f>
        <v/>
      </c>
    </row>
    <row r="1953">
      <c r="B1953" s="51" t="n">
        <v>44143</v>
      </c>
      <c r="C1953" s="39" t="inlineStr">
        <is>
          <t>일</t>
        </is>
      </c>
      <c r="E1953" s="39" t="inlineStr">
        <is>
          <t>고체향수</t>
        </is>
      </c>
      <c r="F1953" s="39" t="inlineStr">
        <is>
          <t>카페24</t>
        </is>
      </c>
      <c r="H1953" s="39" t="n">
        <v>19</v>
      </c>
      <c r="I1953" s="39" t="inlineStr">
        <is>
          <t>이그나이트 + 스테이포에버</t>
        </is>
      </c>
      <c r="J1953" s="20" t="n">
        <v>200720</v>
      </c>
      <c r="L1953" s="39">
        <f>VLOOKUP($P1953,매칭테이블!$G:$J,2,0)*H1953</f>
        <v/>
      </c>
      <c r="M1953" s="39">
        <f>L1953-L1953*VLOOKUP($P1953,매칭테이블!$G:$J,3,0)</f>
        <v/>
      </c>
      <c r="N1953" s="39">
        <f>VLOOKUP($P1953,매칭테이블!$G:$J,4,0)*H1953</f>
        <v/>
      </c>
      <c r="O1953" s="55">
        <f>L1953/1.1</f>
        <v/>
      </c>
      <c r="P1953" s="39">
        <f>F1953&amp;E1953&amp;I1953&amp;J1953</f>
        <v/>
      </c>
    </row>
    <row r="1954">
      <c r="B1954" s="51" t="n">
        <v>44143</v>
      </c>
      <c r="C1954" s="39" t="inlineStr">
        <is>
          <t>일</t>
        </is>
      </c>
      <c r="E1954" s="39" t="inlineStr">
        <is>
          <t>고체향수</t>
        </is>
      </c>
      <c r="F1954" s="39" t="inlineStr">
        <is>
          <t>카페24</t>
        </is>
      </c>
      <c r="H1954" s="39" t="n">
        <v>1</v>
      </c>
      <c r="I1954" s="39" t="inlineStr">
        <is>
          <t>이그나이트 + 스테이포에버 2set</t>
        </is>
      </c>
      <c r="J1954" s="20" t="n">
        <v>200720</v>
      </c>
      <c r="L1954" s="39">
        <f>VLOOKUP($P1954,매칭테이블!$G:$J,2,0)*H1954</f>
        <v/>
      </c>
      <c r="M1954" s="39">
        <f>L1954-L1954*VLOOKUP($P1954,매칭테이블!$G:$J,3,0)</f>
        <v/>
      </c>
      <c r="N1954" s="39">
        <f>VLOOKUP($P1954,매칭테이블!$G:$J,4,0)*H1954</f>
        <v/>
      </c>
      <c r="O1954" s="55">
        <f>L1954/1.1</f>
        <v/>
      </c>
      <c r="P1954" s="39">
        <f>F1954&amp;E1954&amp;I1954&amp;J1954</f>
        <v/>
      </c>
    </row>
    <row r="1955">
      <c r="B1955" s="51" t="n">
        <v>44143</v>
      </c>
      <c r="C1955" s="39" t="inlineStr">
        <is>
          <t>일</t>
        </is>
      </c>
      <c r="E1955" s="39" t="inlineStr">
        <is>
          <t>고체향수</t>
        </is>
      </c>
      <c r="F1955" s="39" t="inlineStr">
        <is>
          <t>카페24</t>
        </is>
      </c>
      <c r="H1955" s="39" t="n">
        <v>255</v>
      </c>
      <c r="I1955" s="39" t="inlineStr">
        <is>
          <t>스테이포에버</t>
        </is>
      </c>
      <c r="J1955" s="20" t="n">
        <v>200720</v>
      </c>
      <c r="L1955" s="39">
        <f>VLOOKUP($P1955,매칭테이블!$G:$J,2,0)*H1955</f>
        <v/>
      </c>
      <c r="M1955" s="39">
        <f>L1955-L1955*VLOOKUP($P1955,매칭테이블!$G:$J,3,0)</f>
        <v/>
      </c>
      <c r="N1955" s="39">
        <f>VLOOKUP($P1955,매칭테이블!$G:$J,4,0)*H1955</f>
        <v/>
      </c>
      <c r="O1955" s="55">
        <f>L1955/1.1</f>
        <v/>
      </c>
      <c r="P1955" s="39">
        <f>F1955&amp;E1955&amp;I1955&amp;J1955</f>
        <v/>
      </c>
    </row>
    <row r="1956">
      <c r="B1956" s="51" t="n">
        <v>44143</v>
      </c>
      <c r="C1956" s="39" t="inlineStr">
        <is>
          <t>일</t>
        </is>
      </c>
      <c r="E1956" s="39" t="inlineStr">
        <is>
          <t>고체향수</t>
        </is>
      </c>
      <c r="F1956" s="39" t="inlineStr">
        <is>
          <t>카페24</t>
        </is>
      </c>
      <c r="G1956" s="39" t="n"/>
      <c r="H1956" s="39" t="n">
        <v>76</v>
      </c>
      <c r="I1956" s="39" t="inlineStr">
        <is>
          <t>스테이포에버 2set</t>
        </is>
      </c>
      <c r="J1956" s="20" t="n">
        <v>200720</v>
      </c>
      <c r="L1956" s="39">
        <f>VLOOKUP($P1956,매칭테이블!$G:$J,2,0)*H1956</f>
        <v/>
      </c>
      <c r="M1956" s="39">
        <f>L1956-L1956*VLOOKUP($P1956,매칭테이블!$G:$J,3,0)</f>
        <v/>
      </c>
      <c r="N1956" s="39">
        <f>VLOOKUP($P1956,매칭테이블!$G:$J,4,0)*H1956</f>
        <v/>
      </c>
      <c r="O1956" s="55">
        <f>L1956/1.1</f>
        <v/>
      </c>
      <c r="P1956" s="39">
        <f>F1956&amp;E1956&amp;I1956&amp;J1956</f>
        <v/>
      </c>
    </row>
    <row r="1957">
      <c r="B1957" s="51" t="n">
        <v>44143</v>
      </c>
      <c r="C1957" s="39" t="inlineStr">
        <is>
          <t>일</t>
        </is>
      </c>
      <c r="E1957" s="39" t="inlineStr">
        <is>
          <t>고체향수</t>
        </is>
      </c>
      <c r="F1957" s="39" t="inlineStr">
        <is>
          <t>카페24</t>
        </is>
      </c>
      <c r="H1957" s="39" t="n">
        <v>2</v>
      </c>
      <c r="I1957" s="39" t="inlineStr">
        <is>
          <t>이그나이트</t>
        </is>
      </c>
      <c r="J1957" s="20" t="n">
        <v>200720</v>
      </c>
      <c r="L1957" s="39">
        <f>VLOOKUP($P1957,매칭테이블!$G:$J,2,0)*H1957</f>
        <v/>
      </c>
      <c r="M1957" s="39">
        <f>L1957-L1957*VLOOKUP($P1957,매칭테이블!$G:$J,3,0)</f>
        <v/>
      </c>
      <c r="N1957" s="39">
        <f>VLOOKUP($P1957,매칭테이블!$G:$J,4,0)*H1957</f>
        <v/>
      </c>
      <c r="O1957" s="55">
        <f>L1957/1.1</f>
        <v/>
      </c>
      <c r="P1957" s="39">
        <f>F1957&amp;E1957&amp;I1957&amp;J1957</f>
        <v/>
      </c>
    </row>
    <row r="1958">
      <c r="B1958" s="51" t="n">
        <v>44143</v>
      </c>
      <c r="C1958" s="39" t="inlineStr">
        <is>
          <t>일</t>
        </is>
      </c>
      <c r="E1958" s="39" t="inlineStr">
        <is>
          <t>고체향수</t>
        </is>
      </c>
      <c r="F1958" s="39" t="inlineStr">
        <is>
          <t>카페24</t>
        </is>
      </c>
      <c r="H1958" s="39" t="n">
        <v>1</v>
      </c>
      <c r="I1958" s="39" t="inlineStr">
        <is>
          <t>이그나이트 2set</t>
        </is>
      </c>
      <c r="J1958" s="20" t="n">
        <v>200720</v>
      </c>
      <c r="L1958" s="39">
        <f>VLOOKUP($P1958,매칭테이블!$G:$J,2,0)*H1958</f>
        <v/>
      </c>
      <c r="M1958" s="39">
        <f>L1958-L1958*VLOOKUP($P1958,매칭테이블!$G:$J,3,0)</f>
        <v/>
      </c>
      <c r="N1958" s="39">
        <f>VLOOKUP($P1958,매칭테이블!$G:$J,4,0)*H1958</f>
        <v/>
      </c>
      <c r="O1958" s="55">
        <f>L1958/1.1</f>
        <v/>
      </c>
      <c r="P1958" s="39">
        <f>F1958&amp;E1958&amp;I1958&amp;J1958</f>
        <v/>
      </c>
    </row>
    <row r="1959">
      <c r="B1959" s="51" t="n">
        <v>44143</v>
      </c>
      <c r="C1959" s="39" t="inlineStr">
        <is>
          <t>일</t>
        </is>
      </c>
      <c r="E1959" s="39" t="inlineStr">
        <is>
          <t>쇼핑백</t>
        </is>
      </c>
      <c r="F1959" s="39" t="inlineStr">
        <is>
          <t>카페24</t>
        </is>
      </c>
      <c r="H1959" s="39" t="n">
        <v>9</v>
      </c>
      <c r="I1959" s="39" t="inlineStr">
        <is>
          <t>유즈쇼핑백</t>
        </is>
      </c>
      <c r="J1959" s="20" t="n">
        <v>200720</v>
      </c>
      <c r="L1959" s="39">
        <f>VLOOKUP($P1959,매칭테이블!$G:$J,2,0)*H1959</f>
        <v/>
      </c>
      <c r="M1959" s="39">
        <f>L1959-L1959*VLOOKUP($P1959,매칭테이블!$G:$J,3,0)</f>
        <v/>
      </c>
      <c r="N1959" s="39">
        <f>VLOOKUP($P1959,매칭테이블!$G:$J,4,0)*H1959</f>
        <v/>
      </c>
      <c r="O1959" s="55">
        <f>L1959/1.1</f>
        <v/>
      </c>
      <c r="P1959" s="39">
        <f>F1959&amp;E1959&amp;I1959&amp;J1959</f>
        <v/>
      </c>
    </row>
    <row r="1960">
      <c r="B1960" s="51" t="n">
        <v>44144</v>
      </c>
      <c r="C1960" s="39" t="inlineStr">
        <is>
          <t>월</t>
        </is>
      </c>
      <c r="E1960" s="39" t="inlineStr">
        <is>
          <t>고체향수</t>
        </is>
      </c>
      <c r="F1960" s="39" t="inlineStr">
        <is>
          <t>카페24</t>
        </is>
      </c>
      <c r="H1960" s="39" t="n">
        <v>22</v>
      </c>
      <c r="I1960" s="39" t="inlineStr">
        <is>
          <t>이그나이트 + 스테이포에버</t>
        </is>
      </c>
      <c r="J1960" s="20" t="n">
        <v>200720</v>
      </c>
      <c r="L1960" s="39">
        <f>VLOOKUP($P1960,매칭테이블!$G:$J,2,0)*H1960</f>
        <v/>
      </c>
      <c r="M1960" s="39">
        <f>L1960-L1960*VLOOKUP($P1960,매칭테이블!$G:$J,3,0)</f>
        <v/>
      </c>
      <c r="N1960" s="39">
        <f>VLOOKUP($P1960,매칭테이블!$G:$J,4,0)*H1960</f>
        <v/>
      </c>
      <c r="O1960" s="55">
        <f>L1960/1.1</f>
        <v/>
      </c>
      <c r="P1960" s="39">
        <f>F1960&amp;E1960&amp;I1960&amp;J1960</f>
        <v/>
      </c>
    </row>
    <row r="1961">
      <c r="B1961" s="51" t="n">
        <v>44144</v>
      </c>
      <c r="C1961" s="39" t="inlineStr">
        <is>
          <t>월</t>
        </is>
      </c>
      <c r="E1961" s="39" t="inlineStr">
        <is>
          <t>고체향수</t>
        </is>
      </c>
      <c r="F1961" s="39" t="inlineStr">
        <is>
          <t>카페24</t>
        </is>
      </c>
      <c r="H1961" s="39" t="n">
        <v>237</v>
      </c>
      <c r="I1961" s="39" t="inlineStr">
        <is>
          <t>스테이포에버</t>
        </is>
      </c>
      <c r="J1961" s="20" t="n">
        <v>200720</v>
      </c>
      <c r="L1961" s="39">
        <f>VLOOKUP($P1961,매칭테이블!$G:$J,2,0)*H1961</f>
        <v/>
      </c>
      <c r="M1961" s="39">
        <f>L1961-L1961*VLOOKUP($P1961,매칭테이블!$G:$J,3,0)</f>
        <v/>
      </c>
      <c r="N1961" s="39">
        <f>VLOOKUP($P1961,매칭테이블!$G:$J,4,0)*H1961</f>
        <v/>
      </c>
      <c r="O1961" s="55">
        <f>L1961/1.1</f>
        <v/>
      </c>
      <c r="P1961" s="39">
        <f>F1961&amp;E1961&amp;I1961&amp;J1961</f>
        <v/>
      </c>
    </row>
    <row r="1962">
      <c r="B1962" s="51" t="n">
        <v>44144</v>
      </c>
      <c r="C1962" s="39" t="inlineStr">
        <is>
          <t>월</t>
        </is>
      </c>
      <c r="E1962" s="39" t="inlineStr">
        <is>
          <t>고체향수</t>
        </is>
      </c>
      <c r="F1962" s="39" t="inlineStr">
        <is>
          <t>카페24</t>
        </is>
      </c>
      <c r="G1962" s="39" t="n"/>
      <c r="H1962" s="39" t="n">
        <v>47</v>
      </c>
      <c r="I1962" s="39" t="inlineStr">
        <is>
          <t>스테이포에버 2set</t>
        </is>
      </c>
      <c r="J1962" s="20" t="n">
        <v>200720</v>
      </c>
      <c r="L1962" s="39">
        <f>VLOOKUP($P1962,매칭테이블!$G:$J,2,0)*H1962</f>
        <v/>
      </c>
      <c r="M1962" s="39">
        <f>L1962-L1962*VLOOKUP($P1962,매칭테이블!$G:$J,3,0)</f>
        <v/>
      </c>
      <c r="N1962" s="39">
        <f>VLOOKUP($P1962,매칭테이블!$G:$J,4,0)*H1962</f>
        <v/>
      </c>
      <c r="O1962" s="55">
        <f>L1962/1.1</f>
        <v/>
      </c>
      <c r="P1962" s="39">
        <f>F1962&amp;E1962&amp;I1962&amp;J1962</f>
        <v/>
      </c>
    </row>
    <row r="1963">
      <c r="B1963" s="51" t="n">
        <v>44144</v>
      </c>
      <c r="C1963" s="39" t="inlineStr">
        <is>
          <t>월</t>
        </is>
      </c>
      <c r="E1963" s="39" t="inlineStr">
        <is>
          <t>고체향수</t>
        </is>
      </c>
      <c r="F1963" s="39" t="inlineStr">
        <is>
          <t>카페24</t>
        </is>
      </c>
      <c r="H1963" s="39" t="n">
        <v>1</v>
      </c>
      <c r="I1963" s="39" t="inlineStr">
        <is>
          <t>이그나이트 2set</t>
        </is>
      </c>
      <c r="J1963" s="20" t="n">
        <v>200720</v>
      </c>
      <c r="L1963" s="39">
        <f>VLOOKUP($P1963,매칭테이블!$G:$J,2,0)*H1963</f>
        <v/>
      </c>
      <c r="M1963" s="39">
        <f>L1963-L1963*VLOOKUP($P1963,매칭테이블!$G:$J,3,0)</f>
        <v/>
      </c>
      <c r="N1963" s="39">
        <f>VLOOKUP($P1963,매칭테이블!$G:$J,4,0)*H1963</f>
        <v/>
      </c>
      <c r="O1963" s="55">
        <f>L1963/1.1</f>
        <v/>
      </c>
      <c r="P1963" s="39">
        <f>F1963&amp;E1963&amp;I1963&amp;J1963</f>
        <v/>
      </c>
    </row>
    <row r="1964">
      <c r="B1964" s="51" t="n">
        <v>44144</v>
      </c>
      <c r="C1964" s="39" t="inlineStr">
        <is>
          <t>월</t>
        </is>
      </c>
      <c r="E1964" s="39" t="inlineStr">
        <is>
          <t>쇼핑백</t>
        </is>
      </c>
      <c r="F1964" s="39" t="inlineStr">
        <is>
          <t>카페24</t>
        </is>
      </c>
      <c r="H1964" s="39" t="n">
        <v>3</v>
      </c>
      <c r="I1964" s="39" t="inlineStr">
        <is>
          <t>유즈쇼핑백</t>
        </is>
      </c>
      <c r="J1964" s="20" t="n">
        <v>200720</v>
      </c>
      <c r="L1964" s="39">
        <f>VLOOKUP($P1964,매칭테이블!$G:$J,2,0)*H1964</f>
        <v/>
      </c>
      <c r="M1964" s="39">
        <f>L1964-L1964*VLOOKUP($P1964,매칭테이블!$G:$J,3,0)</f>
        <v/>
      </c>
      <c r="N1964" s="39">
        <f>VLOOKUP($P1964,매칭테이블!$G:$J,4,0)*H1964</f>
        <v/>
      </c>
      <c r="O1964" s="55">
        <f>L1964/1.1</f>
        <v/>
      </c>
      <c r="P1964" s="39">
        <f>F1964&amp;E1964&amp;I1964&amp;J1964</f>
        <v/>
      </c>
    </row>
    <row r="1965">
      <c r="B1965" s="51" t="n">
        <v>44145</v>
      </c>
      <c r="C1965" s="39" t="inlineStr">
        <is>
          <t>화</t>
        </is>
      </c>
      <c r="E1965" s="39" t="inlineStr">
        <is>
          <t>고체향수</t>
        </is>
      </c>
      <c r="F1965" s="39" t="inlineStr">
        <is>
          <t>카페24</t>
        </is>
      </c>
      <c r="H1965" s="39" t="n">
        <v>27</v>
      </c>
      <c r="I1965" s="39" t="inlineStr">
        <is>
          <t>이그나이트 + 스테이포에버</t>
        </is>
      </c>
      <c r="J1965" s="20" t="n">
        <v>200720</v>
      </c>
      <c r="L1965" s="39">
        <f>VLOOKUP($P1965,매칭테이블!$G:$J,2,0)*H1965</f>
        <v/>
      </c>
      <c r="M1965" s="39">
        <f>L1965-L1965*VLOOKUP($P1965,매칭테이블!$G:$J,3,0)</f>
        <v/>
      </c>
      <c r="N1965" s="39">
        <f>VLOOKUP($P1965,매칭테이블!$G:$J,4,0)*H1965</f>
        <v/>
      </c>
      <c r="O1965" s="55">
        <f>L1965/1.1</f>
        <v/>
      </c>
      <c r="P1965" s="39">
        <f>F1965&amp;E1965&amp;I1965&amp;J1965</f>
        <v/>
      </c>
    </row>
    <row r="1966">
      <c r="B1966" s="51" t="n">
        <v>44145</v>
      </c>
      <c r="C1966" s="39" t="inlineStr">
        <is>
          <t>화</t>
        </is>
      </c>
      <c r="E1966" s="39" t="inlineStr">
        <is>
          <t>고체향수</t>
        </is>
      </c>
      <c r="F1966" s="39" t="inlineStr">
        <is>
          <t>카페24</t>
        </is>
      </c>
      <c r="H1966" s="39" t="n">
        <v>1</v>
      </c>
      <c r="I1966" s="39" t="inlineStr">
        <is>
          <t>이그나이트 + 스테이포에버 2set</t>
        </is>
      </c>
      <c r="J1966" s="20" t="n">
        <v>200720</v>
      </c>
      <c r="L1966" s="39">
        <f>VLOOKUP($P1966,매칭테이블!$G:$J,2,0)*H1966</f>
        <v/>
      </c>
      <c r="M1966" s="39">
        <f>L1966-L1966*VLOOKUP($P1966,매칭테이블!$G:$J,3,0)</f>
        <v/>
      </c>
      <c r="N1966" s="39">
        <f>VLOOKUP($P1966,매칭테이블!$G:$J,4,0)*H1966</f>
        <v/>
      </c>
      <c r="O1966" s="55">
        <f>L1966/1.1</f>
        <v/>
      </c>
      <c r="P1966" s="39">
        <f>F1966&amp;E1966&amp;I1966&amp;J1966</f>
        <v/>
      </c>
    </row>
    <row r="1967">
      <c r="B1967" s="51" t="n">
        <v>44145</v>
      </c>
      <c r="C1967" s="39" t="inlineStr">
        <is>
          <t>화</t>
        </is>
      </c>
      <c r="E1967" s="39" t="inlineStr">
        <is>
          <t>고체향수</t>
        </is>
      </c>
      <c r="F1967" s="39" t="inlineStr">
        <is>
          <t>카페24</t>
        </is>
      </c>
      <c r="H1967" s="39" t="n">
        <v>250</v>
      </c>
      <c r="I1967" s="39" t="inlineStr">
        <is>
          <t>스테이포에버</t>
        </is>
      </c>
      <c r="J1967" s="20" t="n">
        <v>200720</v>
      </c>
      <c r="L1967" s="39">
        <f>VLOOKUP($P1967,매칭테이블!$G:$J,2,0)*H1967</f>
        <v/>
      </c>
      <c r="M1967" s="39">
        <f>L1967-L1967*VLOOKUP($P1967,매칭테이블!$G:$J,3,0)</f>
        <v/>
      </c>
      <c r="N1967" s="39">
        <f>VLOOKUP($P1967,매칭테이블!$G:$J,4,0)*H1967</f>
        <v/>
      </c>
      <c r="O1967" s="55">
        <f>L1967/1.1</f>
        <v/>
      </c>
      <c r="P1967" s="39">
        <f>F1967&amp;E1967&amp;I1967&amp;J1967</f>
        <v/>
      </c>
    </row>
    <row r="1968">
      <c r="B1968" s="51" t="n">
        <v>44145</v>
      </c>
      <c r="C1968" s="39" t="inlineStr">
        <is>
          <t>화</t>
        </is>
      </c>
      <c r="E1968" s="39" t="inlineStr">
        <is>
          <t>고체향수</t>
        </is>
      </c>
      <c r="F1968" s="39" t="inlineStr">
        <is>
          <t>카페24</t>
        </is>
      </c>
      <c r="G1968" s="39" t="n"/>
      <c r="H1968" s="39" t="n">
        <v>68</v>
      </c>
      <c r="I1968" s="39" t="inlineStr">
        <is>
          <t>스테이포에버 2set</t>
        </is>
      </c>
      <c r="J1968" s="20" t="n">
        <v>200720</v>
      </c>
      <c r="L1968" s="39">
        <f>VLOOKUP($P1968,매칭테이블!$G:$J,2,0)*H1968</f>
        <v/>
      </c>
      <c r="M1968" s="39">
        <f>L1968-L1968*VLOOKUP($P1968,매칭테이블!$G:$J,3,0)</f>
        <v/>
      </c>
      <c r="N1968" s="39">
        <f>VLOOKUP($P1968,매칭테이블!$G:$J,4,0)*H1968</f>
        <v/>
      </c>
      <c r="O1968" s="55">
        <f>L1968/1.1</f>
        <v/>
      </c>
      <c r="P1968" s="39">
        <f>F1968&amp;E1968&amp;I1968&amp;J1968</f>
        <v/>
      </c>
    </row>
    <row r="1969">
      <c r="B1969" s="51" t="n">
        <v>44145</v>
      </c>
      <c r="C1969" s="39" t="inlineStr">
        <is>
          <t>화</t>
        </is>
      </c>
      <c r="E1969" s="39" t="inlineStr">
        <is>
          <t>고체향수</t>
        </is>
      </c>
      <c r="F1969" s="39" t="inlineStr">
        <is>
          <t>카페24</t>
        </is>
      </c>
      <c r="H1969" s="39" t="n">
        <v>1</v>
      </c>
      <c r="I1969" s="39" t="inlineStr">
        <is>
          <t>이그나이트</t>
        </is>
      </c>
      <c r="J1969" s="20" t="n">
        <v>200720</v>
      </c>
      <c r="L1969" s="39">
        <f>VLOOKUP($P1969,매칭테이블!$G:$J,2,0)*H1969</f>
        <v/>
      </c>
      <c r="M1969" s="39">
        <f>L1969-L1969*VLOOKUP($P1969,매칭테이블!$G:$J,3,0)</f>
        <v/>
      </c>
      <c r="N1969" s="39">
        <f>VLOOKUP($P1969,매칭테이블!$G:$J,4,0)*H1969</f>
        <v/>
      </c>
      <c r="O1969" s="55">
        <f>L1969/1.1</f>
        <v/>
      </c>
      <c r="P1969" s="39">
        <f>F1969&amp;E1969&amp;I1969&amp;J1969</f>
        <v/>
      </c>
    </row>
    <row r="1970">
      <c r="B1970" s="51" t="n">
        <v>44145</v>
      </c>
      <c r="C1970" s="39" t="inlineStr">
        <is>
          <t>화</t>
        </is>
      </c>
      <c r="E1970" s="39" t="inlineStr">
        <is>
          <t>쇼핑백</t>
        </is>
      </c>
      <c r="F1970" s="39" t="inlineStr">
        <is>
          <t>카페24</t>
        </is>
      </c>
      <c r="H1970" s="39" t="n">
        <v>12</v>
      </c>
      <c r="I1970" s="39" t="inlineStr">
        <is>
          <t>유즈쇼핑백</t>
        </is>
      </c>
      <c r="J1970" s="20" t="n">
        <v>200720</v>
      </c>
      <c r="L1970" s="39">
        <f>VLOOKUP($P1970,매칭테이블!$G:$J,2,0)*H1970</f>
        <v/>
      </c>
      <c r="M1970" s="39">
        <f>L1970-L1970*VLOOKUP($P1970,매칭테이블!$G:$J,3,0)</f>
        <v/>
      </c>
      <c r="N1970" s="39">
        <f>VLOOKUP($P1970,매칭테이블!$G:$J,4,0)*H1970</f>
        <v/>
      </c>
      <c r="O1970" s="55">
        <f>L1970/1.1</f>
        <v/>
      </c>
      <c r="P1970" s="39">
        <f>F1970&amp;E1970&amp;I1970&amp;J1970</f>
        <v/>
      </c>
    </row>
    <row r="1971">
      <c r="B1971" s="51" t="n">
        <v>44146</v>
      </c>
      <c r="C1971" s="39" t="inlineStr">
        <is>
          <t>수</t>
        </is>
      </c>
      <c r="E1971" s="39" t="inlineStr">
        <is>
          <t>고체향수</t>
        </is>
      </c>
      <c r="F1971" s="39" t="inlineStr">
        <is>
          <t>카페24</t>
        </is>
      </c>
      <c r="H1971" s="39" t="n">
        <v>35</v>
      </c>
      <c r="I1971" s="39" t="inlineStr">
        <is>
          <t>이그나이트 + 스테이포에버</t>
        </is>
      </c>
      <c r="J1971" s="20" t="n">
        <v>200720</v>
      </c>
      <c r="L1971" s="39">
        <f>VLOOKUP($P1971,매칭테이블!$G:$J,2,0)*H1971</f>
        <v/>
      </c>
      <c r="M1971" s="39">
        <f>L1971-L1971*VLOOKUP($P1971,매칭테이블!$G:$J,3,0)</f>
        <v/>
      </c>
      <c r="N1971" s="39">
        <f>VLOOKUP($P1971,매칭테이블!$G:$J,4,0)*H1971</f>
        <v/>
      </c>
      <c r="O1971" s="55">
        <f>L1971/1.1</f>
        <v/>
      </c>
      <c r="P1971" s="39">
        <f>F1971&amp;E1971&amp;I1971&amp;J1971</f>
        <v/>
      </c>
    </row>
    <row r="1972">
      <c r="B1972" s="51" t="n">
        <v>44146</v>
      </c>
      <c r="C1972" s="39" t="inlineStr">
        <is>
          <t>수</t>
        </is>
      </c>
      <c r="E1972" s="39" t="inlineStr">
        <is>
          <t>고체향수</t>
        </is>
      </c>
      <c r="F1972" s="39" t="inlineStr">
        <is>
          <t>카페24</t>
        </is>
      </c>
      <c r="H1972" s="39" t="n">
        <v>294</v>
      </c>
      <c r="I1972" s="39" t="inlineStr">
        <is>
          <t>스테이포에버</t>
        </is>
      </c>
      <c r="J1972" s="20" t="n">
        <v>200720</v>
      </c>
      <c r="L1972" s="39">
        <f>VLOOKUP($P1972,매칭테이블!$G:$J,2,0)*H1972</f>
        <v/>
      </c>
      <c r="M1972" s="39">
        <f>L1972-L1972*VLOOKUP($P1972,매칭테이블!$G:$J,3,0)</f>
        <v/>
      </c>
      <c r="N1972" s="39">
        <f>VLOOKUP($P1972,매칭테이블!$G:$J,4,0)*H1972</f>
        <v/>
      </c>
      <c r="O1972" s="55">
        <f>L1972/1.1</f>
        <v/>
      </c>
      <c r="P1972" s="39">
        <f>F1972&amp;E1972&amp;I1972&amp;J1972</f>
        <v/>
      </c>
    </row>
    <row r="1973">
      <c r="B1973" s="51" t="n">
        <v>44146</v>
      </c>
      <c r="C1973" s="39" t="inlineStr">
        <is>
          <t>수</t>
        </is>
      </c>
      <c r="E1973" s="39" t="inlineStr">
        <is>
          <t>고체향수</t>
        </is>
      </c>
      <c r="F1973" s="39" t="inlineStr">
        <is>
          <t>카페24</t>
        </is>
      </c>
      <c r="G1973" s="39" t="n"/>
      <c r="H1973" s="39" t="n">
        <v>83</v>
      </c>
      <c r="I1973" s="39" t="inlineStr">
        <is>
          <t>스테이포에버 2set</t>
        </is>
      </c>
      <c r="J1973" s="20" t="n">
        <v>200720</v>
      </c>
      <c r="L1973" s="39">
        <f>VLOOKUP($P1973,매칭테이블!$G:$J,2,0)*H1973</f>
        <v/>
      </c>
      <c r="M1973" s="39">
        <f>L1973-L1973*VLOOKUP($P1973,매칭테이블!$G:$J,3,0)</f>
        <v/>
      </c>
      <c r="N1973" s="39">
        <f>VLOOKUP($P1973,매칭테이블!$G:$J,4,0)*H1973</f>
        <v/>
      </c>
      <c r="O1973" s="55">
        <f>L1973/1.1</f>
        <v/>
      </c>
      <c r="P1973" s="39">
        <f>F1973&amp;E1973&amp;I1973&amp;J1973</f>
        <v/>
      </c>
    </row>
    <row r="1974">
      <c r="B1974" s="51" t="n">
        <v>44146</v>
      </c>
      <c r="C1974" s="39" t="inlineStr">
        <is>
          <t>수</t>
        </is>
      </c>
      <c r="E1974" s="39" t="inlineStr">
        <is>
          <t>고체향수</t>
        </is>
      </c>
      <c r="F1974" s="39" t="inlineStr">
        <is>
          <t>카페24</t>
        </is>
      </c>
      <c r="H1974" s="39" t="n">
        <v>1</v>
      </c>
      <c r="I1974" s="39" t="inlineStr">
        <is>
          <t>이그나이트</t>
        </is>
      </c>
      <c r="J1974" s="20" t="n">
        <v>200720</v>
      </c>
      <c r="L1974" s="39">
        <f>VLOOKUP($P1974,매칭테이블!$G:$J,2,0)*H1974</f>
        <v/>
      </c>
      <c r="M1974" s="39">
        <f>L1974-L1974*VLOOKUP($P1974,매칭테이블!$G:$J,3,0)</f>
        <v/>
      </c>
      <c r="N1974" s="39">
        <f>VLOOKUP($P1974,매칭테이블!$G:$J,4,0)*H1974</f>
        <v/>
      </c>
      <c r="O1974" s="55">
        <f>L1974/1.1</f>
        <v/>
      </c>
      <c r="P1974" s="39">
        <f>F1974&amp;E1974&amp;I1974&amp;J1974</f>
        <v/>
      </c>
    </row>
    <row r="1975">
      <c r="B1975" s="51" t="n">
        <v>44146</v>
      </c>
      <c r="C1975" s="39" t="inlineStr">
        <is>
          <t>수</t>
        </is>
      </c>
      <c r="E1975" s="39" t="inlineStr">
        <is>
          <t>쇼핑백</t>
        </is>
      </c>
      <c r="F1975" s="39" t="inlineStr">
        <is>
          <t>카페24</t>
        </is>
      </c>
      <c r="H1975" s="39" t="n">
        <v>7</v>
      </c>
      <c r="I1975" s="39" t="inlineStr">
        <is>
          <t>유즈쇼핑백</t>
        </is>
      </c>
      <c r="J1975" s="20" t="n">
        <v>200720</v>
      </c>
      <c r="L1975" s="39">
        <f>VLOOKUP($P1975,매칭테이블!$G:$J,2,0)*H1975</f>
        <v/>
      </c>
      <c r="M1975" s="39">
        <f>L1975-L1975*VLOOKUP($P1975,매칭테이블!$G:$J,3,0)</f>
        <v/>
      </c>
      <c r="N1975" s="39">
        <f>VLOOKUP($P1975,매칭테이블!$G:$J,4,0)*H1975</f>
        <v/>
      </c>
      <c r="O1975" s="55">
        <f>L1975/1.1</f>
        <v/>
      </c>
      <c r="P1975" s="39">
        <f>F1975&amp;E1975&amp;I1975&amp;J1975</f>
        <v/>
      </c>
    </row>
    <row r="1976">
      <c r="B1976" s="51" t="n">
        <v>44147</v>
      </c>
      <c r="C1976" s="39" t="inlineStr">
        <is>
          <t>목</t>
        </is>
      </c>
      <c r="E1976" s="39" t="inlineStr">
        <is>
          <t>고체향수</t>
        </is>
      </c>
      <c r="F1976" s="39" t="inlineStr">
        <is>
          <t>카페24</t>
        </is>
      </c>
      <c r="H1976" s="39" t="n">
        <v>22</v>
      </c>
      <c r="I1976" s="39" t="inlineStr">
        <is>
          <t>이그나이트 + 스테이포에버</t>
        </is>
      </c>
      <c r="J1976" s="20" t="n">
        <v>200720</v>
      </c>
      <c r="L1976" s="39">
        <f>VLOOKUP($P1976,매칭테이블!$G:$J,2,0)*H1976</f>
        <v/>
      </c>
      <c r="M1976" s="39">
        <f>L1976-L1976*VLOOKUP($P1976,매칭테이블!$G:$J,3,0)</f>
        <v/>
      </c>
      <c r="N1976" s="39">
        <f>VLOOKUP($P1976,매칭테이블!$G:$J,4,0)*H1976</f>
        <v/>
      </c>
      <c r="O1976" s="55">
        <f>L1976/1.1</f>
        <v/>
      </c>
      <c r="P1976" s="39">
        <f>F1976&amp;E1976&amp;I1976&amp;J1976</f>
        <v/>
      </c>
    </row>
    <row r="1977">
      <c r="B1977" s="51" t="n">
        <v>44147</v>
      </c>
      <c r="C1977" s="39" t="inlineStr">
        <is>
          <t>목</t>
        </is>
      </c>
      <c r="E1977" s="39" t="inlineStr">
        <is>
          <t>고체향수</t>
        </is>
      </c>
      <c r="F1977" s="39" t="inlineStr">
        <is>
          <t>카페24</t>
        </is>
      </c>
      <c r="H1977" s="39" t="n">
        <v>264</v>
      </c>
      <c r="I1977" s="39" t="inlineStr">
        <is>
          <t>스테이포에버</t>
        </is>
      </c>
      <c r="J1977" s="20" t="n">
        <v>200720</v>
      </c>
      <c r="L1977" s="39">
        <f>VLOOKUP($P1977,매칭테이블!$G:$J,2,0)*H1977</f>
        <v/>
      </c>
      <c r="M1977" s="39">
        <f>L1977-L1977*VLOOKUP($P1977,매칭테이블!$G:$J,3,0)</f>
        <v/>
      </c>
      <c r="N1977" s="39">
        <f>VLOOKUP($P1977,매칭테이블!$G:$J,4,0)*H1977</f>
        <v/>
      </c>
      <c r="O1977" s="55">
        <f>L1977/1.1</f>
        <v/>
      </c>
      <c r="P1977" s="39">
        <f>F1977&amp;E1977&amp;I1977&amp;J1977</f>
        <v/>
      </c>
    </row>
    <row r="1978">
      <c r="B1978" s="51" t="n">
        <v>44147</v>
      </c>
      <c r="C1978" s="39" t="inlineStr">
        <is>
          <t>목</t>
        </is>
      </c>
      <c r="E1978" s="39" t="inlineStr">
        <is>
          <t>고체향수</t>
        </is>
      </c>
      <c r="F1978" s="39" t="inlineStr">
        <is>
          <t>카페24</t>
        </is>
      </c>
      <c r="G1978" s="39" t="n"/>
      <c r="H1978" s="39" t="n">
        <v>75</v>
      </c>
      <c r="I1978" s="39" t="inlineStr">
        <is>
          <t>스테이포에버 2set</t>
        </is>
      </c>
      <c r="J1978" s="20" t="n">
        <v>200720</v>
      </c>
      <c r="L1978" s="39">
        <f>VLOOKUP($P1978,매칭테이블!$G:$J,2,0)*H1978</f>
        <v/>
      </c>
      <c r="M1978" s="39">
        <f>L1978-L1978*VLOOKUP($P1978,매칭테이블!$G:$J,3,0)</f>
        <v/>
      </c>
      <c r="N1978" s="39">
        <f>VLOOKUP($P1978,매칭테이블!$G:$J,4,0)*H1978</f>
        <v/>
      </c>
      <c r="O1978" s="55">
        <f>L1978/1.1</f>
        <v/>
      </c>
      <c r="P1978" s="39">
        <f>F1978&amp;E1978&amp;I1978&amp;J1978</f>
        <v/>
      </c>
    </row>
    <row r="1979">
      <c r="B1979" s="51" t="n">
        <v>44147</v>
      </c>
      <c r="C1979" s="39" t="inlineStr">
        <is>
          <t>목</t>
        </is>
      </c>
      <c r="E1979" s="39" t="inlineStr">
        <is>
          <t>고체향수</t>
        </is>
      </c>
      <c r="F1979" s="39" t="inlineStr">
        <is>
          <t>카페24</t>
        </is>
      </c>
      <c r="H1979" s="39" t="n">
        <v>3</v>
      </c>
      <c r="I1979" s="39" t="inlineStr">
        <is>
          <t>이그나이트</t>
        </is>
      </c>
      <c r="J1979" s="20" t="n">
        <v>200720</v>
      </c>
      <c r="L1979" s="39">
        <f>VLOOKUP($P1979,매칭테이블!$G:$J,2,0)*H1979</f>
        <v/>
      </c>
      <c r="M1979" s="39">
        <f>L1979-L1979*VLOOKUP($P1979,매칭테이블!$G:$J,3,0)</f>
        <v/>
      </c>
      <c r="N1979" s="39">
        <f>VLOOKUP($P1979,매칭테이블!$G:$J,4,0)*H1979</f>
        <v/>
      </c>
      <c r="O1979" s="55">
        <f>L1979/1.1</f>
        <v/>
      </c>
      <c r="P1979" s="39">
        <f>F1979&amp;E1979&amp;I1979&amp;J1979</f>
        <v/>
      </c>
    </row>
    <row r="1980">
      <c r="B1980" s="51" t="n">
        <v>44147</v>
      </c>
      <c r="C1980" s="39" t="inlineStr">
        <is>
          <t>목</t>
        </is>
      </c>
      <c r="E1980" s="39" t="inlineStr">
        <is>
          <t>쇼핑백</t>
        </is>
      </c>
      <c r="F1980" s="39" t="inlineStr">
        <is>
          <t>카페24</t>
        </is>
      </c>
      <c r="H1980" s="39" t="n">
        <v>8</v>
      </c>
      <c r="I1980" s="39" t="inlineStr">
        <is>
          <t>유즈쇼핑백</t>
        </is>
      </c>
      <c r="J1980" s="20" t="n">
        <v>200720</v>
      </c>
      <c r="L1980" s="39">
        <f>VLOOKUP($P1980,매칭테이블!$G:$J,2,0)*H1980</f>
        <v/>
      </c>
      <c r="M1980" s="39">
        <f>L1980-L1980*VLOOKUP($P1980,매칭테이블!$G:$J,3,0)</f>
        <v/>
      </c>
      <c r="N1980" s="39">
        <f>VLOOKUP($P1980,매칭테이블!$G:$J,4,0)*H1980</f>
        <v/>
      </c>
      <c r="O1980" s="55">
        <f>L1980/1.1</f>
        <v/>
      </c>
      <c r="P1980" s="39">
        <f>F1980&amp;E1980&amp;I1980&amp;J1980</f>
        <v/>
      </c>
    </row>
    <row r="1981">
      <c r="B1981" s="51" t="n">
        <v>44147</v>
      </c>
      <c r="C1981" s="39" t="inlineStr">
        <is>
          <t>목</t>
        </is>
      </c>
      <c r="E1981" s="39" t="inlineStr">
        <is>
          <t>고체향수</t>
        </is>
      </c>
      <c r="F1981" s="39" t="inlineStr">
        <is>
          <t>유즈 CS</t>
        </is>
      </c>
      <c r="H1981" s="39" t="n">
        <v>3</v>
      </c>
      <c r="I1981" s="39" t="inlineStr">
        <is>
          <t>이그나이트</t>
        </is>
      </c>
      <c r="J1981" s="39" t="n">
        <v>200520</v>
      </c>
      <c r="L1981" s="39">
        <f>VLOOKUP($P1981,매칭테이블!$G:$J,2,0)*H1981</f>
        <v/>
      </c>
      <c r="M1981" s="39">
        <f>L1981-L1981*VLOOKUP($P1981,매칭테이블!$G:$J,3,0)</f>
        <v/>
      </c>
      <c r="N1981" s="39">
        <f>VLOOKUP($P1981,매칭테이블!$G:$J,4,0)*H1981</f>
        <v/>
      </c>
      <c r="O1981" s="55">
        <f>L1981/1.1</f>
        <v/>
      </c>
      <c r="P1981" s="39">
        <f>F1981&amp;E1981&amp;I1981&amp;J1981</f>
        <v/>
      </c>
    </row>
    <row r="1982">
      <c r="B1982" s="51" t="n">
        <v>44148</v>
      </c>
      <c r="C1982" s="39" t="inlineStr">
        <is>
          <t>금</t>
        </is>
      </c>
      <c r="E1982" s="39" t="inlineStr">
        <is>
          <t>고체향수</t>
        </is>
      </c>
      <c r="F1982" s="39" t="inlineStr">
        <is>
          <t>유즈 CS</t>
        </is>
      </c>
      <c r="H1982" s="39" t="n">
        <v>3</v>
      </c>
      <c r="I1982" s="39" t="inlineStr">
        <is>
          <t>스테이포에버</t>
        </is>
      </c>
      <c r="J1982" s="39" t="n">
        <v>200520</v>
      </c>
      <c r="L1982" s="39">
        <f>VLOOKUP($P1982,매칭테이블!$G:$J,2,0)*H1982</f>
        <v/>
      </c>
      <c r="M1982" s="39">
        <f>L1982-L1982*VLOOKUP($P1982,매칭테이블!$G:$J,3,0)</f>
        <v/>
      </c>
      <c r="N1982" s="39">
        <f>VLOOKUP($P1982,매칭테이블!$G:$J,4,0)*H1982</f>
        <v/>
      </c>
      <c r="O1982" s="55">
        <f>L1982/1.1</f>
        <v/>
      </c>
      <c r="P1982" s="39">
        <f>F1982&amp;E1982&amp;I1982&amp;J1982</f>
        <v/>
      </c>
    </row>
    <row r="1983">
      <c r="B1983" s="51" t="n">
        <v>44148</v>
      </c>
      <c r="C1983" s="39" t="inlineStr">
        <is>
          <t>금</t>
        </is>
      </c>
      <c r="E1983" s="39" t="inlineStr">
        <is>
          <t>고체향수</t>
        </is>
      </c>
      <c r="F1983" s="39" t="inlineStr">
        <is>
          <t>카페24</t>
        </is>
      </c>
      <c r="H1983" s="39" t="n">
        <v>20</v>
      </c>
      <c r="I1983" s="39" t="inlineStr">
        <is>
          <t>이그나이트 + 스테이포에버</t>
        </is>
      </c>
      <c r="J1983" s="20" t="n">
        <v>200720</v>
      </c>
      <c r="L1983" s="39">
        <f>VLOOKUP($P1983,매칭테이블!$G:$J,2,0)*H1983</f>
        <v/>
      </c>
      <c r="M1983" s="39">
        <f>L1983-L1983*VLOOKUP($P1983,매칭테이블!$G:$J,3,0)</f>
        <v/>
      </c>
      <c r="N1983" s="39">
        <f>VLOOKUP($P1983,매칭테이블!$G:$J,4,0)*H1983</f>
        <v/>
      </c>
      <c r="O1983" s="55">
        <f>L1983/1.1</f>
        <v/>
      </c>
      <c r="P1983" s="39">
        <f>F1983&amp;E1983&amp;I1983&amp;J1983</f>
        <v/>
      </c>
    </row>
    <row r="1984">
      <c r="B1984" s="51" t="n">
        <v>44148</v>
      </c>
      <c r="C1984" s="39" t="inlineStr">
        <is>
          <t>금</t>
        </is>
      </c>
      <c r="E1984" s="39" t="inlineStr">
        <is>
          <t>고체향수</t>
        </is>
      </c>
      <c r="F1984" s="39" t="inlineStr">
        <is>
          <t>카페24</t>
        </is>
      </c>
      <c r="H1984" s="39" t="n">
        <v>1</v>
      </c>
      <c r="I1984" s="39" t="inlineStr">
        <is>
          <t>이그나이트 + 스테이포에버 2set</t>
        </is>
      </c>
      <c r="J1984" s="20" t="n">
        <v>200720</v>
      </c>
      <c r="L1984" s="39">
        <f>VLOOKUP($P1984,매칭테이블!$G:$J,2,0)*H1984</f>
        <v/>
      </c>
      <c r="M1984" s="39">
        <f>L1984-L1984*VLOOKUP($P1984,매칭테이블!$G:$J,3,0)</f>
        <v/>
      </c>
      <c r="N1984" s="39">
        <f>VLOOKUP($P1984,매칭테이블!$G:$J,4,0)*H1984</f>
        <v/>
      </c>
      <c r="O1984" s="55">
        <f>L1984/1.1</f>
        <v/>
      </c>
      <c r="P1984" s="39">
        <f>F1984&amp;E1984&amp;I1984&amp;J1984</f>
        <v/>
      </c>
    </row>
    <row r="1985">
      <c r="B1985" s="51" t="n">
        <v>44148</v>
      </c>
      <c r="C1985" s="39" t="inlineStr">
        <is>
          <t>금</t>
        </is>
      </c>
      <c r="E1985" s="39" t="inlineStr">
        <is>
          <t>고체향수</t>
        </is>
      </c>
      <c r="F1985" s="39" t="inlineStr">
        <is>
          <t>카페24</t>
        </is>
      </c>
      <c r="H1985" s="39" t="n">
        <v>227</v>
      </c>
      <c r="I1985" s="39" t="inlineStr">
        <is>
          <t>스테이포에버</t>
        </is>
      </c>
      <c r="J1985" s="20" t="n">
        <v>200720</v>
      </c>
      <c r="L1985" s="39">
        <f>VLOOKUP($P1985,매칭테이블!$G:$J,2,0)*H1985</f>
        <v/>
      </c>
      <c r="M1985" s="39">
        <f>L1985-L1985*VLOOKUP($P1985,매칭테이블!$G:$J,3,0)</f>
        <v/>
      </c>
      <c r="N1985" s="39">
        <f>VLOOKUP($P1985,매칭테이블!$G:$J,4,0)*H1985</f>
        <v/>
      </c>
      <c r="O1985" s="55">
        <f>L1985/1.1</f>
        <v/>
      </c>
      <c r="P1985" s="39">
        <f>F1985&amp;E1985&amp;I1985&amp;J1985</f>
        <v/>
      </c>
    </row>
    <row r="1986">
      <c r="B1986" s="51" t="n">
        <v>44148</v>
      </c>
      <c r="C1986" s="39" t="inlineStr">
        <is>
          <t>금</t>
        </is>
      </c>
      <c r="E1986" s="39" t="inlineStr">
        <is>
          <t>고체향수</t>
        </is>
      </c>
      <c r="F1986" s="39" t="inlineStr">
        <is>
          <t>카페24</t>
        </is>
      </c>
      <c r="G1986" s="39" t="n"/>
      <c r="H1986" s="39" t="n">
        <v>83</v>
      </c>
      <c r="I1986" s="39" t="inlineStr">
        <is>
          <t>스테이포에버 2set</t>
        </is>
      </c>
      <c r="J1986" s="20" t="n">
        <v>200720</v>
      </c>
      <c r="L1986" s="39">
        <f>VLOOKUP($P1986,매칭테이블!$G:$J,2,0)*H1986</f>
        <v/>
      </c>
      <c r="M1986" s="39">
        <f>L1986-L1986*VLOOKUP($P1986,매칭테이블!$G:$J,3,0)</f>
        <v/>
      </c>
      <c r="N1986" s="39">
        <f>VLOOKUP($P1986,매칭테이블!$G:$J,4,0)*H1986</f>
        <v/>
      </c>
      <c r="O1986" s="55">
        <f>L1986/1.1</f>
        <v/>
      </c>
      <c r="P1986" s="39">
        <f>F1986&amp;E1986&amp;I1986&amp;J1986</f>
        <v/>
      </c>
    </row>
    <row r="1987">
      <c r="B1987" s="51" t="n">
        <v>44148</v>
      </c>
      <c r="C1987" s="39" t="inlineStr">
        <is>
          <t>금</t>
        </is>
      </c>
      <c r="E1987" s="39" t="inlineStr">
        <is>
          <t>고체향수</t>
        </is>
      </c>
      <c r="F1987" s="39" t="inlineStr">
        <is>
          <t>카페24</t>
        </is>
      </c>
      <c r="H1987" s="39" t="n">
        <v>1</v>
      </c>
      <c r="I1987" s="39" t="inlineStr">
        <is>
          <t>이그나이트</t>
        </is>
      </c>
      <c r="J1987" s="20" t="n">
        <v>200720</v>
      </c>
      <c r="L1987" s="39">
        <f>VLOOKUP($P1987,매칭테이블!$G:$J,2,0)*H1987</f>
        <v/>
      </c>
      <c r="M1987" s="39">
        <f>L1987-L1987*VLOOKUP($P1987,매칭테이블!$G:$J,3,0)</f>
        <v/>
      </c>
      <c r="N1987" s="39">
        <f>VLOOKUP($P1987,매칭테이블!$G:$J,4,0)*H1987</f>
        <v/>
      </c>
      <c r="O1987" s="55">
        <f>L1987/1.1</f>
        <v/>
      </c>
      <c r="P1987" s="39">
        <f>F1987&amp;E1987&amp;I1987&amp;J1987</f>
        <v/>
      </c>
    </row>
    <row r="1988">
      <c r="B1988" s="51" t="n">
        <v>44148</v>
      </c>
      <c r="C1988" s="39" t="inlineStr">
        <is>
          <t>금</t>
        </is>
      </c>
      <c r="E1988" s="39" t="inlineStr">
        <is>
          <t>고체향수</t>
        </is>
      </c>
      <c r="F1988" s="39" t="inlineStr">
        <is>
          <t>카페24</t>
        </is>
      </c>
      <c r="H1988" s="39" t="n">
        <v>1</v>
      </c>
      <c r="I1988" s="39" t="inlineStr">
        <is>
          <t>이그나이트 2set</t>
        </is>
      </c>
      <c r="J1988" s="20" t="n">
        <v>200720</v>
      </c>
      <c r="L1988" s="39">
        <f>VLOOKUP($P1988,매칭테이블!$G:$J,2,0)*H1988</f>
        <v/>
      </c>
      <c r="M1988" s="39">
        <f>L1988-L1988*VLOOKUP($P1988,매칭테이블!$G:$J,3,0)</f>
        <v/>
      </c>
      <c r="N1988" s="39">
        <f>VLOOKUP($P1988,매칭테이블!$G:$J,4,0)*H1988</f>
        <v/>
      </c>
      <c r="O1988" s="55">
        <f>L1988/1.1</f>
        <v/>
      </c>
      <c r="P1988" s="39">
        <f>F1988&amp;E1988&amp;I1988&amp;J1988</f>
        <v/>
      </c>
    </row>
    <row r="1989">
      <c r="B1989" s="51" t="n">
        <v>44148</v>
      </c>
      <c r="C1989" s="39" t="inlineStr">
        <is>
          <t>금</t>
        </is>
      </c>
      <c r="E1989" s="39" t="inlineStr">
        <is>
          <t>쇼핑백</t>
        </is>
      </c>
      <c r="F1989" s="39" t="inlineStr">
        <is>
          <t>카페24</t>
        </is>
      </c>
      <c r="H1989" s="39" t="n">
        <v>1</v>
      </c>
      <c r="I1989" s="39" t="inlineStr">
        <is>
          <t>유즈쇼핑백</t>
        </is>
      </c>
      <c r="J1989" s="20" t="n">
        <v>200720</v>
      </c>
      <c r="L1989" s="39">
        <f>VLOOKUP($P1989,매칭테이블!$G:$J,2,0)*H1989</f>
        <v/>
      </c>
      <c r="M1989" s="39">
        <f>L1989-L1989*VLOOKUP($P1989,매칭테이블!$G:$J,3,0)</f>
        <v/>
      </c>
      <c r="N1989" s="39">
        <f>VLOOKUP($P1989,매칭테이블!$G:$J,4,0)*H1989</f>
        <v/>
      </c>
      <c r="O1989" s="55">
        <f>L1989/1.1</f>
        <v/>
      </c>
      <c r="P1989" s="39">
        <f>F1989&amp;E1989&amp;I1989&amp;J1989</f>
        <v/>
      </c>
    </row>
    <row r="1990">
      <c r="B1990" s="51" t="n">
        <v>44149</v>
      </c>
      <c r="C1990" s="39" t="inlineStr">
        <is>
          <t>토</t>
        </is>
      </c>
      <c r="E1990" s="39" t="inlineStr">
        <is>
          <t>고체향수</t>
        </is>
      </c>
      <c r="F1990" s="39" t="inlineStr">
        <is>
          <t>카페24</t>
        </is>
      </c>
      <c r="H1990" s="39" t="n">
        <v>28</v>
      </c>
      <c r="I1990" s="39" t="inlineStr">
        <is>
          <t>이그나이트 + 스테이포에버</t>
        </is>
      </c>
      <c r="J1990" s="20" t="n">
        <v>200720</v>
      </c>
      <c r="L1990" s="39">
        <f>VLOOKUP($P1990,매칭테이블!$G:$J,2,0)*H1990</f>
        <v/>
      </c>
      <c r="M1990" s="39">
        <f>L1990-L1990*VLOOKUP($P1990,매칭테이블!$G:$J,3,0)</f>
        <v/>
      </c>
      <c r="N1990" s="39">
        <f>VLOOKUP($P1990,매칭테이블!$G:$J,4,0)*H1990</f>
        <v/>
      </c>
      <c r="O1990" s="55">
        <f>L1990/1.1</f>
        <v/>
      </c>
      <c r="P1990" s="39">
        <f>F1990&amp;E1990&amp;I1990&amp;J1990</f>
        <v/>
      </c>
    </row>
    <row r="1991">
      <c r="B1991" s="51" t="n">
        <v>44149</v>
      </c>
      <c r="C1991" s="39" t="inlineStr">
        <is>
          <t>토</t>
        </is>
      </c>
      <c r="E1991" s="39" t="inlineStr">
        <is>
          <t>고체향수</t>
        </is>
      </c>
      <c r="F1991" s="39" t="inlineStr">
        <is>
          <t>카페24</t>
        </is>
      </c>
      <c r="H1991" s="39" t="n">
        <v>293</v>
      </c>
      <c r="I1991" s="39" t="inlineStr">
        <is>
          <t>스테이포에버</t>
        </is>
      </c>
      <c r="J1991" s="20" t="n">
        <v>200720</v>
      </c>
      <c r="L1991" s="39">
        <f>VLOOKUP($P1991,매칭테이블!$G:$J,2,0)*H1991</f>
        <v/>
      </c>
      <c r="M1991" s="39">
        <f>L1991-L1991*VLOOKUP($P1991,매칭테이블!$G:$J,3,0)</f>
        <v/>
      </c>
      <c r="N1991" s="39">
        <f>VLOOKUP($P1991,매칭테이블!$G:$J,4,0)*H1991</f>
        <v/>
      </c>
      <c r="O1991" s="55">
        <f>L1991/1.1</f>
        <v/>
      </c>
      <c r="P1991" s="39">
        <f>F1991&amp;E1991&amp;I1991&amp;J1991</f>
        <v/>
      </c>
    </row>
    <row r="1992">
      <c r="B1992" s="51" t="n">
        <v>44149</v>
      </c>
      <c r="C1992" s="39" t="inlineStr">
        <is>
          <t>토</t>
        </is>
      </c>
      <c r="E1992" s="39" t="inlineStr">
        <is>
          <t>고체향수</t>
        </is>
      </c>
      <c r="F1992" s="39" t="inlineStr">
        <is>
          <t>카페24</t>
        </is>
      </c>
      <c r="G1992" s="39" t="n"/>
      <c r="H1992" s="39" t="n">
        <v>81</v>
      </c>
      <c r="I1992" s="39" t="inlineStr">
        <is>
          <t>스테이포에버 2set</t>
        </is>
      </c>
      <c r="J1992" s="20" t="n">
        <v>200720</v>
      </c>
      <c r="L1992" s="39">
        <f>VLOOKUP($P1992,매칭테이블!$G:$J,2,0)*H1992</f>
        <v/>
      </c>
      <c r="M1992" s="39">
        <f>L1992-L1992*VLOOKUP($P1992,매칭테이블!$G:$J,3,0)</f>
        <v/>
      </c>
      <c r="N1992" s="39">
        <f>VLOOKUP($P1992,매칭테이블!$G:$J,4,0)*H1992</f>
        <v/>
      </c>
      <c r="O1992" s="55">
        <f>L1992/1.1</f>
        <v/>
      </c>
      <c r="P1992" s="39">
        <f>F1992&amp;E1992&amp;I1992&amp;J1992</f>
        <v/>
      </c>
    </row>
    <row r="1993">
      <c r="B1993" s="51" t="n">
        <v>44149</v>
      </c>
      <c r="C1993" s="39" t="inlineStr">
        <is>
          <t>토</t>
        </is>
      </c>
      <c r="E1993" s="39" t="inlineStr">
        <is>
          <t>고체향수</t>
        </is>
      </c>
      <c r="F1993" s="39" t="inlineStr">
        <is>
          <t>카페24</t>
        </is>
      </c>
      <c r="H1993" s="39" t="n">
        <v>10</v>
      </c>
      <c r="I1993" s="39" t="inlineStr">
        <is>
          <t>이그나이트</t>
        </is>
      </c>
      <c r="J1993" s="20" t="n">
        <v>200720</v>
      </c>
      <c r="L1993" s="39">
        <f>VLOOKUP($P1993,매칭테이블!$G:$J,2,0)*H1993</f>
        <v/>
      </c>
      <c r="M1993" s="39">
        <f>L1993-L1993*VLOOKUP($P1993,매칭테이블!$G:$J,3,0)</f>
        <v/>
      </c>
      <c r="N1993" s="39">
        <f>VLOOKUP($P1993,매칭테이블!$G:$J,4,0)*H1993</f>
        <v/>
      </c>
      <c r="O1993" s="55">
        <f>L1993/1.1</f>
        <v/>
      </c>
      <c r="P1993" s="39">
        <f>F1993&amp;E1993&amp;I1993&amp;J1993</f>
        <v/>
      </c>
    </row>
    <row r="1994">
      <c r="B1994" s="51" t="n">
        <v>44149</v>
      </c>
      <c r="C1994" s="39" t="inlineStr">
        <is>
          <t>토</t>
        </is>
      </c>
      <c r="E1994" s="39" t="inlineStr">
        <is>
          <t>고체향수</t>
        </is>
      </c>
      <c r="F1994" s="39" t="inlineStr">
        <is>
          <t>카페24</t>
        </is>
      </c>
      <c r="H1994" s="39" t="n">
        <v>1</v>
      </c>
      <c r="I1994" s="39" t="inlineStr">
        <is>
          <t>이그나이트 2set</t>
        </is>
      </c>
      <c r="J1994" s="20" t="n">
        <v>200720</v>
      </c>
      <c r="L1994" s="39">
        <f>VLOOKUP($P1994,매칭테이블!$G:$J,2,0)*H1994</f>
        <v/>
      </c>
      <c r="M1994" s="39">
        <f>L1994-L1994*VLOOKUP($P1994,매칭테이블!$G:$J,3,0)</f>
        <v/>
      </c>
      <c r="N1994" s="39">
        <f>VLOOKUP($P1994,매칭테이블!$G:$J,4,0)*H1994</f>
        <v/>
      </c>
      <c r="O1994" s="55">
        <f>L1994/1.1</f>
        <v/>
      </c>
      <c r="P1994" s="39">
        <f>F1994&amp;E1994&amp;I1994&amp;J1994</f>
        <v/>
      </c>
    </row>
    <row r="1995">
      <c r="B1995" s="51" t="n">
        <v>44149</v>
      </c>
      <c r="C1995" s="39" t="inlineStr">
        <is>
          <t>토</t>
        </is>
      </c>
      <c r="E1995" s="39" t="inlineStr">
        <is>
          <t>쇼핑백</t>
        </is>
      </c>
      <c r="F1995" s="39" t="inlineStr">
        <is>
          <t>카페24</t>
        </is>
      </c>
      <c r="H1995" s="39" t="n">
        <v>10</v>
      </c>
      <c r="I1995" s="39" t="inlineStr">
        <is>
          <t>유즈쇼핑백</t>
        </is>
      </c>
      <c r="J1995" s="20" t="n">
        <v>200720</v>
      </c>
      <c r="L1995" s="39">
        <f>VLOOKUP($P1995,매칭테이블!$G:$J,2,0)*H1995</f>
        <v/>
      </c>
      <c r="M1995" s="39">
        <f>L1995-L1995*VLOOKUP($P1995,매칭테이블!$G:$J,3,0)</f>
        <v/>
      </c>
      <c r="N1995" s="39">
        <f>VLOOKUP($P1995,매칭테이블!$G:$J,4,0)*H1995</f>
        <v/>
      </c>
      <c r="O1995" s="55">
        <f>L1995/1.1</f>
        <v/>
      </c>
      <c r="P1995" s="39">
        <f>F1995&amp;E1995&amp;I1995&amp;J1995</f>
        <v/>
      </c>
    </row>
    <row r="1996">
      <c r="B1996" s="51" t="n">
        <v>44150</v>
      </c>
      <c r="C1996" s="39" t="inlineStr">
        <is>
          <t>일</t>
        </is>
      </c>
      <c r="E1996" s="39" t="inlineStr">
        <is>
          <t>고체향수</t>
        </is>
      </c>
      <c r="F1996" s="39" t="inlineStr">
        <is>
          <t>카페24</t>
        </is>
      </c>
      <c r="H1996" s="39" t="n">
        <v>18</v>
      </c>
      <c r="I1996" s="39" t="inlineStr">
        <is>
          <t>이그나이트 + 스테이포에버</t>
        </is>
      </c>
      <c r="J1996" s="20" t="n">
        <v>200720</v>
      </c>
      <c r="L1996" s="39">
        <f>VLOOKUP($P1996,매칭테이블!$G:$J,2,0)*H1996</f>
        <v/>
      </c>
      <c r="M1996" s="39">
        <f>L1996-L1996*VLOOKUP($P1996,매칭테이블!$G:$J,3,0)</f>
        <v/>
      </c>
      <c r="N1996" s="39">
        <f>VLOOKUP($P1996,매칭테이블!$G:$J,4,0)*H1996</f>
        <v/>
      </c>
      <c r="O1996" s="55">
        <f>L1996/1.1</f>
        <v/>
      </c>
      <c r="P1996" s="39">
        <f>F1996&amp;E1996&amp;I1996&amp;J1996</f>
        <v/>
      </c>
    </row>
    <row r="1997">
      <c r="B1997" s="51" t="n">
        <v>44150</v>
      </c>
      <c r="C1997" s="39" t="inlineStr">
        <is>
          <t>일</t>
        </is>
      </c>
      <c r="E1997" s="39" t="inlineStr">
        <is>
          <t>고체향수</t>
        </is>
      </c>
      <c r="F1997" s="39" t="inlineStr">
        <is>
          <t>카페24</t>
        </is>
      </c>
      <c r="H1997" s="39" t="n">
        <v>1</v>
      </c>
      <c r="I1997" s="39" t="inlineStr">
        <is>
          <t>이그나이트 + 스테이포에버 2set</t>
        </is>
      </c>
      <c r="J1997" s="20" t="n">
        <v>200720</v>
      </c>
      <c r="L1997" s="39">
        <f>VLOOKUP($P1997,매칭테이블!$G:$J,2,0)*H1997</f>
        <v/>
      </c>
      <c r="M1997" s="39">
        <f>L1997-L1997*VLOOKUP($P1997,매칭테이블!$G:$J,3,0)</f>
        <v/>
      </c>
      <c r="N1997" s="39">
        <f>VLOOKUP($P1997,매칭테이블!$G:$J,4,0)*H1997</f>
        <v/>
      </c>
      <c r="O1997" s="55">
        <f>L1997/1.1</f>
        <v/>
      </c>
      <c r="P1997" s="39">
        <f>F1997&amp;E1997&amp;I1997&amp;J1997</f>
        <v/>
      </c>
    </row>
    <row r="1998">
      <c r="B1998" s="51" t="n">
        <v>44150</v>
      </c>
      <c r="C1998" s="39" t="inlineStr">
        <is>
          <t>일</t>
        </is>
      </c>
      <c r="E1998" s="39" t="inlineStr">
        <is>
          <t>고체향수</t>
        </is>
      </c>
      <c r="F1998" s="39" t="inlineStr">
        <is>
          <t>카페24</t>
        </is>
      </c>
      <c r="H1998" s="39" t="n">
        <v>211</v>
      </c>
      <c r="I1998" s="39" t="inlineStr">
        <is>
          <t>스테이포에버</t>
        </is>
      </c>
      <c r="J1998" s="20" t="n">
        <v>200720</v>
      </c>
      <c r="L1998" s="39">
        <f>VLOOKUP($P1998,매칭테이블!$G:$J,2,0)*H1998</f>
        <v/>
      </c>
      <c r="M1998" s="39">
        <f>L1998-L1998*VLOOKUP($P1998,매칭테이블!$G:$J,3,0)</f>
        <v/>
      </c>
      <c r="N1998" s="39">
        <f>VLOOKUP($P1998,매칭테이블!$G:$J,4,0)*H1998</f>
        <v/>
      </c>
      <c r="O1998" s="55">
        <f>L1998/1.1</f>
        <v/>
      </c>
      <c r="P1998" s="39">
        <f>F1998&amp;E1998&amp;I1998&amp;J1998</f>
        <v/>
      </c>
    </row>
    <row r="1999">
      <c r="B1999" s="51" t="n">
        <v>44150</v>
      </c>
      <c r="C1999" s="39" t="inlineStr">
        <is>
          <t>일</t>
        </is>
      </c>
      <c r="E1999" s="39" t="inlineStr">
        <is>
          <t>고체향수</t>
        </is>
      </c>
      <c r="F1999" s="39" t="inlineStr">
        <is>
          <t>카페24</t>
        </is>
      </c>
      <c r="G1999" s="39" t="n"/>
      <c r="H1999" s="39" t="n">
        <v>52</v>
      </c>
      <c r="I1999" s="39" t="inlineStr">
        <is>
          <t>스테이포에버 2set</t>
        </is>
      </c>
      <c r="J1999" s="20" t="n">
        <v>200720</v>
      </c>
      <c r="L1999" s="39">
        <f>VLOOKUP($P1999,매칭테이블!$G:$J,2,0)*H1999</f>
        <v/>
      </c>
      <c r="M1999" s="39">
        <f>L1999-L1999*VLOOKUP($P1999,매칭테이블!$G:$J,3,0)</f>
        <v/>
      </c>
      <c r="N1999" s="39">
        <f>VLOOKUP($P1999,매칭테이블!$G:$J,4,0)*H1999</f>
        <v/>
      </c>
      <c r="O1999" s="55">
        <f>L1999/1.1</f>
        <v/>
      </c>
      <c r="P1999" s="39">
        <f>F1999&amp;E1999&amp;I1999&amp;J1999</f>
        <v/>
      </c>
    </row>
    <row r="2000">
      <c r="B2000" s="51" t="n">
        <v>44150</v>
      </c>
      <c r="C2000" s="39" t="inlineStr">
        <is>
          <t>일</t>
        </is>
      </c>
      <c r="E2000" s="39" t="inlineStr">
        <is>
          <t>고체향수</t>
        </is>
      </c>
      <c r="F2000" s="39" t="inlineStr">
        <is>
          <t>카페24</t>
        </is>
      </c>
      <c r="H2000" s="39" t="n">
        <v>6</v>
      </c>
      <c r="I2000" s="39" t="inlineStr">
        <is>
          <t>이그나이트</t>
        </is>
      </c>
      <c r="J2000" s="20" t="n">
        <v>200720</v>
      </c>
      <c r="L2000" s="39">
        <f>VLOOKUP($P2000,매칭테이블!$G:$J,2,0)*H2000</f>
        <v/>
      </c>
      <c r="M2000" s="39">
        <f>L2000-L2000*VLOOKUP($P2000,매칭테이블!$G:$J,3,0)</f>
        <v/>
      </c>
      <c r="N2000" s="39">
        <f>VLOOKUP($P2000,매칭테이블!$G:$J,4,0)*H2000</f>
        <v/>
      </c>
      <c r="O2000" s="55">
        <f>L2000/1.1</f>
        <v/>
      </c>
      <c r="P2000" s="39">
        <f>F2000&amp;E2000&amp;I2000&amp;J2000</f>
        <v/>
      </c>
    </row>
    <row r="2001">
      <c r="B2001" s="51" t="n">
        <v>44150</v>
      </c>
      <c r="C2001" s="39" t="inlineStr">
        <is>
          <t>일</t>
        </is>
      </c>
      <c r="E2001" s="39" t="inlineStr">
        <is>
          <t>쇼핑백</t>
        </is>
      </c>
      <c r="F2001" s="39" t="inlineStr">
        <is>
          <t>카페24</t>
        </is>
      </c>
      <c r="H2001" s="39" t="n">
        <v>6</v>
      </c>
      <c r="I2001" s="39" t="inlineStr">
        <is>
          <t>유즈쇼핑백</t>
        </is>
      </c>
      <c r="J2001" s="20" t="n">
        <v>200720</v>
      </c>
      <c r="L2001" s="39">
        <f>VLOOKUP($P2001,매칭테이블!$G:$J,2,0)*H2001</f>
        <v/>
      </c>
      <c r="M2001" s="39">
        <f>L2001-L2001*VLOOKUP($P2001,매칭테이블!$G:$J,3,0)</f>
        <v/>
      </c>
      <c r="N2001" s="39">
        <f>VLOOKUP($P2001,매칭테이블!$G:$J,4,0)*H2001</f>
        <v/>
      </c>
      <c r="O2001" s="55">
        <f>L2001/1.1</f>
        <v/>
      </c>
      <c r="P2001" s="39">
        <f>F2001&amp;E2001&amp;I2001&amp;J2001</f>
        <v/>
      </c>
    </row>
    <row r="2002">
      <c r="B2002" s="51" t="n">
        <v>44151</v>
      </c>
      <c r="C2002" s="39" t="inlineStr">
        <is>
          <t>월</t>
        </is>
      </c>
      <c r="E2002" s="39" t="inlineStr">
        <is>
          <t>고체향수</t>
        </is>
      </c>
      <c r="F2002" s="39" t="inlineStr">
        <is>
          <t>유즈 CS</t>
        </is>
      </c>
      <c r="H2002" s="39" t="n">
        <v>1</v>
      </c>
      <c r="I2002" s="39" t="inlineStr">
        <is>
          <t>스테이포에버</t>
        </is>
      </c>
      <c r="J2002" s="39" t="n">
        <v>200520</v>
      </c>
      <c r="L2002" s="39">
        <f>VLOOKUP($P2002,매칭테이블!$G:$J,2,0)*H2002</f>
        <v/>
      </c>
      <c r="M2002" s="39">
        <f>L2002-L2002*VLOOKUP($P2002,매칭테이블!$G:$J,3,0)</f>
        <v/>
      </c>
      <c r="N2002" s="39">
        <f>VLOOKUP($P2002,매칭테이블!$G:$J,4,0)*H2002</f>
        <v/>
      </c>
      <c r="O2002" s="55">
        <f>L2002/1.1</f>
        <v/>
      </c>
      <c r="P2002" s="39">
        <f>F2002&amp;E2002&amp;I2002&amp;J2002</f>
        <v/>
      </c>
    </row>
    <row r="2003">
      <c r="B2003" s="51" t="n">
        <v>44151</v>
      </c>
      <c r="C2003" s="39" t="inlineStr">
        <is>
          <t>월</t>
        </is>
      </c>
      <c r="E2003" s="39" t="inlineStr">
        <is>
          <t>고체향수</t>
        </is>
      </c>
      <c r="F2003" s="39" t="inlineStr">
        <is>
          <t>카페24</t>
        </is>
      </c>
      <c r="H2003" s="39" t="n">
        <v>18</v>
      </c>
      <c r="I2003" s="39" t="inlineStr">
        <is>
          <t>이그나이트 + 스테이포에버</t>
        </is>
      </c>
      <c r="J2003" s="20" t="n">
        <v>200720</v>
      </c>
      <c r="L2003" s="39">
        <f>VLOOKUP($P2003,매칭테이블!$G:$J,2,0)*H2003</f>
        <v/>
      </c>
      <c r="M2003" s="39">
        <f>L2003-L2003*VLOOKUP($P2003,매칭테이블!$G:$J,3,0)</f>
        <v/>
      </c>
      <c r="N2003" s="39">
        <f>VLOOKUP($P2003,매칭테이블!$G:$J,4,0)*H2003</f>
        <v/>
      </c>
      <c r="O2003" s="55">
        <f>L2003/1.1</f>
        <v/>
      </c>
      <c r="P2003" s="39">
        <f>F2003&amp;E2003&amp;I2003&amp;J2003</f>
        <v/>
      </c>
    </row>
    <row r="2004">
      <c r="B2004" s="51" t="n">
        <v>44151</v>
      </c>
      <c r="C2004" s="39" t="inlineStr">
        <is>
          <t>월</t>
        </is>
      </c>
      <c r="E2004" s="39" t="inlineStr">
        <is>
          <t>고체향수</t>
        </is>
      </c>
      <c r="F2004" s="39" t="inlineStr">
        <is>
          <t>카페24</t>
        </is>
      </c>
      <c r="H2004" s="39" t="n">
        <v>152</v>
      </c>
      <c r="I2004" s="39" t="inlineStr">
        <is>
          <t>스테이포에버</t>
        </is>
      </c>
      <c r="J2004" s="20" t="n">
        <v>200720</v>
      </c>
      <c r="L2004" s="39">
        <f>VLOOKUP($P2004,매칭테이블!$G:$J,2,0)*H2004</f>
        <v/>
      </c>
      <c r="M2004" s="39">
        <f>L2004-L2004*VLOOKUP($P2004,매칭테이블!$G:$J,3,0)</f>
        <v/>
      </c>
      <c r="N2004" s="39">
        <f>VLOOKUP($P2004,매칭테이블!$G:$J,4,0)*H2004</f>
        <v/>
      </c>
      <c r="O2004" s="55">
        <f>L2004/1.1</f>
        <v/>
      </c>
      <c r="P2004" s="39">
        <f>F2004&amp;E2004&amp;I2004&amp;J2004</f>
        <v/>
      </c>
    </row>
    <row r="2005">
      <c r="B2005" s="51" t="n">
        <v>44151</v>
      </c>
      <c r="C2005" s="39" t="inlineStr">
        <is>
          <t>월</t>
        </is>
      </c>
      <c r="E2005" s="39" t="inlineStr">
        <is>
          <t>고체향수</t>
        </is>
      </c>
      <c r="F2005" s="39" t="inlineStr">
        <is>
          <t>카페24</t>
        </is>
      </c>
      <c r="G2005" s="39" t="n"/>
      <c r="H2005" s="39" t="n">
        <v>56</v>
      </c>
      <c r="I2005" s="39" t="inlineStr">
        <is>
          <t>스테이포에버 2set</t>
        </is>
      </c>
      <c r="J2005" s="20" t="n">
        <v>200720</v>
      </c>
      <c r="L2005" s="39">
        <f>VLOOKUP($P2005,매칭테이블!$G:$J,2,0)*H2005</f>
        <v/>
      </c>
      <c r="M2005" s="39">
        <f>L2005-L2005*VLOOKUP($P2005,매칭테이블!$G:$J,3,0)</f>
        <v/>
      </c>
      <c r="N2005" s="39">
        <f>VLOOKUP($P2005,매칭테이블!$G:$J,4,0)*H2005</f>
        <v/>
      </c>
      <c r="O2005" s="55">
        <f>L2005/1.1</f>
        <v/>
      </c>
      <c r="P2005" s="39">
        <f>F2005&amp;E2005&amp;I2005&amp;J2005</f>
        <v/>
      </c>
    </row>
    <row r="2006">
      <c r="B2006" s="51" t="n">
        <v>44151</v>
      </c>
      <c r="C2006" s="39" t="inlineStr">
        <is>
          <t>월</t>
        </is>
      </c>
      <c r="E2006" s="39" t="inlineStr">
        <is>
          <t>고체향수</t>
        </is>
      </c>
      <c r="F2006" s="39" t="inlineStr">
        <is>
          <t>카페24</t>
        </is>
      </c>
      <c r="H2006" s="39" t="n">
        <v>1</v>
      </c>
      <c r="I2006" s="39" t="inlineStr">
        <is>
          <t>이그나이트</t>
        </is>
      </c>
      <c r="J2006" s="20" t="n">
        <v>200720</v>
      </c>
      <c r="L2006" s="39">
        <f>VLOOKUP($P2006,매칭테이블!$G:$J,2,0)*H2006</f>
        <v/>
      </c>
      <c r="M2006" s="39">
        <f>L2006-L2006*VLOOKUP($P2006,매칭테이블!$G:$J,3,0)</f>
        <v/>
      </c>
      <c r="N2006" s="39">
        <f>VLOOKUP($P2006,매칭테이블!$G:$J,4,0)*H2006</f>
        <v/>
      </c>
      <c r="O2006" s="55">
        <f>L2006/1.1</f>
        <v/>
      </c>
      <c r="P2006" s="39">
        <f>F2006&amp;E2006&amp;I2006&amp;J2006</f>
        <v/>
      </c>
    </row>
    <row r="2007">
      <c r="B2007" s="51" t="n">
        <v>44151</v>
      </c>
      <c r="C2007" s="39" t="inlineStr">
        <is>
          <t>월</t>
        </is>
      </c>
      <c r="E2007" s="39" t="inlineStr">
        <is>
          <t>고체향수</t>
        </is>
      </c>
      <c r="F2007" s="39" t="inlineStr">
        <is>
          <t>카페24</t>
        </is>
      </c>
      <c r="H2007" s="39" t="n">
        <v>4</v>
      </c>
      <c r="I2007" s="39" t="inlineStr">
        <is>
          <t>이그나이트 2set</t>
        </is>
      </c>
      <c r="J2007" s="20" t="n">
        <v>200720</v>
      </c>
      <c r="L2007" s="39">
        <f>VLOOKUP($P2007,매칭테이블!$G:$J,2,0)*H2007</f>
        <v/>
      </c>
      <c r="M2007" s="39">
        <f>L2007-L2007*VLOOKUP($P2007,매칭테이블!$G:$J,3,0)</f>
        <v/>
      </c>
      <c r="N2007" s="39">
        <f>VLOOKUP($P2007,매칭테이블!$G:$J,4,0)*H2007</f>
        <v/>
      </c>
      <c r="O2007" s="55">
        <f>L2007/1.1</f>
        <v/>
      </c>
      <c r="P2007" s="39">
        <f>F2007&amp;E2007&amp;I2007&amp;J2007</f>
        <v/>
      </c>
    </row>
    <row r="2008">
      <c r="B2008" s="51" t="n">
        <v>44151</v>
      </c>
      <c r="C2008" s="39" t="inlineStr">
        <is>
          <t>월</t>
        </is>
      </c>
      <c r="E2008" s="39" t="inlineStr">
        <is>
          <t>쇼핑백</t>
        </is>
      </c>
      <c r="F2008" s="39" t="inlineStr">
        <is>
          <t>카페24</t>
        </is>
      </c>
      <c r="H2008" s="39" t="n">
        <v>7</v>
      </c>
      <c r="I2008" s="39" t="inlineStr">
        <is>
          <t>유즈쇼핑백</t>
        </is>
      </c>
      <c r="J2008" s="20" t="n">
        <v>200720</v>
      </c>
      <c r="L2008" s="39">
        <f>VLOOKUP($P2008,매칭테이블!$G:$J,2,0)*H2008</f>
        <v/>
      </c>
      <c r="M2008" s="39">
        <f>L2008-L2008*VLOOKUP($P2008,매칭테이블!$G:$J,3,0)</f>
        <v/>
      </c>
      <c r="N2008" s="39">
        <f>VLOOKUP($P2008,매칭테이블!$G:$J,4,0)*H2008</f>
        <v/>
      </c>
      <c r="O2008" s="55">
        <f>L2008/1.1</f>
        <v/>
      </c>
      <c r="P2008" s="39">
        <f>F2008&amp;E2008&amp;I2008&amp;J2008</f>
        <v/>
      </c>
    </row>
    <row r="2009">
      <c r="B2009" s="51" t="n">
        <v>44152</v>
      </c>
      <c r="C2009" s="39" t="inlineStr">
        <is>
          <t>화</t>
        </is>
      </c>
      <c r="E2009" s="39" t="inlineStr">
        <is>
          <t>고체향수</t>
        </is>
      </c>
      <c r="F2009" s="39" t="inlineStr">
        <is>
          <t>카페24</t>
        </is>
      </c>
      <c r="H2009" s="39" t="n">
        <v>20</v>
      </c>
      <c r="I2009" s="39" t="inlineStr">
        <is>
          <t>이그나이트 + 스테이포에버</t>
        </is>
      </c>
      <c r="J2009" s="20" t="n">
        <v>200720</v>
      </c>
      <c r="L2009" s="39">
        <f>VLOOKUP($P2009,매칭테이블!$G:$J,2,0)*H2009</f>
        <v/>
      </c>
      <c r="M2009" s="39">
        <f>L2009-L2009*VLOOKUP($P2009,매칭테이블!$G:$J,3,0)</f>
        <v/>
      </c>
      <c r="N2009" s="39">
        <f>VLOOKUP($P2009,매칭테이블!$G:$J,4,0)*H2009</f>
        <v/>
      </c>
      <c r="O2009" s="55">
        <f>L2009/1.1</f>
        <v/>
      </c>
      <c r="P2009" s="39">
        <f>F2009&amp;E2009&amp;I2009&amp;J2009</f>
        <v/>
      </c>
    </row>
    <row r="2010">
      <c r="B2010" s="51" t="n">
        <v>44152</v>
      </c>
      <c r="C2010" s="39" t="inlineStr">
        <is>
          <t>화</t>
        </is>
      </c>
      <c r="E2010" s="39" t="inlineStr">
        <is>
          <t>고체향수</t>
        </is>
      </c>
      <c r="F2010" s="39" t="inlineStr">
        <is>
          <t>카페24</t>
        </is>
      </c>
      <c r="H2010" s="39" t="n">
        <v>1</v>
      </c>
      <c r="I2010" s="39" t="inlineStr">
        <is>
          <t>이그나이트 + 스테이포에버 2set</t>
        </is>
      </c>
      <c r="J2010" s="20" t="n">
        <v>200720</v>
      </c>
      <c r="L2010" s="39">
        <f>VLOOKUP($P2010,매칭테이블!$G:$J,2,0)*H2010</f>
        <v/>
      </c>
      <c r="M2010" s="39">
        <f>L2010-L2010*VLOOKUP($P2010,매칭테이블!$G:$J,3,0)</f>
        <v/>
      </c>
      <c r="N2010" s="39">
        <f>VLOOKUP($P2010,매칭테이블!$G:$J,4,0)*H2010</f>
        <v/>
      </c>
      <c r="O2010" s="55">
        <f>L2010/1.1</f>
        <v/>
      </c>
      <c r="P2010" s="39">
        <f>F2010&amp;E2010&amp;I2010&amp;J2010</f>
        <v/>
      </c>
    </row>
    <row r="2011">
      <c r="B2011" s="51" t="n">
        <v>44152</v>
      </c>
      <c r="C2011" s="39" t="inlineStr">
        <is>
          <t>화</t>
        </is>
      </c>
      <c r="E2011" s="39" t="inlineStr">
        <is>
          <t>고체향수</t>
        </is>
      </c>
      <c r="F2011" s="39" t="inlineStr">
        <is>
          <t>카페24</t>
        </is>
      </c>
      <c r="H2011" s="39" t="n">
        <v>198</v>
      </c>
      <c r="I2011" s="39" t="inlineStr">
        <is>
          <t>스테이포에버</t>
        </is>
      </c>
      <c r="J2011" s="20" t="n">
        <v>200720</v>
      </c>
      <c r="L2011" s="39">
        <f>VLOOKUP($P2011,매칭테이블!$G:$J,2,0)*H2011</f>
        <v/>
      </c>
      <c r="M2011" s="39">
        <f>L2011-L2011*VLOOKUP($P2011,매칭테이블!$G:$J,3,0)</f>
        <v/>
      </c>
      <c r="N2011" s="39">
        <f>VLOOKUP($P2011,매칭테이블!$G:$J,4,0)*H2011</f>
        <v/>
      </c>
      <c r="O2011" s="55">
        <f>L2011/1.1</f>
        <v/>
      </c>
      <c r="P2011" s="39">
        <f>F2011&amp;E2011&amp;I2011&amp;J2011</f>
        <v/>
      </c>
    </row>
    <row r="2012">
      <c r="B2012" s="51" t="n">
        <v>44152</v>
      </c>
      <c r="C2012" s="39" t="inlineStr">
        <is>
          <t>화</t>
        </is>
      </c>
      <c r="E2012" s="39" t="inlineStr">
        <is>
          <t>고체향수</t>
        </is>
      </c>
      <c r="F2012" s="39" t="inlineStr">
        <is>
          <t>카페24</t>
        </is>
      </c>
      <c r="G2012" s="39" t="n"/>
      <c r="H2012" s="39" t="n">
        <v>82</v>
      </c>
      <c r="I2012" s="39" t="inlineStr">
        <is>
          <t>스테이포에버 2set</t>
        </is>
      </c>
      <c r="J2012" s="20" t="n">
        <v>200720</v>
      </c>
      <c r="L2012" s="39">
        <f>VLOOKUP($P2012,매칭테이블!$G:$J,2,0)*H2012</f>
        <v/>
      </c>
      <c r="M2012" s="39">
        <f>L2012-L2012*VLOOKUP($P2012,매칭테이블!$G:$J,3,0)</f>
        <v/>
      </c>
      <c r="N2012" s="39">
        <f>VLOOKUP($P2012,매칭테이블!$G:$J,4,0)*H2012</f>
        <v/>
      </c>
      <c r="O2012" s="55">
        <f>L2012/1.1</f>
        <v/>
      </c>
      <c r="P2012" s="39">
        <f>F2012&amp;E2012&amp;I2012&amp;J2012</f>
        <v/>
      </c>
    </row>
    <row r="2013">
      <c r="B2013" s="51" t="n">
        <v>44152</v>
      </c>
      <c r="C2013" s="39" t="inlineStr">
        <is>
          <t>화</t>
        </is>
      </c>
      <c r="E2013" s="39" t="inlineStr">
        <is>
          <t>고체향수</t>
        </is>
      </c>
      <c r="F2013" s="39" t="inlineStr">
        <is>
          <t>카페24</t>
        </is>
      </c>
      <c r="H2013" s="39" t="n">
        <v>5</v>
      </c>
      <c r="I2013" s="39" t="inlineStr">
        <is>
          <t>이그나이트</t>
        </is>
      </c>
      <c r="J2013" s="20" t="n">
        <v>200720</v>
      </c>
      <c r="L2013" s="39">
        <f>VLOOKUP($P2013,매칭테이블!$G:$J,2,0)*H2013</f>
        <v/>
      </c>
      <c r="M2013" s="39">
        <f>L2013-L2013*VLOOKUP($P2013,매칭테이블!$G:$J,3,0)</f>
        <v/>
      </c>
      <c r="N2013" s="39">
        <f>VLOOKUP($P2013,매칭테이블!$G:$J,4,0)*H2013</f>
        <v/>
      </c>
      <c r="O2013" s="55">
        <f>L2013/1.1</f>
        <v/>
      </c>
      <c r="P2013" s="39">
        <f>F2013&amp;E2013&amp;I2013&amp;J2013</f>
        <v/>
      </c>
    </row>
    <row r="2014">
      <c r="B2014" s="51" t="n">
        <v>44152</v>
      </c>
      <c r="C2014" s="39" t="inlineStr">
        <is>
          <t>화</t>
        </is>
      </c>
      <c r="E2014" s="39" t="inlineStr">
        <is>
          <t>쇼핑백</t>
        </is>
      </c>
      <c r="F2014" s="39" t="inlineStr">
        <is>
          <t>카페24</t>
        </is>
      </c>
      <c r="H2014" s="39" t="n">
        <v>6</v>
      </c>
      <c r="I2014" s="39" t="inlineStr">
        <is>
          <t>유즈쇼핑백</t>
        </is>
      </c>
      <c r="J2014" s="20" t="n">
        <v>200720</v>
      </c>
      <c r="L2014" s="39">
        <f>VLOOKUP($P2014,매칭테이블!$G:$J,2,0)*H2014</f>
        <v/>
      </c>
      <c r="M2014" s="39">
        <f>L2014-L2014*VLOOKUP($P2014,매칭테이블!$G:$J,3,0)</f>
        <v/>
      </c>
      <c r="N2014" s="39">
        <f>VLOOKUP($P2014,매칭테이블!$G:$J,4,0)*H2014</f>
        <v/>
      </c>
      <c r="O2014" s="55">
        <f>L2014/1.1</f>
        <v/>
      </c>
      <c r="P2014" s="39">
        <f>F2014&amp;E2014&amp;I2014&amp;J2014</f>
        <v/>
      </c>
    </row>
    <row r="2015">
      <c r="B2015" s="51" t="n">
        <v>44153</v>
      </c>
      <c r="C2015" s="39" t="inlineStr">
        <is>
          <t>수</t>
        </is>
      </c>
      <c r="E2015" s="39" t="inlineStr">
        <is>
          <t>고체향수</t>
        </is>
      </c>
      <c r="F2015" s="39" t="inlineStr">
        <is>
          <t>카페24</t>
        </is>
      </c>
      <c r="H2015" s="39" t="n">
        <v>15</v>
      </c>
      <c r="I2015" s="39" t="inlineStr">
        <is>
          <t>이그나이트 + 스테이포에버</t>
        </is>
      </c>
      <c r="J2015" s="20" t="n">
        <v>200720</v>
      </c>
      <c r="L2015" s="39">
        <f>VLOOKUP($P2015,매칭테이블!$G:$J,2,0)*H2015</f>
        <v/>
      </c>
      <c r="M2015" s="39">
        <f>L2015-L2015*VLOOKUP($P2015,매칭테이블!$G:$J,3,0)</f>
        <v/>
      </c>
      <c r="N2015" s="39">
        <f>VLOOKUP($P2015,매칭테이블!$G:$J,4,0)*H2015</f>
        <v/>
      </c>
      <c r="O2015" s="55">
        <f>L2015/1.1</f>
        <v/>
      </c>
      <c r="P2015" s="39">
        <f>F2015&amp;E2015&amp;I2015&amp;J2015</f>
        <v/>
      </c>
    </row>
    <row r="2016">
      <c r="B2016" s="51" t="n">
        <v>44153</v>
      </c>
      <c r="C2016" s="39" t="inlineStr">
        <is>
          <t>수</t>
        </is>
      </c>
      <c r="E2016" s="39" t="inlineStr">
        <is>
          <t>고체향수</t>
        </is>
      </c>
      <c r="F2016" s="39" t="inlineStr">
        <is>
          <t>카페24</t>
        </is>
      </c>
      <c r="H2016" s="39" t="n">
        <v>1</v>
      </c>
      <c r="I2016" s="39" t="inlineStr">
        <is>
          <t>이그나이트 + 스테이포에버 2set</t>
        </is>
      </c>
      <c r="J2016" s="20" t="n">
        <v>200720</v>
      </c>
      <c r="L2016" s="39">
        <f>VLOOKUP($P2016,매칭테이블!$G:$J,2,0)*H2016</f>
        <v/>
      </c>
      <c r="M2016" s="39">
        <f>L2016-L2016*VLOOKUP($P2016,매칭테이블!$G:$J,3,0)</f>
        <v/>
      </c>
      <c r="N2016" s="39">
        <f>VLOOKUP($P2016,매칭테이블!$G:$J,4,0)*H2016</f>
        <v/>
      </c>
      <c r="O2016" s="55">
        <f>L2016/1.1</f>
        <v/>
      </c>
      <c r="P2016" s="39">
        <f>F2016&amp;E2016&amp;I2016&amp;J2016</f>
        <v/>
      </c>
    </row>
    <row r="2017">
      <c r="B2017" s="51" t="n">
        <v>44153</v>
      </c>
      <c r="C2017" s="39" t="inlineStr">
        <is>
          <t>수</t>
        </is>
      </c>
      <c r="E2017" s="39" t="inlineStr">
        <is>
          <t>고체향수</t>
        </is>
      </c>
      <c r="F2017" s="39" t="inlineStr">
        <is>
          <t>카페24</t>
        </is>
      </c>
      <c r="H2017" s="39" t="n">
        <v>161</v>
      </c>
      <c r="I2017" s="39" t="inlineStr">
        <is>
          <t>스테이포에버</t>
        </is>
      </c>
      <c r="J2017" s="20" t="n">
        <v>200720</v>
      </c>
      <c r="L2017" s="39">
        <f>VLOOKUP($P2017,매칭테이블!$G:$J,2,0)*H2017</f>
        <v/>
      </c>
      <c r="M2017" s="39">
        <f>L2017-L2017*VLOOKUP($P2017,매칭테이블!$G:$J,3,0)</f>
        <v/>
      </c>
      <c r="N2017" s="39">
        <f>VLOOKUP($P2017,매칭테이블!$G:$J,4,0)*H2017</f>
        <v/>
      </c>
      <c r="O2017" s="55">
        <f>L2017/1.1</f>
        <v/>
      </c>
      <c r="P2017" s="39">
        <f>F2017&amp;E2017&amp;I2017&amp;J2017</f>
        <v/>
      </c>
    </row>
    <row r="2018">
      <c r="B2018" s="51" t="n">
        <v>44153</v>
      </c>
      <c r="C2018" s="39" t="inlineStr">
        <is>
          <t>수</t>
        </is>
      </c>
      <c r="E2018" s="39" t="inlineStr">
        <is>
          <t>고체향수</t>
        </is>
      </c>
      <c r="F2018" s="39" t="inlineStr">
        <is>
          <t>카페24</t>
        </is>
      </c>
      <c r="G2018" s="39" t="n"/>
      <c r="H2018" s="39" t="n">
        <v>76</v>
      </c>
      <c r="I2018" s="39" t="inlineStr">
        <is>
          <t>스테이포에버 2set</t>
        </is>
      </c>
      <c r="J2018" s="20" t="n">
        <v>200720</v>
      </c>
      <c r="L2018" s="39">
        <f>VLOOKUP($P2018,매칭테이블!$G:$J,2,0)*H2018</f>
        <v/>
      </c>
      <c r="M2018" s="39">
        <f>L2018-L2018*VLOOKUP($P2018,매칭테이블!$G:$J,3,0)</f>
        <v/>
      </c>
      <c r="N2018" s="39">
        <f>VLOOKUP($P2018,매칭테이블!$G:$J,4,0)*H2018</f>
        <v/>
      </c>
      <c r="O2018" s="55">
        <f>L2018/1.1</f>
        <v/>
      </c>
      <c r="P2018" s="39">
        <f>F2018&amp;E2018&amp;I2018&amp;J2018</f>
        <v/>
      </c>
    </row>
    <row r="2019">
      <c r="B2019" s="51" t="n">
        <v>44153</v>
      </c>
      <c r="C2019" s="39" t="inlineStr">
        <is>
          <t>수</t>
        </is>
      </c>
      <c r="E2019" s="39" t="inlineStr">
        <is>
          <t>고체향수</t>
        </is>
      </c>
      <c r="F2019" s="39" t="inlineStr">
        <is>
          <t>카페24</t>
        </is>
      </c>
      <c r="H2019" s="39" t="n">
        <v>6</v>
      </c>
      <c r="I2019" s="39" t="inlineStr">
        <is>
          <t>이그나이트</t>
        </is>
      </c>
      <c r="J2019" s="20" t="n">
        <v>200720</v>
      </c>
      <c r="L2019" s="39">
        <f>VLOOKUP($P2019,매칭테이블!$G:$J,2,0)*H2019</f>
        <v/>
      </c>
      <c r="M2019" s="39">
        <f>L2019-L2019*VLOOKUP($P2019,매칭테이블!$G:$J,3,0)</f>
        <v/>
      </c>
      <c r="N2019" s="39">
        <f>VLOOKUP($P2019,매칭테이블!$G:$J,4,0)*H2019</f>
        <v/>
      </c>
      <c r="O2019" s="55">
        <f>L2019/1.1</f>
        <v/>
      </c>
      <c r="P2019" s="39">
        <f>F2019&amp;E2019&amp;I2019&amp;J2019</f>
        <v/>
      </c>
    </row>
    <row r="2020">
      <c r="B2020" s="51" t="n">
        <v>44153</v>
      </c>
      <c r="C2020" s="39" t="inlineStr">
        <is>
          <t>수</t>
        </is>
      </c>
      <c r="E2020" s="39" t="inlineStr">
        <is>
          <t>고체향수</t>
        </is>
      </c>
      <c r="F2020" s="39" t="inlineStr">
        <is>
          <t>카페24</t>
        </is>
      </c>
      <c r="H2020" s="39" t="n">
        <v>1</v>
      </c>
      <c r="I2020" s="39" t="inlineStr">
        <is>
          <t>이그나이트 2set</t>
        </is>
      </c>
      <c r="J2020" s="20" t="n">
        <v>200720</v>
      </c>
      <c r="L2020" s="39">
        <f>VLOOKUP($P2020,매칭테이블!$G:$J,2,0)*H2020</f>
        <v/>
      </c>
      <c r="M2020" s="39">
        <f>L2020-L2020*VLOOKUP($P2020,매칭테이블!$G:$J,3,0)</f>
        <v/>
      </c>
      <c r="N2020" s="39">
        <f>VLOOKUP($P2020,매칭테이블!$G:$J,4,0)*H2020</f>
        <v/>
      </c>
      <c r="O2020" s="55">
        <f>L2020/1.1</f>
        <v/>
      </c>
      <c r="P2020" s="39">
        <f>F2020&amp;E2020&amp;I2020&amp;J2020</f>
        <v/>
      </c>
    </row>
    <row r="2021">
      <c r="B2021" s="51" t="n">
        <v>44153</v>
      </c>
      <c r="C2021" s="39" t="inlineStr">
        <is>
          <t>수</t>
        </is>
      </c>
      <c r="E2021" s="39" t="inlineStr">
        <is>
          <t>쇼핑백</t>
        </is>
      </c>
      <c r="F2021" s="39" t="inlineStr">
        <is>
          <t>카페24</t>
        </is>
      </c>
      <c r="H2021" s="39" t="n">
        <v>6</v>
      </c>
      <c r="I2021" s="39" t="inlineStr">
        <is>
          <t>유즈쇼핑백</t>
        </is>
      </c>
      <c r="J2021" s="20" t="n">
        <v>200720</v>
      </c>
      <c r="L2021" s="39">
        <f>VLOOKUP($P2021,매칭테이블!$G:$J,2,0)*H2021</f>
        <v/>
      </c>
      <c r="M2021" s="39">
        <f>L2021-L2021*VLOOKUP($P2021,매칭테이블!$G:$J,3,0)</f>
        <v/>
      </c>
      <c r="N2021" s="39">
        <f>VLOOKUP($P2021,매칭테이블!$G:$J,4,0)*H2021</f>
        <v/>
      </c>
      <c r="O2021" s="55">
        <f>L2021/1.1</f>
        <v/>
      </c>
      <c r="P2021" s="39">
        <f>F2021&amp;E2021&amp;I2021&amp;J2021</f>
        <v/>
      </c>
    </row>
    <row r="2022">
      <c r="B2022" s="51" t="n">
        <v>44154</v>
      </c>
      <c r="C2022" s="39" t="inlineStr">
        <is>
          <t>목</t>
        </is>
      </c>
      <c r="E2022" s="39" t="inlineStr">
        <is>
          <t>고체향수</t>
        </is>
      </c>
      <c r="F2022" s="39" t="inlineStr">
        <is>
          <t>카페24</t>
        </is>
      </c>
      <c r="H2022" s="39" t="n">
        <v>18</v>
      </c>
      <c r="I2022" s="39" t="inlineStr">
        <is>
          <t>이그나이트 + 스테이포에버</t>
        </is>
      </c>
      <c r="J2022" s="20" t="n">
        <v>200720</v>
      </c>
      <c r="L2022" s="39">
        <f>VLOOKUP($P2022,매칭테이블!$G:$J,2,0)*H2022</f>
        <v/>
      </c>
      <c r="M2022" s="39">
        <f>L2022-L2022*VLOOKUP($P2022,매칭테이블!$G:$J,3,0)</f>
        <v/>
      </c>
      <c r="N2022" s="39">
        <f>VLOOKUP($P2022,매칭테이블!$G:$J,4,0)*H2022</f>
        <v/>
      </c>
      <c r="O2022" s="55">
        <f>L2022/1.1</f>
        <v/>
      </c>
      <c r="P2022" s="39">
        <f>F2022&amp;E2022&amp;I2022&amp;J2022</f>
        <v/>
      </c>
    </row>
    <row r="2023">
      <c r="B2023" s="51" t="n">
        <v>44154</v>
      </c>
      <c r="C2023" s="39" t="inlineStr">
        <is>
          <t>목</t>
        </is>
      </c>
      <c r="E2023" s="39" t="inlineStr">
        <is>
          <t>고체향수</t>
        </is>
      </c>
      <c r="F2023" s="39" t="inlineStr">
        <is>
          <t>카페24</t>
        </is>
      </c>
      <c r="H2023" s="39" t="n">
        <v>1</v>
      </c>
      <c r="I2023" s="39" t="inlineStr">
        <is>
          <t>이그나이트 + 스테이포에버 2set</t>
        </is>
      </c>
      <c r="J2023" s="20" t="n">
        <v>200720</v>
      </c>
      <c r="L2023" s="39">
        <f>VLOOKUP($P2023,매칭테이블!$G:$J,2,0)*H2023</f>
        <v/>
      </c>
      <c r="M2023" s="39">
        <f>L2023-L2023*VLOOKUP($P2023,매칭테이블!$G:$J,3,0)</f>
        <v/>
      </c>
      <c r="N2023" s="39">
        <f>VLOOKUP($P2023,매칭테이블!$G:$J,4,0)*H2023</f>
        <v/>
      </c>
      <c r="O2023" s="55">
        <f>L2023/1.1</f>
        <v/>
      </c>
      <c r="P2023" s="39">
        <f>F2023&amp;E2023&amp;I2023&amp;J2023</f>
        <v/>
      </c>
    </row>
    <row r="2024">
      <c r="B2024" s="51" t="n">
        <v>44154</v>
      </c>
      <c r="C2024" s="39" t="inlineStr">
        <is>
          <t>목</t>
        </is>
      </c>
      <c r="E2024" s="39" t="inlineStr">
        <is>
          <t>고체향수</t>
        </is>
      </c>
      <c r="F2024" s="39" t="inlineStr">
        <is>
          <t>카페24</t>
        </is>
      </c>
      <c r="H2024" s="39" t="n">
        <v>175</v>
      </c>
      <c r="I2024" s="39" t="inlineStr">
        <is>
          <t>스테이포에버</t>
        </is>
      </c>
      <c r="J2024" s="20" t="n">
        <v>200720</v>
      </c>
      <c r="L2024" s="39">
        <f>VLOOKUP($P2024,매칭테이블!$G:$J,2,0)*H2024</f>
        <v/>
      </c>
      <c r="M2024" s="39">
        <f>L2024-L2024*VLOOKUP($P2024,매칭테이블!$G:$J,3,0)</f>
        <v/>
      </c>
      <c r="N2024" s="39">
        <f>VLOOKUP($P2024,매칭테이블!$G:$J,4,0)*H2024</f>
        <v/>
      </c>
      <c r="O2024" s="55">
        <f>L2024/1.1</f>
        <v/>
      </c>
      <c r="P2024" s="39">
        <f>F2024&amp;E2024&amp;I2024&amp;J2024</f>
        <v/>
      </c>
    </row>
    <row r="2025">
      <c r="B2025" s="51" t="n">
        <v>44154</v>
      </c>
      <c r="C2025" s="39" t="inlineStr">
        <is>
          <t>목</t>
        </is>
      </c>
      <c r="E2025" s="39" t="inlineStr">
        <is>
          <t>고체향수</t>
        </is>
      </c>
      <c r="F2025" s="39" t="inlineStr">
        <is>
          <t>카페24</t>
        </is>
      </c>
      <c r="G2025" s="39" t="n"/>
      <c r="H2025" s="39" t="n">
        <v>69</v>
      </c>
      <c r="I2025" s="39" t="inlineStr">
        <is>
          <t>스테이포에버 2set</t>
        </is>
      </c>
      <c r="J2025" s="20" t="n">
        <v>200720</v>
      </c>
      <c r="L2025" s="39">
        <f>VLOOKUP($P2025,매칭테이블!$G:$J,2,0)*H2025</f>
        <v/>
      </c>
      <c r="M2025" s="39">
        <f>L2025-L2025*VLOOKUP($P2025,매칭테이블!$G:$J,3,0)</f>
        <v/>
      </c>
      <c r="N2025" s="39">
        <f>VLOOKUP($P2025,매칭테이블!$G:$J,4,0)*H2025</f>
        <v/>
      </c>
      <c r="O2025" s="55">
        <f>L2025/1.1</f>
        <v/>
      </c>
      <c r="P2025" s="39">
        <f>F2025&amp;E2025&amp;I2025&amp;J2025</f>
        <v/>
      </c>
    </row>
    <row r="2026">
      <c r="B2026" s="51" t="n">
        <v>44154</v>
      </c>
      <c r="C2026" s="39" t="inlineStr">
        <is>
          <t>목</t>
        </is>
      </c>
      <c r="E2026" s="39" t="inlineStr">
        <is>
          <t>고체향수</t>
        </is>
      </c>
      <c r="F2026" s="39" t="inlineStr">
        <is>
          <t>카페24</t>
        </is>
      </c>
      <c r="H2026" s="39" t="n">
        <v>3</v>
      </c>
      <c r="I2026" s="39" t="inlineStr">
        <is>
          <t>이그나이트</t>
        </is>
      </c>
      <c r="J2026" s="20" t="n">
        <v>200720</v>
      </c>
      <c r="L2026" s="39">
        <f>VLOOKUP($P2026,매칭테이블!$G:$J,2,0)*H2026</f>
        <v/>
      </c>
      <c r="M2026" s="39">
        <f>L2026-L2026*VLOOKUP($P2026,매칭테이블!$G:$J,3,0)</f>
        <v/>
      </c>
      <c r="N2026" s="39">
        <f>VLOOKUP($P2026,매칭테이블!$G:$J,4,0)*H2026</f>
        <v/>
      </c>
      <c r="O2026" s="55">
        <f>L2026/1.1</f>
        <v/>
      </c>
      <c r="P2026" s="39">
        <f>F2026&amp;E2026&amp;I2026&amp;J2026</f>
        <v/>
      </c>
    </row>
    <row r="2027">
      <c r="B2027" s="51" t="n">
        <v>44154</v>
      </c>
      <c r="C2027" s="39" t="inlineStr">
        <is>
          <t>목</t>
        </is>
      </c>
      <c r="E2027" s="39" t="inlineStr">
        <is>
          <t>쇼핑백</t>
        </is>
      </c>
      <c r="F2027" s="39" t="inlineStr">
        <is>
          <t>카페24</t>
        </is>
      </c>
      <c r="H2027" s="39" t="n">
        <v>6</v>
      </c>
      <c r="I2027" s="39" t="inlineStr">
        <is>
          <t>유즈쇼핑백</t>
        </is>
      </c>
      <c r="J2027" s="20" t="n">
        <v>200720</v>
      </c>
      <c r="L2027" s="39">
        <f>VLOOKUP($P2027,매칭테이블!$G:$J,2,0)*H2027</f>
        <v/>
      </c>
      <c r="M2027" s="39">
        <f>L2027-L2027*VLOOKUP($P2027,매칭테이블!$G:$J,3,0)</f>
        <v/>
      </c>
      <c r="N2027" s="39">
        <f>VLOOKUP($P2027,매칭테이블!$G:$J,4,0)*H2027</f>
        <v/>
      </c>
      <c r="O2027" s="55">
        <f>L2027/1.1</f>
        <v/>
      </c>
      <c r="P2027" s="39">
        <f>F2027&amp;E2027&amp;I2027&amp;J2027</f>
        <v/>
      </c>
    </row>
    <row r="2028">
      <c r="B2028" s="51" t="n">
        <v>44155</v>
      </c>
      <c r="C2028" s="39" t="inlineStr">
        <is>
          <t>금</t>
        </is>
      </c>
      <c r="E2028" s="39" t="inlineStr">
        <is>
          <t>고체향수</t>
        </is>
      </c>
      <c r="F2028" s="39" t="inlineStr">
        <is>
          <t>카페24</t>
        </is>
      </c>
      <c r="H2028" s="39" t="n">
        <v>15</v>
      </c>
      <c r="I2028" s="39" t="inlineStr">
        <is>
          <t>이그나이트 + 스테이포에버</t>
        </is>
      </c>
      <c r="J2028" s="20" t="n">
        <v>200720</v>
      </c>
      <c r="L2028" s="39">
        <f>VLOOKUP($P2028,매칭테이블!$G:$J,2,0)*H2028</f>
        <v/>
      </c>
      <c r="M2028" s="39">
        <f>L2028-L2028*VLOOKUP($P2028,매칭테이블!$G:$J,3,0)</f>
        <v/>
      </c>
      <c r="N2028" s="39">
        <f>VLOOKUP($P2028,매칭테이블!$G:$J,4,0)*H2028</f>
        <v/>
      </c>
      <c r="O2028" s="55">
        <f>L2028/1.1</f>
        <v/>
      </c>
      <c r="P2028" s="39">
        <f>F2028&amp;E2028&amp;I2028&amp;J2028</f>
        <v/>
      </c>
    </row>
    <row r="2029">
      <c r="B2029" s="51" t="n">
        <v>44155</v>
      </c>
      <c r="C2029" s="39" t="inlineStr">
        <is>
          <t>금</t>
        </is>
      </c>
      <c r="E2029" s="39" t="inlineStr">
        <is>
          <t>고체향수</t>
        </is>
      </c>
      <c r="F2029" s="39" t="inlineStr">
        <is>
          <t>카페24</t>
        </is>
      </c>
      <c r="H2029" s="39" t="n">
        <v>1</v>
      </c>
      <c r="I2029" s="39" t="inlineStr">
        <is>
          <t>이그나이트 + 스테이포에버 2set</t>
        </is>
      </c>
      <c r="J2029" s="20" t="n">
        <v>200720</v>
      </c>
      <c r="L2029" s="39">
        <f>VLOOKUP($P2029,매칭테이블!$G:$J,2,0)*H2029</f>
        <v/>
      </c>
      <c r="M2029" s="39">
        <f>L2029-L2029*VLOOKUP($P2029,매칭테이블!$G:$J,3,0)</f>
        <v/>
      </c>
      <c r="N2029" s="39">
        <f>VLOOKUP($P2029,매칭테이블!$G:$J,4,0)*H2029</f>
        <v/>
      </c>
      <c r="O2029" s="55">
        <f>L2029/1.1</f>
        <v/>
      </c>
      <c r="P2029" s="39">
        <f>F2029&amp;E2029&amp;I2029&amp;J2029</f>
        <v/>
      </c>
    </row>
    <row r="2030">
      <c r="B2030" s="51" t="n">
        <v>44155</v>
      </c>
      <c r="C2030" s="39" t="inlineStr">
        <is>
          <t>금</t>
        </is>
      </c>
      <c r="E2030" s="39" t="inlineStr">
        <is>
          <t>고체향수</t>
        </is>
      </c>
      <c r="F2030" s="39" t="inlineStr">
        <is>
          <t>카페24</t>
        </is>
      </c>
      <c r="H2030" s="39" t="n">
        <v>168</v>
      </c>
      <c r="I2030" s="39" t="inlineStr">
        <is>
          <t>스테이포에버</t>
        </is>
      </c>
      <c r="J2030" s="20" t="n">
        <v>200720</v>
      </c>
      <c r="L2030" s="39">
        <f>VLOOKUP($P2030,매칭테이블!$G:$J,2,0)*H2030</f>
        <v/>
      </c>
      <c r="M2030" s="39">
        <f>L2030-L2030*VLOOKUP($P2030,매칭테이블!$G:$J,3,0)</f>
        <v/>
      </c>
      <c r="N2030" s="39">
        <f>VLOOKUP($P2030,매칭테이블!$G:$J,4,0)*H2030</f>
        <v/>
      </c>
      <c r="O2030" s="55">
        <f>L2030/1.1</f>
        <v/>
      </c>
      <c r="P2030" s="39">
        <f>F2030&amp;E2030&amp;I2030&amp;J2030</f>
        <v/>
      </c>
    </row>
    <row r="2031">
      <c r="B2031" s="51" t="n">
        <v>44155</v>
      </c>
      <c r="C2031" s="39" t="inlineStr">
        <is>
          <t>금</t>
        </is>
      </c>
      <c r="E2031" s="39" t="inlineStr">
        <is>
          <t>고체향수</t>
        </is>
      </c>
      <c r="F2031" s="39" t="inlineStr">
        <is>
          <t>카페24</t>
        </is>
      </c>
      <c r="G2031" s="39" t="n"/>
      <c r="H2031" s="39" t="n">
        <v>87</v>
      </c>
      <c r="I2031" s="39" t="inlineStr">
        <is>
          <t>스테이포에버 2set</t>
        </is>
      </c>
      <c r="J2031" s="20" t="n">
        <v>200720</v>
      </c>
      <c r="L2031" s="39">
        <f>VLOOKUP($P2031,매칭테이블!$G:$J,2,0)*H2031</f>
        <v/>
      </c>
      <c r="M2031" s="39">
        <f>L2031-L2031*VLOOKUP($P2031,매칭테이블!$G:$J,3,0)</f>
        <v/>
      </c>
      <c r="N2031" s="39">
        <f>VLOOKUP($P2031,매칭테이블!$G:$J,4,0)*H2031</f>
        <v/>
      </c>
      <c r="O2031" s="55">
        <f>L2031/1.1</f>
        <v/>
      </c>
      <c r="P2031" s="39">
        <f>F2031&amp;E2031&amp;I2031&amp;J2031</f>
        <v/>
      </c>
    </row>
    <row r="2032">
      <c r="B2032" s="51" t="n">
        <v>44155</v>
      </c>
      <c r="C2032" s="39" t="inlineStr">
        <is>
          <t>금</t>
        </is>
      </c>
      <c r="E2032" s="39" t="inlineStr">
        <is>
          <t>고체향수</t>
        </is>
      </c>
      <c r="F2032" s="39" t="inlineStr">
        <is>
          <t>카페24</t>
        </is>
      </c>
      <c r="H2032" s="39" t="n">
        <v>3</v>
      </c>
      <c r="I2032" s="39" t="inlineStr">
        <is>
          <t>이그나이트 2set</t>
        </is>
      </c>
      <c r="J2032" s="20" t="n">
        <v>200720</v>
      </c>
      <c r="L2032" s="39">
        <f>VLOOKUP($P2032,매칭테이블!$G:$J,2,0)*H2032</f>
        <v/>
      </c>
      <c r="M2032" s="39">
        <f>L2032-L2032*VLOOKUP($P2032,매칭테이블!$G:$J,3,0)</f>
        <v/>
      </c>
      <c r="N2032" s="39">
        <f>VLOOKUP($P2032,매칭테이블!$G:$J,4,0)*H2032</f>
        <v/>
      </c>
      <c r="O2032" s="55">
        <f>L2032/1.1</f>
        <v/>
      </c>
      <c r="P2032" s="39">
        <f>F2032&amp;E2032&amp;I2032&amp;J2032</f>
        <v/>
      </c>
    </row>
    <row r="2033">
      <c r="B2033" s="51" t="n">
        <v>44155</v>
      </c>
      <c r="C2033" s="39" t="inlineStr">
        <is>
          <t>금</t>
        </is>
      </c>
      <c r="E2033" s="39" t="inlineStr">
        <is>
          <t>쇼핑백</t>
        </is>
      </c>
      <c r="F2033" s="39" t="inlineStr">
        <is>
          <t>카페24</t>
        </is>
      </c>
      <c r="H2033" s="39" t="n">
        <v>9</v>
      </c>
      <c r="I2033" s="39" t="inlineStr">
        <is>
          <t>유즈쇼핑백</t>
        </is>
      </c>
      <c r="J2033" s="20" t="n">
        <v>200720</v>
      </c>
      <c r="L2033" s="39">
        <f>VLOOKUP($P2033,매칭테이블!$G:$J,2,0)*H2033</f>
        <v/>
      </c>
      <c r="M2033" s="39">
        <f>L2033-L2033*VLOOKUP($P2033,매칭테이블!$G:$J,3,0)</f>
        <v/>
      </c>
      <c r="N2033" s="39">
        <f>VLOOKUP($P2033,매칭테이블!$G:$J,4,0)*H2033</f>
        <v/>
      </c>
      <c r="O2033" s="55">
        <f>L2033/1.1</f>
        <v/>
      </c>
      <c r="P2033" s="39">
        <f>F2033&amp;E2033&amp;I2033&amp;J2033</f>
        <v/>
      </c>
    </row>
    <row r="2034">
      <c r="B2034" s="51" t="n">
        <v>44156</v>
      </c>
      <c r="C2034" s="39" t="inlineStr">
        <is>
          <t>토</t>
        </is>
      </c>
      <c r="E2034" s="39" t="inlineStr">
        <is>
          <t>고체향수</t>
        </is>
      </c>
      <c r="F2034" s="39" t="inlineStr">
        <is>
          <t>카페24</t>
        </is>
      </c>
      <c r="H2034" s="39" t="n">
        <v>15</v>
      </c>
      <c r="I2034" s="39" t="inlineStr">
        <is>
          <t>이그나이트 + 스테이포에버</t>
        </is>
      </c>
      <c r="J2034" s="20" t="n">
        <v>200720</v>
      </c>
      <c r="L2034" s="39">
        <f>VLOOKUP($P2034,매칭테이블!$G:$J,2,0)*H2034</f>
        <v/>
      </c>
      <c r="M2034" s="39">
        <f>L2034-L2034*VLOOKUP($P2034,매칭테이블!$G:$J,3,0)</f>
        <v/>
      </c>
      <c r="N2034" s="39">
        <f>VLOOKUP($P2034,매칭테이블!$G:$J,4,0)*H2034</f>
        <v/>
      </c>
      <c r="O2034" s="55">
        <f>L2034/1.1</f>
        <v/>
      </c>
      <c r="P2034" s="39">
        <f>F2034&amp;E2034&amp;I2034&amp;J2034</f>
        <v/>
      </c>
    </row>
    <row r="2035">
      <c r="B2035" s="51" t="n">
        <v>44156</v>
      </c>
      <c r="C2035" s="39" t="inlineStr">
        <is>
          <t>토</t>
        </is>
      </c>
      <c r="E2035" s="39" t="inlineStr">
        <is>
          <t>고체향수</t>
        </is>
      </c>
      <c r="F2035" s="39" t="inlineStr">
        <is>
          <t>카페24</t>
        </is>
      </c>
      <c r="H2035" s="39" t="n">
        <v>1</v>
      </c>
      <c r="I2035" s="39" t="inlineStr">
        <is>
          <t>이그나이트 + 스테이포에버 2set</t>
        </is>
      </c>
      <c r="J2035" s="20" t="n">
        <v>200720</v>
      </c>
      <c r="L2035" s="39">
        <f>VLOOKUP($P2035,매칭테이블!$G:$J,2,0)*H2035</f>
        <v/>
      </c>
      <c r="M2035" s="39">
        <f>L2035-L2035*VLOOKUP($P2035,매칭테이블!$G:$J,3,0)</f>
        <v/>
      </c>
      <c r="N2035" s="39">
        <f>VLOOKUP($P2035,매칭테이블!$G:$J,4,0)*H2035</f>
        <v/>
      </c>
      <c r="O2035" s="55">
        <f>L2035/1.1</f>
        <v/>
      </c>
      <c r="P2035" s="39">
        <f>F2035&amp;E2035&amp;I2035&amp;J2035</f>
        <v/>
      </c>
    </row>
    <row r="2036">
      <c r="B2036" s="51" t="n">
        <v>44156</v>
      </c>
      <c r="C2036" s="39" t="inlineStr">
        <is>
          <t>토</t>
        </is>
      </c>
      <c r="E2036" s="39" t="inlineStr">
        <is>
          <t>고체향수</t>
        </is>
      </c>
      <c r="F2036" s="39" t="inlineStr">
        <is>
          <t>카페24</t>
        </is>
      </c>
      <c r="H2036" s="39" t="n">
        <v>210</v>
      </c>
      <c r="I2036" s="39" t="inlineStr">
        <is>
          <t>스테이포에버</t>
        </is>
      </c>
      <c r="J2036" s="20" t="n">
        <v>200720</v>
      </c>
      <c r="L2036" s="39">
        <f>VLOOKUP($P2036,매칭테이블!$G:$J,2,0)*H2036</f>
        <v/>
      </c>
      <c r="M2036" s="39">
        <f>L2036-L2036*VLOOKUP($P2036,매칭테이블!$G:$J,3,0)</f>
        <v/>
      </c>
      <c r="N2036" s="39">
        <f>VLOOKUP($P2036,매칭테이블!$G:$J,4,0)*H2036</f>
        <v/>
      </c>
      <c r="O2036" s="55">
        <f>L2036/1.1</f>
        <v/>
      </c>
      <c r="P2036" s="39">
        <f>F2036&amp;E2036&amp;I2036&amp;J2036</f>
        <v/>
      </c>
    </row>
    <row r="2037">
      <c r="B2037" s="51" t="n">
        <v>44156</v>
      </c>
      <c r="C2037" s="39" t="inlineStr">
        <is>
          <t>토</t>
        </is>
      </c>
      <c r="E2037" s="39" t="inlineStr">
        <is>
          <t>고체향수</t>
        </is>
      </c>
      <c r="F2037" s="39" t="inlineStr">
        <is>
          <t>카페24</t>
        </is>
      </c>
      <c r="G2037" s="39" t="n"/>
      <c r="H2037" s="39" t="n">
        <v>96</v>
      </c>
      <c r="I2037" s="39" t="inlineStr">
        <is>
          <t>스테이포에버 2set</t>
        </is>
      </c>
      <c r="J2037" s="20" t="n">
        <v>200720</v>
      </c>
      <c r="L2037" s="39">
        <f>VLOOKUP($P2037,매칭테이블!$G:$J,2,0)*H2037</f>
        <v/>
      </c>
      <c r="M2037" s="39">
        <f>L2037-L2037*VLOOKUP($P2037,매칭테이블!$G:$J,3,0)</f>
        <v/>
      </c>
      <c r="N2037" s="39">
        <f>VLOOKUP($P2037,매칭테이블!$G:$J,4,0)*H2037</f>
        <v/>
      </c>
      <c r="O2037" s="55">
        <f>L2037/1.1</f>
        <v/>
      </c>
      <c r="P2037" s="39">
        <f>F2037&amp;E2037&amp;I2037&amp;J2037</f>
        <v/>
      </c>
    </row>
    <row r="2038">
      <c r="B2038" s="51" t="n">
        <v>44156</v>
      </c>
      <c r="C2038" s="39" t="inlineStr">
        <is>
          <t>토</t>
        </is>
      </c>
      <c r="E2038" s="39" t="inlineStr">
        <is>
          <t>고체향수</t>
        </is>
      </c>
      <c r="F2038" s="39" t="inlineStr">
        <is>
          <t>카페24</t>
        </is>
      </c>
      <c r="H2038" s="39" t="n">
        <v>3</v>
      </c>
      <c r="I2038" s="39" t="inlineStr">
        <is>
          <t>이그나이트</t>
        </is>
      </c>
      <c r="J2038" s="20" t="n">
        <v>200720</v>
      </c>
      <c r="L2038" s="39">
        <f>VLOOKUP($P2038,매칭테이블!$G:$J,2,0)*H2038</f>
        <v/>
      </c>
      <c r="M2038" s="39">
        <f>L2038-L2038*VLOOKUP($P2038,매칭테이블!$G:$J,3,0)</f>
        <v/>
      </c>
      <c r="N2038" s="39">
        <f>VLOOKUP($P2038,매칭테이블!$G:$J,4,0)*H2038</f>
        <v/>
      </c>
      <c r="O2038" s="55">
        <f>L2038/1.1</f>
        <v/>
      </c>
      <c r="P2038" s="39">
        <f>F2038&amp;E2038&amp;I2038&amp;J2038</f>
        <v/>
      </c>
    </row>
    <row r="2039">
      <c r="B2039" s="51" t="n">
        <v>44156</v>
      </c>
      <c r="C2039" s="39" t="inlineStr">
        <is>
          <t>토</t>
        </is>
      </c>
      <c r="E2039" s="39" t="inlineStr">
        <is>
          <t>고체향수</t>
        </is>
      </c>
      <c r="F2039" s="39" t="inlineStr">
        <is>
          <t>카페24</t>
        </is>
      </c>
      <c r="H2039" s="39" t="n">
        <v>1</v>
      </c>
      <c r="I2039" s="39" t="inlineStr">
        <is>
          <t>이그나이트 2set</t>
        </is>
      </c>
      <c r="J2039" s="20" t="n">
        <v>200720</v>
      </c>
      <c r="L2039" s="39">
        <f>VLOOKUP($P2039,매칭테이블!$G:$J,2,0)*H2039</f>
        <v/>
      </c>
      <c r="M2039" s="39">
        <f>L2039-L2039*VLOOKUP($P2039,매칭테이블!$G:$J,3,0)</f>
        <v/>
      </c>
      <c r="N2039" s="39">
        <f>VLOOKUP($P2039,매칭테이블!$G:$J,4,0)*H2039</f>
        <v/>
      </c>
      <c r="O2039" s="55">
        <f>L2039/1.1</f>
        <v/>
      </c>
      <c r="P2039" s="39">
        <f>F2039&amp;E2039&amp;I2039&amp;J2039</f>
        <v/>
      </c>
    </row>
    <row r="2040">
      <c r="B2040" s="51" t="n">
        <v>44156</v>
      </c>
      <c r="C2040" s="39" t="inlineStr">
        <is>
          <t>토</t>
        </is>
      </c>
      <c r="E2040" s="39" t="inlineStr">
        <is>
          <t>쇼핑백</t>
        </is>
      </c>
      <c r="F2040" s="39" t="inlineStr">
        <is>
          <t>카페24</t>
        </is>
      </c>
      <c r="H2040" s="39" t="n">
        <v>5</v>
      </c>
      <c r="I2040" s="39" t="inlineStr">
        <is>
          <t>유즈쇼핑백</t>
        </is>
      </c>
      <c r="J2040" s="20" t="n">
        <v>200720</v>
      </c>
      <c r="L2040" s="39">
        <f>VLOOKUP($P2040,매칭테이블!$G:$J,2,0)*H2040</f>
        <v/>
      </c>
      <c r="M2040" s="39">
        <f>L2040-L2040*VLOOKUP($P2040,매칭테이블!$G:$J,3,0)</f>
        <v/>
      </c>
      <c r="N2040" s="39">
        <f>VLOOKUP($P2040,매칭테이블!$G:$J,4,0)*H2040</f>
        <v/>
      </c>
      <c r="O2040" s="55">
        <f>L2040/1.1</f>
        <v/>
      </c>
      <c r="P2040" s="39">
        <f>F2040&amp;E2040&amp;I2040&amp;J2040</f>
        <v/>
      </c>
    </row>
    <row r="2041">
      <c r="B2041" s="51" t="n">
        <v>44157</v>
      </c>
      <c r="C2041" s="39" t="inlineStr">
        <is>
          <t>일</t>
        </is>
      </c>
      <c r="E2041" s="39" t="inlineStr">
        <is>
          <t>고체향수</t>
        </is>
      </c>
      <c r="F2041" s="39" t="inlineStr">
        <is>
          <t>카페24</t>
        </is>
      </c>
      <c r="H2041" s="39" t="n">
        <v>24</v>
      </c>
      <c r="I2041" s="39" t="inlineStr">
        <is>
          <t>이그나이트 + 스테이포에버</t>
        </is>
      </c>
      <c r="J2041" s="20" t="n">
        <v>200720</v>
      </c>
      <c r="L2041" s="39">
        <f>VLOOKUP($P2041,매칭테이블!$G:$J,2,0)*H2041</f>
        <v/>
      </c>
      <c r="M2041" s="39">
        <f>L2041-L2041*VLOOKUP($P2041,매칭테이블!$G:$J,3,0)</f>
        <v/>
      </c>
      <c r="N2041" s="39">
        <f>VLOOKUP($P2041,매칭테이블!$G:$J,4,0)*H2041</f>
        <v/>
      </c>
      <c r="O2041" s="55">
        <f>L2041/1.1</f>
        <v/>
      </c>
      <c r="P2041" s="39">
        <f>F2041&amp;E2041&amp;I2041&amp;J2041</f>
        <v/>
      </c>
    </row>
    <row r="2042">
      <c r="B2042" s="51" t="n">
        <v>44157</v>
      </c>
      <c r="C2042" s="39" t="inlineStr">
        <is>
          <t>일</t>
        </is>
      </c>
      <c r="E2042" s="39" t="inlineStr">
        <is>
          <t>고체향수</t>
        </is>
      </c>
      <c r="F2042" s="39" t="inlineStr">
        <is>
          <t>카페24</t>
        </is>
      </c>
      <c r="H2042" s="39" t="n">
        <v>196</v>
      </c>
      <c r="I2042" s="39" t="inlineStr">
        <is>
          <t>스테이포에버</t>
        </is>
      </c>
      <c r="J2042" s="20" t="n">
        <v>200720</v>
      </c>
      <c r="L2042" s="39">
        <f>VLOOKUP($P2042,매칭테이블!$G:$J,2,0)*H2042</f>
        <v/>
      </c>
      <c r="M2042" s="39">
        <f>L2042-L2042*VLOOKUP($P2042,매칭테이블!$G:$J,3,0)</f>
        <v/>
      </c>
      <c r="N2042" s="39">
        <f>VLOOKUP($P2042,매칭테이블!$G:$J,4,0)*H2042</f>
        <v/>
      </c>
      <c r="O2042" s="55">
        <f>L2042/1.1</f>
        <v/>
      </c>
      <c r="P2042" s="39">
        <f>F2042&amp;E2042&amp;I2042&amp;J2042</f>
        <v/>
      </c>
    </row>
    <row r="2043">
      <c r="B2043" s="51" t="n">
        <v>44157</v>
      </c>
      <c r="C2043" s="39" t="inlineStr">
        <is>
          <t>일</t>
        </is>
      </c>
      <c r="E2043" s="39" t="inlineStr">
        <is>
          <t>고체향수</t>
        </is>
      </c>
      <c r="F2043" s="39" t="inlineStr">
        <is>
          <t>카페24</t>
        </is>
      </c>
      <c r="G2043" s="39" t="n"/>
      <c r="H2043" s="39" t="n">
        <v>99</v>
      </c>
      <c r="I2043" s="39" t="inlineStr">
        <is>
          <t>스테이포에버 2set</t>
        </is>
      </c>
      <c r="J2043" s="20" t="n">
        <v>200720</v>
      </c>
      <c r="L2043" s="39">
        <f>VLOOKUP($P2043,매칭테이블!$G:$J,2,0)*H2043</f>
        <v/>
      </c>
      <c r="M2043" s="39">
        <f>L2043-L2043*VLOOKUP($P2043,매칭테이블!$G:$J,3,0)</f>
        <v/>
      </c>
      <c r="N2043" s="39">
        <f>VLOOKUP($P2043,매칭테이블!$G:$J,4,0)*H2043</f>
        <v/>
      </c>
      <c r="O2043" s="55">
        <f>L2043/1.1</f>
        <v/>
      </c>
      <c r="P2043" s="39">
        <f>F2043&amp;E2043&amp;I2043&amp;J2043</f>
        <v/>
      </c>
    </row>
    <row r="2044">
      <c r="B2044" s="51" t="n">
        <v>44157</v>
      </c>
      <c r="C2044" s="39" t="inlineStr">
        <is>
          <t>일</t>
        </is>
      </c>
      <c r="E2044" s="39" t="inlineStr">
        <is>
          <t>고체향수</t>
        </is>
      </c>
      <c r="F2044" s="39" t="inlineStr">
        <is>
          <t>카페24</t>
        </is>
      </c>
      <c r="H2044" s="39" t="n">
        <v>7</v>
      </c>
      <c r="I2044" s="39" t="inlineStr">
        <is>
          <t>이그나이트</t>
        </is>
      </c>
      <c r="J2044" s="20" t="n">
        <v>200720</v>
      </c>
      <c r="L2044" s="39">
        <f>VLOOKUP($P2044,매칭테이블!$G:$J,2,0)*H2044</f>
        <v/>
      </c>
      <c r="M2044" s="39">
        <f>L2044-L2044*VLOOKUP($P2044,매칭테이블!$G:$J,3,0)</f>
        <v/>
      </c>
      <c r="N2044" s="39">
        <f>VLOOKUP($P2044,매칭테이블!$G:$J,4,0)*H2044</f>
        <v/>
      </c>
      <c r="O2044" s="55">
        <f>L2044/1.1</f>
        <v/>
      </c>
      <c r="P2044" s="39">
        <f>F2044&amp;E2044&amp;I2044&amp;J2044</f>
        <v/>
      </c>
    </row>
    <row r="2045">
      <c r="B2045" s="51" t="n">
        <v>44157</v>
      </c>
      <c r="C2045" s="39" t="inlineStr">
        <is>
          <t>일</t>
        </is>
      </c>
      <c r="E2045" s="39" t="inlineStr">
        <is>
          <t>쇼핑백</t>
        </is>
      </c>
      <c r="F2045" s="39" t="inlineStr">
        <is>
          <t>카페24</t>
        </is>
      </c>
      <c r="H2045" s="39" t="n">
        <v>7</v>
      </c>
      <c r="I2045" s="39" t="inlineStr">
        <is>
          <t>유즈쇼핑백</t>
        </is>
      </c>
      <c r="J2045" s="20" t="n">
        <v>200720</v>
      </c>
      <c r="L2045" s="39">
        <f>VLOOKUP($P2045,매칭테이블!$G:$J,2,0)*H2045</f>
        <v/>
      </c>
      <c r="M2045" s="39">
        <f>L2045-L2045*VLOOKUP($P2045,매칭테이블!$G:$J,3,0)</f>
        <v/>
      </c>
      <c r="N2045" s="39">
        <f>VLOOKUP($P2045,매칭테이블!$G:$J,4,0)*H2045</f>
        <v/>
      </c>
      <c r="O2045" s="55">
        <f>L2045/1.1</f>
        <v/>
      </c>
      <c r="P2045" s="39">
        <f>F2045&amp;E2045&amp;I2045&amp;J2045</f>
        <v/>
      </c>
    </row>
    <row r="2046">
      <c r="B2046" s="51" t="n">
        <v>44158</v>
      </c>
      <c r="C2046" s="39" t="inlineStr">
        <is>
          <t>월</t>
        </is>
      </c>
      <c r="E2046" s="39" t="inlineStr">
        <is>
          <t>고체향수</t>
        </is>
      </c>
      <c r="F2046" s="39" t="inlineStr">
        <is>
          <t>카페24</t>
        </is>
      </c>
      <c r="H2046" s="39" t="n">
        <v>12</v>
      </c>
      <c r="I2046" s="39" t="inlineStr">
        <is>
          <t>이그나이트 + 스테이포에버</t>
        </is>
      </c>
      <c r="J2046" s="20" t="n">
        <v>200720</v>
      </c>
      <c r="L2046" s="39">
        <f>VLOOKUP($P2046,매칭테이블!$G:$J,2,0)*H2046</f>
        <v/>
      </c>
      <c r="M2046" s="39">
        <f>L2046-L2046*VLOOKUP($P2046,매칭테이블!$G:$J,3,0)</f>
        <v/>
      </c>
      <c r="N2046" s="39">
        <f>VLOOKUP($P2046,매칭테이블!$G:$J,4,0)*H2046</f>
        <v/>
      </c>
      <c r="O2046" s="55">
        <f>L2046/1.1</f>
        <v/>
      </c>
      <c r="P2046" s="39">
        <f>F2046&amp;E2046&amp;I2046&amp;J2046</f>
        <v/>
      </c>
    </row>
    <row r="2047">
      <c r="B2047" s="51" t="n">
        <v>44158</v>
      </c>
      <c r="C2047" s="39" t="inlineStr">
        <is>
          <t>월</t>
        </is>
      </c>
      <c r="E2047" s="39" t="inlineStr">
        <is>
          <t>고체향수</t>
        </is>
      </c>
      <c r="F2047" s="39" t="inlineStr">
        <is>
          <t>카페24</t>
        </is>
      </c>
      <c r="H2047" s="39" t="n">
        <v>128</v>
      </c>
      <c r="I2047" s="39" t="inlineStr">
        <is>
          <t>스테이포에버</t>
        </is>
      </c>
      <c r="J2047" s="20" t="n">
        <v>200720</v>
      </c>
      <c r="L2047" s="39">
        <f>VLOOKUP($P2047,매칭테이블!$G:$J,2,0)*H2047</f>
        <v/>
      </c>
      <c r="M2047" s="39">
        <f>L2047-L2047*VLOOKUP($P2047,매칭테이블!$G:$J,3,0)</f>
        <v/>
      </c>
      <c r="N2047" s="39">
        <f>VLOOKUP($P2047,매칭테이블!$G:$J,4,0)*H2047</f>
        <v/>
      </c>
      <c r="O2047" s="55">
        <f>L2047/1.1</f>
        <v/>
      </c>
      <c r="P2047" s="39">
        <f>F2047&amp;E2047&amp;I2047&amp;J2047</f>
        <v/>
      </c>
    </row>
    <row r="2048">
      <c r="B2048" s="51" t="n">
        <v>44158</v>
      </c>
      <c r="C2048" s="39" t="inlineStr">
        <is>
          <t>월</t>
        </is>
      </c>
      <c r="E2048" s="39" t="inlineStr">
        <is>
          <t>고체향수</t>
        </is>
      </c>
      <c r="F2048" s="39" t="inlineStr">
        <is>
          <t>카페24</t>
        </is>
      </c>
      <c r="G2048" s="39" t="n"/>
      <c r="H2048" s="39" t="n">
        <v>62</v>
      </c>
      <c r="I2048" s="39" t="inlineStr">
        <is>
          <t>스테이포에버 2set</t>
        </is>
      </c>
      <c r="J2048" s="20" t="n">
        <v>200720</v>
      </c>
      <c r="L2048" s="39">
        <f>VLOOKUP($P2048,매칭테이블!$G:$J,2,0)*H2048</f>
        <v/>
      </c>
      <c r="M2048" s="39">
        <f>L2048-L2048*VLOOKUP($P2048,매칭테이블!$G:$J,3,0)</f>
        <v/>
      </c>
      <c r="N2048" s="39">
        <f>VLOOKUP($P2048,매칭테이블!$G:$J,4,0)*H2048</f>
        <v/>
      </c>
      <c r="O2048" s="55">
        <f>L2048/1.1</f>
        <v/>
      </c>
      <c r="P2048" s="39">
        <f>F2048&amp;E2048&amp;I2048&amp;J2048</f>
        <v/>
      </c>
    </row>
    <row r="2049">
      <c r="B2049" s="51" t="n">
        <v>44158</v>
      </c>
      <c r="C2049" s="39" t="inlineStr">
        <is>
          <t>월</t>
        </is>
      </c>
      <c r="E2049" s="39" t="inlineStr">
        <is>
          <t>고체향수</t>
        </is>
      </c>
      <c r="F2049" s="39" t="inlineStr">
        <is>
          <t>카페24</t>
        </is>
      </c>
      <c r="H2049" s="39" t="n">
        <v>1</v>
      </c>
      <c r="I2049" s="39" t="inlineStr">
        <is>
          <t>이그나이트</t>
        </is>
      </c>
      <c r="J2049" s="20" t="n">
        <v>200720</v>
      </c>
      <c r="L2049" s="39">
        <f>VLOOKUP($P2049,매칭테이블!$G:$J,2,0)*H2049</f>
        <v/>
      </c>
      <c r="M2049" s="39">
        <f>L2049-L2049*VLOOKUP($P2049,매칭테이블!$G:$J,3,0)</f>
        <v/>
      </c>
      <c r="N2049" s="39">
        <f>VLOOKUP($P2049,매칭테이블!$G:$J,4,0)*H2049</f>
        <v/>
      </c>
      <c r="O2049" s="55">
        <f>L2049/1.1</f>
        <v/>
      </c>
      <c r="P2049" s="39">
        <f>F2049&amp;E2049&amp;I2049&amp;J2049</f>
        <v/>
      </c>
    </row>
    <row r="2050">
      <c r="B2050" s="51" t="n">
        <v>44158</v>
      </c>
      <c r="C2050" s="39" t="inlineStr">
        <is>
          <t>월</t>
        </is>
      </c>
      <c r="E2050" s="39" t="inlineStr">
        <is>
          <t>쇼핑백</t>
        </is>
      </c>
      <c r="F2050" s="39" t="inlineStr">
        <is>
          <t>카페24</t>
        </is>
      </c>
      <c r="H2050" s="39" t="n">
        <v>4</v>
      </c>
      <c r="I2050" s="39" t="inlineStr">
        <is>
          <t>유즈쇼핑백</t>
        </is>
      </c>
      <c r="J2050" s="20" t="n">
        <v>200720</v>
      </c>
      <c r="L2050" s="39">
        <f>VLOOKUP($P2050,매칭테이블!$G:$J,2,0)*H2050</f>
        <v/>
      </c>
      <c r="M2050" s="39">
        <f>L2050-L2050*VLOOKUP($P2050,매칭테이블!$G:$J,3,0)</f>
        <v/>
      </c>
      <c r="N2050" s="39">
        <f>VLOOKUP($P2050,매칭테이블!$G:$J,4,0)*H2050</f>
        <v/>
      </c>
      <c r="O2050" s="55">
        <f>L2050/1.1</f>
        <v/>
      </c>
      <c r="P2050" s="39">
        <f>F2050&amp;E2050&amp;I2050&amp;J2050</f>
        <v/>
      </c>
    </row>
    <row r="2051">
      <c r="B2051" s="51" t="n">
        <v>44159</v>
      </c>
      <c r="C2051" s="39" t="inlineStr">
        <is>
          <t>화</t>
        </is>
      </c>
      <c r="E2051" s="39" t="inlineStr">
        <is>
          <t>고체향수</t>
        </is>
      </c>
      <c r="F2051" s="39" t="inlineStr">
        <is>
          <t>카페24</t>
        </is>
      </c>
      <c r="H2051" s="39" t="n">
        <v>11</v>
      </c>
      <c r="I2051" s="39" t="inlineStr">
        <is>
          <t>이그나이트 + 스테이포에버</t>
        </is>
      </c>
      <c r="J2051" s="20" t="n">
        <v>200720</v>
      </c>
      <c r="L2051" s="39">
        <f>VLOOKUP($P2051,매칭테이블!$G:$J,2,0)*H2051</f>
        <v/>
      </c>
      <c r="M2051" s="39">
        <f>L2051-L2051*VLOOKUP($P2051,매칭테이블!$G:$J,3,0)</f>
        <v/>
      </c>
      <c r="N2051" s="39">
        <f>VLOOKUP($P2051,매칭테이블!$G:$J,4,0)*H2051</f>
        <v/>
      </c>
      <c r="O2051" s="55">
        <f>L2051/1.1</f>
        <v/>
      </c>
      <c r="P2051" s="39">
        <f>F2051&amp;E2051&amp;I2051&amp;J2051</f>
        <v/>
      </c>
    </row>
    <row r="2052">
      <c r="B2052" s="51" t="n">
        <v>44159</v>
      </c>
      <c r="C2052" s="39" t="inlineStr">
        <is>
          <t>화</t>
        </is>
      </c>
      <c r="E2052" s="39" t="inlineStr">
        <is>
          <t>고체향수</t>
        </is>
      </c>
      <c r="F2052" s="39" t="inlineStr">
        <is>
          <t>카페24</t>
        </is>
      </c>
      <c r="H2052" s="39" t="n">
        <v>140</v>
      </c>
      <c r="I2052" s="39" t="inlineStr">
        <is>
          <t>스테이포에버</t>
        </is>
      </c>
      <c r="J2052" s="20" t="n">
        <v>200720</v>
      </c>
      <c r="L2052" s="39">
        <f>VLOOKUP($P2052,매칭테이블!$G:$J,2,0)*H2052</f>
        <v/>
      </c>
      <c r="M2052" s="39">
        <f>L2052-L2052*VLOOKUP($P2052,매칭테이블!$G:$J,3,0)</f>
        <v/>
      </c>
      <c r="N2052" s="39">
        <f>VLOOKUP($P2052,매칭테이블!$G:$J,4,0)*H2052</f>
        <v/>
      </c>
      <c r="O2052" s="55">
        <f>L2052/1.1</f>
        <v/>
      </c>
      <c r="P2052" s="39">
        <f>F2052&amp;E2052&amp;I2052&amp;J2052</f>
        <v/>
      </c>
    </row>
    <row r="2053">
      <c r="B2053" s="51" t="n">
        <v>44159</v>
      </c>
      <c r="C2053" s="39" t="inlineStr">
        <is>
          <t>화</t>
        </is>
      </c>
      <c r="E2053" s="39" t="inlineStr">
        <is>
          <t>고체향수</t>
        </is>
      </c>
      <c r="F2053" s="39" t="inlineStr">
        <is>
          <t>카페24</t>
        </is>
      </c>
      <c r="G2053" s="39" t="n"/>
      <c r="H2053" s="39" t="n">
        <v>48</v>
      </c>
      <c r="I2053" s="39" t="inlineStr">
        <is>
          <t>스테이포에버 2set</t>
        </is>
      </c>
      <c r="J2053" s="20" t="n">
        <v>200720</v>
      </c>
      <c r="L2053" s="39">
        <f>VLOOKUP($P2053,매칭테이블!$G:$J,2,0)*H2053</f>
        <v/>
      </c>
      <c r="M2053" s="39">
        <f>L2053-L2053*VLOOKUP($P2053,매칭테이블!$G:$J,3,0)</f>
        <v/>
      </c>
      <c r="N2053" s="39">
        <f>VLOOKUP($P2053,매칭테이블!$G:$J,4,0)*H2053</f>
        <v/>
      </c>
      <c r="O2053" s="55">
        <f>L2053/1.1</f>
        <v/>
      </c>
      <c r="P2053" s="39">
        <f>F2053&amp;E2053&amp;I2053&amp;J2053</f>
        <v/>
      </c>
    </row>
    <row r="2054">
      <c r="B2054" s="51" t="n">
        <v>44159</v>
      </c>
      <c r="C2054" s="39" t="inlineStr">
        <is>
          <t>화</t>
        </is>
      </c>
      <c r="E2054" s="39" t="inlineStr">
        <is>
          <t>고체향수</t>
        </is>
      </c>
      <c r="F2054" s="39" t="inlineStr">
        <is>
          <t>카페24</t>
        </is>
      </c>
      <c r="H2054" s="39" t="n">
        <v>6</v>
      </c>
      <c r="I2054" s="39" t="inlineStr">
        <is>
          <t>이그나이트</t>
        </is>
      </c>
      <c r="J2054" s="20" t="n">
        <v>200720</v>
      </c>
      <c r="L2054" s="39">
        <f>VLOOKUP($P2054,매칭테이블!$G:$J,2,0)*H2054</f>
        <v/>
      </c>
      <c r="M2054" s="39">
        <f>L2054-L2054*VLOOKUP($P2054,매칭테이블!$G:$J,3,0)</f>
        <v/>
      </c>
      <c r="N2054" s="39">
        <f>VLOOKUP($P2054,매칭테이블!$G:$J,4,0)*H2054</f>
        <v/>
      </c>
      <c r="O2054" s="55">
        <f>L2054/1.1</f>
        <v/>
      </c>
      <c r="P2054" s="39">
        <f>F2054&amp;E2054&amp;I2054&amp;J2054</f>
        <v/>
      </c>
    </row>
    <row r="2055">
      <c r="B2055" s="51" t="n">
        <v>44159</v>
      </c>
      <c r="C2055" s="39" t="inlineStr">
        <is>
          <t>화</t>
        </is>
      </c>
      <c r="E2055" s="39" t="inlineStr">
        <is>
          <t>쇼핑백</t>
        </is>
      </c>
      <c r="F2055" s="39" t="inlineStr">
        <is>
          <t>카페24</t>
        </is>
      </c>
      <c r="H2055" s="39" t="n">
        <v>3</v>
      </c>
      <c r="I2055" s="39" t="inlineStr">
        <is>
          <t>유즈쇼핑백</t>
        </is>
      </c>
      <c r="J2055" s="20" t="n">
        <v>200720</v>
      </c>
      <c r="L2055" s="39">
        <f>VLOOKUP($P2055,매칭테이블!$G:$J,2,0)*H2055</f>
        <v/>
      </c>
      <c r="M2055" s="39">
        <f>L2055-L2055*VLOOKUP($P2055,매칭테이블!$G:$J,3,0)</f>
        <v/>
      </c>
      <c r="N2055" s="39">
        <f>VLOOKUP($P2055,매칭테이블!$G:$J,4,0)*H2055</f>
        <v/>
      </c>
      <c r="O2055" s="55">
        <f>L2055/1.1</f>
        <v/>
      </c>
      <c r="P2055" s="39">
        <f>F2055&amp;E2055&amp;I2055&amp;J2055</f>
        <v/>
      </c>
    </row>
    <row r="2056">
      <c r="B2056" s="51" t="n">
        <v>44160</v>
      </c>
      <c r="C2056" s="39" t="inlineStr">
        <is>
          <t>수</t>
        </is>
      </c>
      <c r="E2056" s="39" t="inlineStr">
        <is>
          <t>고체향수</t>
        </is>
      </c>
      <c r="F2056" s="39" t="inlineStr">
        <is>
          <t>카페24</t>
        </is>
      </c>
      <c r="H2056" s="39" t="n">
        <v>21</v>
      </c>
      <c r="I2056" s="39" t="inlineStr">
        <is>
          <t>이그나이트 + 스테이포에버</t>
        </is>
      </c>
      <c r="J2056" s="20" t="n">
        <v>200720</v>
      </c>
      <c r="L2056" s="39">
        <f>VLOOKUP($P2056,매칭테이블!$G:$J,2,0)*H2056</f>
        <v/>
      </c>
      <c r="M2056" s="39">
        <f>L2056-L2056*VLOOKUP($P2056,매칭테이블!$G:$J,3,0)</f>
        <v/>
      </c>
      <c r="N2056" s="39">
        <f>VLOOKUP($P2056,매칭테이블!$G:$J,4,0)*H2056</f>
        <v/>
      </c>
      <c r="O2056" s="55">
        <f>L2056/1.1</f>
        <v/>
      </c>
      <c r="P2056" s="39">
        <f>F2056&amp;E2056&amp;I2056&amp;J2056</f>
        <v/>
      </c>
    </row>
    <row r="2057">
      <c r="B2057" s="51" t="n">
        <v>44160</v>
      </c>
      <c r="C2057" s="39" t="inlineStr">
        <is>
          <t>수</t>
        </is>
      </c>
      <c r="E2057" s="39" t="inlineStr">
        <is>
          <t>고체향수</t>
        </is>
      </c>
      <c r="F2057" s="39" t="inlineStr">
        <is>
          <t>카페24</t>
        </is>
      </c>
      <c r="H2057" s="39" t="n">
        <v>119</v>
      </c>
      <c r="I2057" s="39" t="inlineStr">
        <is>
          <t>스테이포에버</t>
        </is>
      </c>
      <c r="J2057" s="20" t="n">
        <v>200720</v>
      </c>
      <c r="L2057" s="39">
        <f>VLOOKUP($P2057,매칭테이블!$G:$J,2,0)*H2057</f>
        <v/>
      </c>
      <c r="M2057" s="39">
        <f>L2057-L2057*VLOOKUP($P2057,매칭테이블!$G:$J,3,0)</f>
        <v/>
      </c>
      <c r="N2057" s="39">
        <f>VLOOKUP($P2057,매칭테이블!$G:$J,4,0)*H2057</f>
        <v/>
      </c>
      <c r="O2057" s="55">
        <f>L2057/1.1</f>
        <v/>
      </c>
      <c r="P2057" s="39">
        <f>F2057&amp;E2057&amp;I2057&amp;J2057</f>
        <v/>
      </c>
    </row>
    <row r="2058">
      <c r="B2058" s="51" t="n">
        <v>44160</v>
      </c>
      <c r="C2058" s="39" t="inlineStr">
        <is>
          <t>수</t>
        </is>
      </c>
      <c r="E2058" s="39" t="inlineStr">
        <is>
          <t>고체향수</t>
        </is>
      </c>
      <c r="F2058" s="39" t="inlineStr">
        <is>
          <t>카페24</t>
        </is>
      </c>
      <c r="G2058" s="39" t="n"/>
      <c r="H2058" s="39" t="n">
        <v>51</v>
      </c>
      <c r="I2058" s="39" t="inlineStr">
        <is>
          <t>스테이포에버 2set</t>
        </is>
      </c>
      <c r="J2058" s="20" t="n">
        <v>200720</v>
      </c>
      <c r="L2058" s="39">
        <f>VLOOKUP($P2058,매칭테이블!$G:$J,2,0)*H2058</f>
        <v/>
      </c>
      <c r="M2058" s="39">
        <f>L2058-L2058*VLOOKUP($P2058,매칭테이블!$G:$J,3,0)</f>
        <v/>
      </c>
      <c r="N2058" s="39">
        <f>VLOOKUP($P2058,매칭테이블!$G:$J,4,0)*H2058</f>
        <v/>
      </c>
      <c r="O2058" s="55">
        <f>L2058/1.1</f>
        <v/>
      </c>
      <c r="P2058" s="39">
        <f>F2058&amp;E2058&amp;I2058&amp;J2058</f>
        <v/>
      </c>
    </row>
    <row r="2059">
      <c r="B2059" s="51" t="n">
        <v>44160</v>
      </c>
      <c r="C2059" s="39" t="inlineStr">
        <is>
          <t>수</t>
        </is>
      </c>
      <c r="E2059" s="39" t="inlineStr">
        <is>
          <t>고체향수</t>
        </is>
      </c>
      <c r="F2059" s="39" t="inlineStr">
        <is>
          <t>카페24</t>
        </is>
      </c>
      <c r="H2059" s="39" t="n">
        <v>3</v>
      </c>
      <c r="I2059" s="39" t="inlineStr">
        <is>
          <t>이그나이트</t>
        </is>
      </c>
      <c r="J2059" s="20" t="n">
        <v>200720</v>
      </c>
      <c r="L2059" s="39">
        <f>VLOOKUP($P2059,매칭테이블!$G:$J,2,0)*H2059</f>
        <v/>
      </c>
      <c r="M2059" s="39">
        <f>L2059-L2059*VLOOKUP($P2059,매칭테이블!$G:$J,3,0)</f>
        <v/>
      </c>
      <c r="N2059" s="39">
        <f>VLOOKUP($P2059,매칭테이블!$G:$J,4,0)*H2059</f>
        <v/>
      </c>
      <c r="O2059" s="55">
        <f>L2059/1.1</f>
        <v/>
      </c>
      <c r="P2059" s="39">
        <f>F2059&amp;E2059&amp;I2059&amp;J2059</f>
        <v/>
      </c>
    </row>
    <row r="2060">
      <c r="B2060" s="51" t="n">
        <v>44160</v>
      </c>
      <c r="C2060" s="39" t="inlineStr">
        <is>
          <t>수</t>
        </is>
      </c>
      <c r="E2060" s="39" t="inlineStr">
        <is>
          <t>쇼핑백</t>
        </is>
      </c>
      <c r="F2060" s="39" t="inlineStr">
        <is>
          <t>카페24</t>
        </is>
      </c>
      <c r="H2060" s="39" t="n">
        <v>1</v>
      </c>
      <c r="I2060" s="39" t="inlineStr">
        <is>
          <t>유즈쇼핑백</t>
        </is>
      </c>
      <c r="J2060" s="20" t="n">
        <v>200720</v>
      </c>
      <c r="L2060" s="39">
        <f>VLOOKUP($P2060,매칭테이블!$G:$J,2,0)*H2060</f>
        <v/>
      </c>
      <c r="M2060" s="39">
        <f>L2060-L2060*VLOOKUP($P2060,매칭테이블!$G:$J,3,0)</f>
        <v/>
      </c>
      <c r="N2060" s="39">
        <f>VLOOKUP($P2060,매칭테이블!$G:$J,4,0)*H2060</f>
        <v/>
      </c>
      <c r="O2060" s="55">
        <f>L2060/1.1</f>
        <v/>
      </c>
      <c r="P2060" s="39">
        <f>F2060&amp;E2060&amp;I2060&amp;J2060</f>
        <v/>
      </c>
    </row>
    <row r="2061">
      <c r="B2061" s="51" t="n">
        <v>44161</v>
      </c>
      <c r="C2061" s="39" t="inlineStr">
        <is>
          <t>목</t>
        </is>
      </c>
      <c r="E2061" s="39" t="inlineStr">
        <is>
          <t>고체향수</t>
        </is>
      </c>
      <c r="F2061" s="39" t="inlineStr">
        <is>
          <t>카페24</t>
        </is>
      </c>
      <c r="H2061" s="39" t="n">
        <v>11</v>
      </c>
      <c r="I2061" s="39" t="inlineStr">
        <is>
          <t>이그나이트 + 스테이포에버</t>
        </is>
      </c>
      <c r="J2061" s="20" t="n">
        <v>200720</v>
      </c>
      <c r="L2061" s="39">
        <f>VLOOKUP($P2061,매칭테이블!$G:$J,2,0)*H2061</f>
        <v/>
      </c>
      <c r="M2061" s="39">
        <f>L2061-L2061*VLOOKUP($P2061,매칭테이블!$G:$J,3,0)</f>
        <v/>
      </c>
      <c r="N2061" s="39">
        <f>VLOOKUP($P2061,매칭테이블!$G:$J,4,0)*H2061</f>
        <v/>
      </c>
      <c r="O2061" s="55">
        <f>L2061/1.1</f>
        <v/>
      </c>
      <c r="P2061" s="39">
        <f>F2061&amp;E2061&amp;I2061&amp;J2061</f>
        <v/>
      </c>
    </row>
    <row r="2062">
      <c r="B2062" s="51" t="n">
        <v>44161</v>
      </c>
      <c r="C2062" s="39" t="inlineStr">
        <is>
          <t>목</t>
        </is>
      </c>
      <c r="E2062" s="39" t="inlineStr">
        <is>
          <t>고체향수</t>
        </is>
      </c>
      <c r="F2062" s="39" t="inlineStr">
        <is>
          <t>카페24</t>
        </is>
      </c>
      <c r="H2062" s="39" t="n">
        <v>138</v>
      </c>
      <c r="I2062" s="39" t="inlineStr">
        <is>
          <t>스테이포에버</t>
        </is>
      </c>
      <c r="J2062" s="20" t="n">
        <v>200720</v>
      </c>
      <c r="L2062" s="39">
        <f>VLOOKUP($P2062,매칭테이블!$G:$J,2,0)*H2062</f>
        <v/>
      </c>
      <c r="M2062" s="39">
        <f>L2062-L2062*VLOOKUP($P2062,매칭테이블!$G:$J,3,0)</f>
        <v/>
      </c>
      <c r="N2062" s="39">
        <f>VLOOKUP($P2062,매칭테이블!$G:$J,4,0)*H2062</f>
        <v/>
      </c>
      <c r="O2062" s="55">
        <f>L2062/1.1</f>
        <v/>
      </c>
      <c r="P2062" s="39">
        <f>F2062&amp;E2062&amp;I2062&amp;J2062</f>
        <v/>
      </c>
    </row>
    <row r="2063">
      <c r="B2063" s="51" t="n">
        <v>44161</v>
      </c>
      <c r="C2063" s="39" t="inlineStr">
        <is>
          <t>목</t>
        </is>
      </c>
      <c r="E2063" s="39" t="inlineStr">
        <is>
          <t>고체향수</t>
        </is>
      </c>
      <c r="F2063" s="39" t="inlineStr">
        <is>
          <t>카페24</t>
        </is>
      </c>
      <c r="G2063" s="39" t="n"/>
      <c r="H2063" s="39" t="n">
        <v>43</v>
      </c>
      <c r="I2063" s="39" t="inlineStr">
        <is>
          <t>스테이포에버 2set</t>
        </is>
      </c>
      <c r="J2063" s="20" t="n">
        <v>200720</v>
      </c>
      <c r="L2063" s="39">
        <f>VLOOKUP($P2063,매칭테이블!$G:$J,2,0)*H2063</f>
        <v/>
      </c>
      <c r="M2063" s="39">
        <f>L2063-L2063*VLOOKUP($P2063,매칭테이블!$G:$J,3,0)</f>
        <v/>
      </c>
      <c r="N2063" s="39">
        <f>VLOOKUP($P2063,매칭테이블!$G:$J,4,0)*H2063</f>
        <v/>
      </c>
      <c r="O2063" s="55">
        <f>L2063/1.1</f>
        <v/>
      </c>
      <c r="P2063" s="39">
        <f>F2063&amp;E2063&amp;I2063&amp;J2063</f>
        <v/>
      </c>
    </row>
    <row r="2064">
      <c r="B2064" s="51" t="n">
        <v>44161</v>
      </c>
      <c r="C2064" s="39" t="inlineStr">
        <is>
          <t>목</t>
        </is>
      </c>
      <c r="E2064" s="39" t="inlineStr">
        <is>
          <t>고체향수</t>
        </is>
      </c>
      <c r="F2064" s="39" t="inlineStr">
        <is>
          <t>카페24</t>
        </is>
      </c>
      <c r="H2064" s="39" t="n">
        <v>2</v>
      </c>
      <c r="I2064" s="39" t="inlineStr">
        <is>
          <t>이그나이트</t>
        </is>
      </c>
      <c r="J2064" s="20" t="n">
        <v>200720</v>
      </c>
      <c r="L2064" s="39">
        <f>VLOOKUP($P2064,매칭테이블!$G:$J,2,0)*H2064</f>
        <v/>
      </c>
      <c r="M2064" s="39">
        <f>L2064-L2064*VLOOKUP($P2064,매칭테이블!$G:$J,3,0)</f>
        <v/>
      </c>
      <c r="N2064" s="39">
        <f>VLOOKUP($P2064,매칭테이블!$G:$J,4,0)*H2064</f>
        <v/>
      </c>
      <c r="O2064" s="55">
        <f>L2064/1.1</f>
        <v/>
      </c>
      <c r="P2064" s="39">
        <f>F2064&amp;E2064&amp;I2064&amp;J2064</f>
        <v/>
      </c>
    </row>
    <row r="2065">
      <c r="B2065" s="51" t="n">
        <v>44161</v>
      </c>
      <c r="C2065" s="39" t="inlineStr">
        <is>
          <t>목</t>
        </is>
      </c>
      <c r="E2065" s="39" t="inlineStr">
        <is>
          <t>쇼핑백</t>
        </is>
      </c>
      <c r="F2065" s="39" t="inlineStr">
        <is>
          <t>카페24</t>
        </is>
      </c>
      <c r="H2065" s="39" t="n">
        <v>6</v>
      </c>
      <c r="I2065" s="39" t="inlineStr">
        <is>
          <t>유즈쇼핑백</t>
        </is>
      </c>
      <c r="J2065" s="20" t="n">
        <v>200720</v>
      </c>
      <c r="L2065" s="39">
        <f>VLOOKUP($P2065,매칭테이블!$G:$J,2,0)*H2065</f>
        <v/>
      </c>
      <c r="M2065" s="39">
        <f>L2065-L2065*VLOOKUP($P2065,매칭테이블!$G:$J,3,0)</f>
        <v/>
      </c>
      <c r="N2065" s="39">
        <f>VLOOKUP($P2065,매칭테이블!$G:$J,4,0)*H2065</f>
        <v/>
      </c>
      <c r="O2065" s="55">
        <f>L2065/1.1</f>
        <v/>
      </c>
      <c r="P2065" s="39">
        <f>F2065&amp;E2065&amp;I2065&amp;J2065</f>
        <v/>
      </c>
    </row>
    <row r="2066">
      <c r="B2066" s="51" t="n">
        <v>44162</v>
      </c>
      <c r="C2066" s="39" t="inlineStr">
        <is>
          <t>금</t>
        </is>
      </c>
      <c r="E2066" s="39" t="inlineStr">
        <is>
          <t>고체향수</t>
        </is>
      </c>
      <c r="F2066" s="39" t="inlineStr">
        <is>
          <t>카페24</t>
        </is>
      </c>
      <c r="H2066" s="39" t="n">
        <v>11</v>
      </c>
      <c r="I2066" s="39" t="inlineStr">
        <is>
          <t>이그나이트 + 스테이포에버</t>
        </is>
      </c>
      <c r="J2066" s="20" t="n">
        <v>200720</v>
      </c>
      <c r="L2066" s="39">
        <f>VLOOKUP($P2066,매칭테이블!$G:$J,2,0)*H2066</f>
        <v/>
      </c>
      <c r="M2066" s="39">
        <f>L2066-L2066*VLOOKUP($P2066,매칭테이블!$G:$J,3,0)</f>
        <v/>
      </c>
      <c r="N2066" s="39">
        <f>VLOOKUP($P2066,매칭테이블!$G:$J,4,0)*H2066</f>
        <v/>
      </c>
      <c r="O2066" s="55">
        <f>L2066/1.1</f>
        <v/>
      </c>
      <c r="P2066" s="39">
        <f>F2066&amp;E2066&amp;I2066&amp;J2066</f>
        <v/>
      </c>
    </row>
    <row r="2067">
      <c r="B2067" s="51" t="n">
        <v>44162</v>
      </c>
      <c r="C2067" s="39" t="inlineStr">
        <is>
          <t>금</t>
        </is>
      </c>
      <c r="E2067" s="39" t="inlineStr">
        <is>
          <t>고체향수</t>
        </is>
      </c>
      <c r="F2067" s="39" t="inlineStr">
        <is>
          <t>카페24</t>
        </is>
      </c>
      <c r="H2067" s="39" t="n">
        <v>2</v>
      </c>
      <c r="I2067" s="39" t="inlineStr">
        <is>
          <t>이그나이트 + 스테이포에버 2set</t>
        </is>
      </c>
      <c r="J2067" s="20" t="n">
        <v>200720</v>
      </c>
      <c r="L2067" s="39">
        <f>VLOOKUP($P2067,매칭테이블!$G:$J,2,0)*H2067</f>
        <v/>
      </c>
      <c r="M2067" s="39">
        <f>L2067-L2067*VLOOKUP($P2067,매칭테이블!$G:$J,3,0)</f>
        <v/>
      </c>
      <c r="N2067" s="39">
        <f>VLOOKUP($P2067,매칭테이블!$G:$J,4,0)*H2067</f>
        <v/>
      </c>
      <c r="O2067" s="55">
        <f>L2067/1.1</f>
        <v/>
      </c>
      <c r="P2067" s="39">
        <f>F2067&amp;E2067&amp;I2067&amp;J2067</f>
        <v/>
      </c>
    </row>
    <row r="2068">
      <c r="B2068" s="51" t="n">
        <v>44162</v>
      </c>
      <c r="C2068" s="39" t="inlineStr">
        <is>
          <t>금</t>
        </is>
      </c>
      <c r="E2068" s="39" t="inlineStr">
        <is>
          <t>고체향수</t>
        </is>
      </c>
      <c r="F2068" s="39" t="inlineStr">
        <is>
          <t>카페24</t>
        </is>
      </c>
      <c r="H2068" s="39" t="n">
        <v>140</v>
      </c>
      <c r="I2068" s="39" t="inlineStr">
        <is>
          <t>스테이포에버</t>
        </is>
      </c>
      <c r="J2068" s="20" t="n">
        <v>200720</v>
      </c>
      <c r="L2068" s="39">
        <f>VLOOKUP($P2068,매칭테이블!$G:$J,2,0)*H2068</f>
        <v/>
      </c>
      <c r="M2068" s="39">
        <f>L2068-L2068*VLOOKUP($P2068,매칭테이블!$G:$J,3,0)</f>
        <v/>
      </c>
      <c r="N2068" s="39">
        <f>VLOOKUP($P2068,매칭테이블!$G:$J,4,0)*H2068</f>
        <v/>
      </c>
      <c r="O2068" s="55">
        <f>L2068/1.1</f>
        <v/>
      </c>
      <c r="P2068" s="39">
        <f>F2068&amp;E2068&amp;I2068&amp;J2068</f>
        <v/>
      </c>
    </row>
    <row r="2069">
      <c r="B2069" s="51" t="n">
        <v>44162</v>
      </c>
      <c r="C2069" s="39" t="inlineStr">
        <is>
          <t>금</t>
        </is>
      </c>
      <c r="E2069" s="39" t="inlineStr">
        <is>
          <t>고체향수</t>
        </is>
      </c>
      <c r="F2069" s="39" t="inlineStr">
        <is>
          <t>카페24</t>
        </is>
      </c>
      <c r="G2069" s="39" t="n"/>
      <c r="H2069" s="39" t="n">
        <v>54</v>
      </c>
      <c r="I2069" s="39" t="inlineStr">
        <is>
          <t>스테이포에버 2set</t>
        </is>
      </c>
      <c r="J2069" s="20" t="n">
        <v>200720</v>
      </c>
      <c r="L2069" s="39">
        <f>VLOOKUP($P2069,매칭테이블!$G:$J,2,0)*H2069</f>
        <v/>
      </c>
      <c r="M2069" s="39">
        <f>L2069-L2069*VLOOKUP($P2069,매칭테이블!$G:$J,3,0)</f>
        <v/>
      </c>
      <c r="N2069" s="39">
        <f>VLOOKUP($P2069,매칭테이블!$G:$J,4,0)*H2069</f>
        <v/>
      </c>
      <c r="O2069" s="55">
        <f>L2069/1.1</f>
        <v/>
      </c>
      <c r="P2069" s="39">
        <f>F2069&amp;E2069&amp;I2069&amp;J2069</f>
        <v/>
      </c>
    </row>
    <row r="2070">
      <c r="B2070" s="51" t="n">
        <v>44162</v>
      </c>
      <c r="C2070" s="39" t="inlineStr">
        <is>
          <t>금</t>
        </is>
      </c>
      <c r="E2070" s="39" t="inlineStr">
        <is>
          <t>고체향수</t>
        </is>
      </c>
      <c r="F2070" s="39" t="inlineStr">
        <is>
          <t>카페24</t>
        </is>
      </c>
      <c r="H2070" s="39" t="n">
        <v>2</v>
      </c>
      <c r="I2070" s="39" t="inlineStr">
        <is>
          <t>이그나이트</t>
        </is>
      </c>
      <c r="J2070" s="20" t="n">
        <v>200720</v>
      </c>
      <c r="L2070" s="39">
        <f>VLOOKUP($P2070,매칭테이블!$G:$J,2,0)*H2070</f>
        <v/>
      </c>
      <c r="M2070" s="39">
        <f>L2070-L2070*VLOOKUP($P2070,매칭테이블!$G:$J,3,0)</f>
        <v/>
      </c>
      <c r="N2070" s="39">
        <f>VLOOKUP($P2070,매칭테이블!$G:$J,4,0)*H2070</f>
        <v/>
      </c>
      <c r="O2070" s="55">
        <f>L2070/1.1</f>
        <v/>
      </c>
      <c r="P2070" s="39">
        <f>F2070&amp;E2070&amp;I2070&amp;J2070</f>
        <v/>
      </c>
    </row>
    <row r="2071">
      <c r="B2071" s="51" t="n">
        <v>44162</v>
      </c>
      <c r="C2071" s="39" t="inlineStr">
        <is>
          <t>금</t>
        </is>
      </c>
      <c r="E2071" s="39" t="inlineStr">
        <is>
          <t>고체향수</t>
        </is>
      </c>
      <c r="F2071" s="39" t="inlineStr">
        <is>
          <t>카페24</t>
        </is>
      </c>
      <c r="H2071" s="39" t="n">
        <v>1</v>
      </c>
      <c r="I2071" s="39" t="inlineStr">
        <is>
          <t>이그나이트 2set</t>
        </is>
      </c>
      <c r="J2071" s="20" t="n">
        <v>200720</v>
      </c>
      <c r="L2071" s="39">
        <f>VLOOKUP($P2071,매칭테이블!$G:$J,2,0)*H2071</f>
        <v/>
      </c>
      <c r="M2071" s="39">
        <f>L2071-L2071*VLOOKUP($P2071,매칭테이블!$G:$J,3,0)</f>
        <v/>
      </c>
      <c r="N2071" s="39">
        <f>VLOOKUP($P2071,매칭테이블!$G:$J,4,0)*H2071</f>
        <v/>
      </c>
      <c r="O2071" s="55">
        <f>L2071/1.1</f>
        <v/>
      </c>
      <c r="P2071" s="39">
        <f>F2071&amp;E2071&amp;I2071&amp;J2071</f>
        <v/>
      </c>
    </row>
    <row r="2072">
      <c r="B2072" s="51" t="n">
        <v>44162</v>
      </c>
      <c r="C2072" s="39" t="inlineStr">
        <is>
          <t>금</t>
        </is>
      </c>
      <c r="E2072" s="39" t="inlineStr">
        <is>
          <t>쇼핑백</t>
        </is>
      </c>
      <c r="F2072" s="39" t="inlineStr">
        <is>
          <t>카페24</t>
        </is>
      </c>
      <c r="H2072" s="39" t="n">
        <v>7</v>
      </c>
      <c r="I2072" s="39" t="inlineStr">
        <is>
          <t>유즈쇼핑백</t>
        </is>
      </c>
      <c r="J2072" s="20" t="n">
        <v>200720</v>
      </c>
      <c r="L2072" s="39">
        <f>VLOOKUP($P2072,매칭테이블!$G:$J,2,0)*H2072</f>
        <v/>
      </c>
      <c r="M2072" s="39">
        <f>L2072-L2072*VLOOKUP($P2072,매칭테이블!$G:$J,3,0)</f>
        <v/>
      </c>
      <c r="N2072" s="39">
        <f>VLOOKUP($P2072,매칭테이블!$G:$J,4,0)*H2072</f>
        <v/>
      </c>
      <c r="O2072" s="55">
        <f>L2072/1.1</f>
        <v/>
      </c>
      <c r="P2072" s="39">
        <f>F2072&amp;E2072&amp;I2072&amp;J2072</f>
        <v/>
      </c>
    </row>
    <row r="2073">
      <c r="B2073" s="51" t="n">
        <v>44163</v>
      </c>
      <c r="C2073" s="39" t="inlineStr">
        <is>
          <t>토</t>
        </is>
      </c>
      <c r="E2073" s="39" t="inlineStr">
        <is>
          <t>고체향수</t>
        </is>
      </c>
      <c r="F2073" s="39" t="inlineStr">
        <is>
          <t>카페24</t>
        </is>
      </c>
      <c r="H2073" s="39" t="n">
        <v>13</v>
      </c>
      <c r="I2073" s="39" t="inlineStr">
        <is>
          <t>이그나이트 + 스테이포에버</t>
        </is>
      </c>
      <c r="J2073" s="20" t="n">
        <v>200720</v>
      </c>
      <c r="L2073" s="39">
        <f>VLOOKUP($P2073,매칭테이블!$G:$J,2,0)*H2073</f>
        <v/>
      </c>
      <c r="M2073" s="39">
        <f>L2073-L2073*VLOOKUP($P2073,매칭테이블!$G:$J,3,0)</f>
        <v/>
      </c>
      <c r="N2073" s="39">
        <f>VLOOKUP($P2073,매칭테이블!$G:$J,4,0)*H2073</f>
        <v/>
      </c>
      <c r="O2073" s="55">
        <f>L2073/1.1</f>
        <v/>
      </c>
      <c r="P2073" s="39">
        <f>F2073&amp;E2073&amp;I2073&amp;J2073</f>
        <v/>
      </c>
    </row>
    <row r="2074">
      <c r="B2074" s="51" t="n">
        <v>44163</v>
      </c>
      <c r="C2074" s="39" t="inlineStr">
        <is>
          <t>토</t>
        </is>
      </c>
      <c r="E2074" s="39" t="inlineStr">
        <is>
          <t>고체향수</t>
        </is>
      </c>
      <c r="F2074" s="39" t="inlineStr">
        <is>
          <t>카페24</t>
        </is>
      </c>
      <c r="H2074" s="39" t="n">
        <v>150</v>
      </c>
      <c r="I2074" s="39" t="inlineStr">
        <is>
          <t>스테이포에버</t>
        </is>
      </c>
      <c r="J2074" s="20" t="n">
        <v>200720</v>
      </c>
      <c r="L2074" s="39">
        <f>VLOOKUP($P2074,매칭테이블!$G:$J,2,0)*H2074</f>
        <v/>
      </c>
      <c r="M2074" s="39">
        <f>L2074-L2074*VLOOKUP($P2074,매칭테이블!$G:$J,3,0)</f>
        <v/>
      </c>
      <c r="N2074" s="39">
        <f>VLOOKUP($P2074,매칭테이블!$G:$J,4,0)*H2074</f>
        <v/>
      </c>
      <c r="O2074" s="55">
        <f>L2074/1.1</f>
        <v/>
      </c>
      <c r="P2074" s="39">
        <f>F2074&amp;E2074&amp;I2074&amp;J2074</f>
        <v/>
      </c>
    </row>
    <row r="2075">
      <c r="B2075" s="51" t="n">
        <v>44163</v>
      </c>
      <c r="C2075" s="39" t="inlineStr">
        <is>
          <t>토</t>
        </is>
      </c>
      <c r="E2075" s="39" t="inlineStr">
        <is>
          <t>고체향수</t>
        </is>
      </c>
      <c r="F2075" s="39" t="inlineStr">
        <is>
          <t>카페24</t>
        </is>
      </c>
      <c r="G2075" s="39" t="n"/>
      <c r="H2075" s="39" t="n">
        <v>74</v>
      </c>
      <c r="I2075" s="39" t="inlineStr">
        <is>
          <t>스테이포에버 2set</t>
        </is>
      </c>
      <c r="J2075" s="20" t="n">
        <v>200720</v>
      </c>
      <c r="L2075" s="39">
        <f>VLOOKUP($P2075,매칭테이블!$G:$J,2,0)*H2075</f>
        <v/>
      </c>
      <c r="M2075" s="39">
        <f>L2075-L2075*VLOOKUP($P2075,매칭테이블!$G:$J,3,0)</f>
        <v/>
      </c>
      <c r="N2075" s="39">
        <f>VLOOKUP($P2075,매칭테이블!$G:$J,4,0)*H2075</f>
        <v/>
      </c>
      <c r="O2075" s="55">
        <f>L2075/1.1</f>
        <v/>
      </c>
      <c r="P2075" s="39">
        <f>F2075&amp;E2075&amp;I2075&amp;J2075</f>
        <v/>
      </c>
    </row>
    <row r="2076">
      <c r="B2076" s="51" t="n">
        <v>44163</v>
      </c>
      <c r="C2076" s="39" t="inlineStr">
        <is>
          <t>토</t>
        </is>
      </c>
      <c r="E2076" s="39" t="inlineStr">
        <is>
          <t>고체향수</t>
        </is>
      </c>
      <c r="F2076" s="39" t="inlineStr">
        <is>
          <t>카페24</t>
        </is>
      </c>
      <c r="H2076" s="39" t="n">
        <v>2</v>
      </c>
      <c r="I2076" s="39" t="inlineStr">
        <is>
          <t>이그나이트 2set</t>
        </is>
      </c>
      <c r="J2076" s="20" t="n">
        <v>200720</v>
      </c>
      <c r="L2076" s="39">
        <f>VLOOKUP($P2076,매칭테이블!$G:$J,2,0)*H2076</f>
        <v/>
      </c>
      <c r="M2076" s="39">
        <f>L2076-L2076*VLOOKUP($P2076,매칭테이블!$G:$J,3,0)</f>
        <v/>
      </c>
      <c r="N2076" s="39">
        <f>VLOOKUP($P2076,매칭테이블!$G:$J,4,0)*H2076</f>
        <v/>
      </c>
      <c r="O2076" s="55">
        <f>L2076/1.1</f>
        <v/>
      </c>
      <c r="P2076" s="39">
        <f>F2076&amp;E2076&amp;I2076&amp;J2076</f>
        <v/>
      </c>
    </row>
    <row r="2077">
      <c r="B2077" s="51" t="n">
        <v>44163</v>
      </c>
      <c r="C2077" s="39" t="inlineStr">
        <is>
          <t>토</t>
        </is>
      </c>
      <c r="E2077" s="39" t="inlineStr">
        <is>
          <t>쇼핑백</t>
        </is>
      </c>
      <c r="F2077" s="39" t="inlineStr">
        <is>
          <t>카페24</t>
        </is>
      </c>
      <c r="H2077" s="39" t="n">
        <v>9</v>
      </c>
      <c r="I2077" s="39" t="inlineStr">
        <is>
          <t>유즈쇼핑백</t>
        </is>
      </c>
      <c r="J2077" s="20" t="n">
        <v>200720</v>
      </c>
      <c r="L2077" s="39">
        <f>VLOOKUP($P2077,매칭테이블!$G:$J,2,0)*H2077</f>
        <v/>
      </c>
      <c r="M2077" s="39">
        <f>L2077-L2077*VLOOKUP($P2077,매칭테이블!$G:$J,3,0)</f>
        <v/>
      </c>
      <c r="N2077" s="39">
        <f>VLOOKUP($P2077,매칭테이블!$G:$J,4,0)*H2077</f>
        <v/>
      </c>
      <c r="O2077" s="55">
        <f>L2077/1.1</f>
        <v/>
      </c>
      <c r="P2077" s="39">
        <f>F2077&amp;E2077&amp;I2077&amp;J2077</f>
        <v/>
      </c>
    </row>
    <row r="2078">
      <c r="B2078" s="51" t="n">
        <v>44164</v>
      </c>
      <c r="C2078" s="39" t="inlineStr">
        <is>
          <t>일</t>
        </is>
      </c>
      <c r="E2078" s="39" t="inlineStr">
        <is>
          <t>고체향수</t>
        </is>
      </c>
      <c r="F2078" s="39" t="inlineStr">
        <is>
          <t>카페24</t>
        </is>
      </c>
      <c r="H2078" s="39" t="n">
        <v>20</v>
      </c>
      <c r="I2078" s="39" t="inlineStr">
        <is>
          <t>이그나이트 + 스테이포에버</t>
        </is>
      </c>
      <c r="J2078" s="20" t="n">
        <v>200720</v>
      </c>
      <c r="L2078" s="39">
        <f>VLOOKUP($P2078,매칭테이블!$G:$J,2,0)*H2078</f>
        <v/>
      </c>
      <c r="M2078" s="39">
        <f>L2078-L2078*VLOOKUP($P2078,매칭테이블!$G:$J,3,0)</f>
        <v/>
      </c>
      <c r="N2078" s="39">
        <f>VLOOKUP($P2078,매칭테이블!$G:$J,4,0)*H2078</f>
        <v/>
      </c>
      <c r="O2078" s="55">
        <f>L2078/1.1</f>
        <v/>
      </c>
      <c r="P2078" s="39">
        <f>F2078&amp;E2078&amp;I2078&amp;J2078</f>
        <v/>
      </c>
    </row>
    <row r="2079">
      <c r="B2079" s="51" t="n">
        <v>44164</v>
      </c>
      <c r="C2079" s="39" t="inlineStr">
        <is>
          <t>일</t>
        </is>
      </c>
      <c r="E2079" s="39" t="inlineStr">
        <is>
          <t>고체향수</t>
        </is>
      </c>
      <c r="F2079" s="39" t="inlineStr">
        <is>
          <t>카페24</t>
        </is>
      </c>
      <c r="H2079" s="39" t="n">
        <v>164</v>
      </c>
      <c r="I2079" s="39" t="inlineStr">
        <is>
          <t>스테이포에버</t>
        </is>
      </c>
      <c r="J2079" s="20" t="n">
        <v>200720</v>
      </c>
      <c r="L2079" s="39">
        <f>VLOOKUP($P2079,매칭테이블!$G:$J,2,0)*H2079</f>
        <v/>
      </c>
      <c r="M2079" s="39">
        <f>L2079-L2079*VLOOKUP($P2079,매칭테이블!$G:$J,3,0)</f>
        <v/>
      </c>
      <c r="N2079" s="39">
        <f>VLOOKUP($P2079,매칭테이블!$G:$J,4,0)*H2079</f>
        <v/>
      </c>
      <c r="O2079" s="55">
        <f>L2079/1.1</f>
        <v/>
      </c>
      <c r="P2079" s="39">
        <f>F2079&amp;E2079&amp;I2079&amp;J2079</f>
        <v/>
      </c>
    </row>
    <row r="2080">
      <c r="B2080" s="51" t="n">
        <v>44164</v>
      </c>
      <c r="C2080" s="39" t="inlineStr">
        <is>
          <t>일</t>
        </is>
      </c>
      <c r="E2080" s="39" t="inlineStr">
        <is>
          <t>고체향수</t>
        </is>
      </c>
      <c r="F2080" s="39" t="inlineStr">
        <is>
          <t>카페24</t>
        </is>
      </c>
      <c r="G2080" s="39" t="n"/>
      <c r="H2080" s="39" t="n">
        <v>87</v>
      </c>
      <c r="I2080" s="39" t="inlineStr">
        <is>
          <t>스테이포에버 2set</t>
        </is>
      </c>
      <c r="J2080" s="20" t="n">
        <v>200720</v>
      </c>
      <c r="L2080" s="39">
        <f>VLOOKUP($P2080,매칭테이블!$G:$J,2,0)*H2080</f>
        <v/>
      </c>
      <c r="M2080" s="39">
        <f>L2080-L2080*VLOOKUP($P2080,매칭테이블!$G:$J,3,0)</f>
        <v/>
      </c>
      <c r="N2080" s="39">
        <f>VLOOKUP($P2080,매칭테이블!$G:$J,4,0)*H2080</f>
        <v/>
      </c>
      <c r="O2080" s="55">
        <f>L2080/1.1</f>
        <v/>
      </c>
      <c r="P2080" s="39">
        <f>F2080&amp;E2080&amp;I2080&amp;J2080</f>
        <v/>
      </c>
    </row>
    <row r="2081">
      <c r="B2081" s="51" t="n">
        <v>44164</v>
      </c>
      <c r="C2081" s="39" t="inlineStr">
        <is>
          <t>일</t>
        </is>
      </c>
      <c r="E2081" s="39" t="inlineStr">
        <is>
          <t>고체향수</t>
        </is>
      </c>
      <c r="F2081" s="39" t="inlineStr">
        <is>
          <t>카페24</t>
        </is>
      </c>
      <c r="H2081" s="39" t="n">
        <v>1</v>
      </c>
      <c r="I2081" s="39" t="inlineStr">
        <is>
          <t>이그나이트</t>
        </is>
      </c>
      <c r="J2081" s="20" t="n">
        <v>200720</v>
      </c>
      <c r="L2081" s="39">
        <f>VLOOKUP($P2081,매칭테이블!$G:$J,2,0)*H2081</f>
        <v/>
      </c>
      <c r="M2081" s="39">
        <f>L2081-L2081*VLOOKUP($P2081,매칭테이블!$G:$J,3,0)</f>
        <v/>
      </c>
      <c r="N2081" s="39">
        <f>VLOOKUP($P2081,매칭테이블!$G:$J,4,0)*H2081</f>
        <v/>
      </c>
      <c r="O2081" s="55">
        <f>L2081/1.1</f>
        <v/>
      </c>
      <c r="P2081" s="39">
        <f>F2081&amp;E2081&amp;I2081&amp;J2081</f>
        <v/>
      </c>
    </row>
    <row r="2082">
      <c r="B2082" s="51" t="n">
        <v>44164</v>
      </c>
      <c r="C2082" s="39" t="inlineStr">
        <is>
          <t>일</t>
        </is>
      </c>
      <c r="E2082" s="39" t="inlineStr">
        <is>
          <t>고체향수</t>
        </is>
      </c>
      <c r="F2082" s="39" t="inlineStr">
        <is>
          <t>카페24</t>
        </is>
      </c>
      <c r="H2082" s="39" t="n">
        <v>2</v>
      </c>
      <c r="I2082" s="39" t="inlineStr">
        <is>
          <t>이그나이트 2set</t>
        </is>
      </c>
      <c r="J2082" s="20" t="n">
        <v>200720</v>
      </c>
      <c r="L2082" s="39">
        <f>VLOOKUP($P2082,매칭테이블!$G:$J,2,0)*H2082</f>
        <v/>
      </c>
      <c r="M2082" s="39">
        <f>L2082-L2082*VLOOKUP($P2082,매칭테이블!$G:$J,3,0)</f>
        <v/>
      </c>
      <c r="N2082" s="39">
        <f>VLOOKUP($P2082,매칭테이블!$G:$J,4,0)*H2082</f>
        <v/>
      </c>
      <c r="O2082" s="55">
        <f>L2082/1.1</f>
        <v/>
      </c>
      <c r="P2082" s="39">
        <f>F2082&amp;E2082&amp;I2082&amp;J2082</f>
        <v/>
      </c>
    </row>
    <row r="2083">
      <c r="B2083" s="51" t="n">
        <v>44164</v>
      </c>
      <c r="C2083" s="39" t="inlineStr">
        <is>
          <t>일</t>
        </is>
      </c>
      <c r="E2083" s="39" t="inlineStr">
        <is>
          <t>쇼핑백</t>
        </is>
      </c>
      <c r="F2083" s="39" t="inlineStr">
        <is>
          <t>카페24</t>
        </is>
      </c>
      <c r="H2083" s="39" t="n">
        <v>7</v>
      </c>
      <c r="I2083" s="39" t="inlineStr">
        <is>
          <t>유즈쇼핑백</t>
        </is>
      </c>
      <c r="J2083" s="20" t="n">
        <v>200720</v>
      </c>
      <c r="L2083" s="39">
        <f>VLOOKUP($P2083,매칭테이블!$G:$J,2,0)*H2083</f>
        <v/>
      </c>
      <c r="M2083" s="39">
        <f>L2083-L2083*VLOOKUP($P2083,매칭테이블!$G:$J,3,0)</f>
        <v/>
      </c>
      <c r="N2083" s="39">
        <f>VLOOKUP($P2083,매칭테이블!$G:$J,4,0)*H2083</f>
        <v/>
      </c>
      <c r="O2083" s="55">
        <f>L2083/1.1</f>
        <v/>
      </c>
      <c r="P2083" s="39">
        <f>F2083&amp;E2083&amp;I2083&amp;J2083</f>
        <v/>
      </c>
    </row>
    <row r="2084">
      <c r="B2084" s="51" t="n">
        <v>44165</v>
      </c>
      <c r="C2084" s="39" t="inlineStr">
        <is>
          <t>월</t>
        </is>
      </c>
      <c r="E2084" s="39" t="inlineStr">
        <is>
          <t>고체향수</t>
        </is>
      </c>
      <c r="F2084" s="39" t="inlineStr">
        <is>
          <t>카페24</t>
        </is>
      </c>
      <c r="H2084" s="39" t="n">
        <v>12</v>
      </c>
      <c r="I2084" s="39" t="inlineStr">
        <is>
          <t>이그나이트 + 스테이포에버</t>
        </is>
      </c>
      <c r="J2084" s="20" t="n">
        <v>200720</v>
      </c>
      <c r="L2084" s="39">
        <f>VLOOKUP($P2084,매칭테이블!$G:$J,2,0)*H2084</f>
        <v/>
      </c>
      <c r="M2084" s="39">
        <f>L2084-L2084*VLOOKUP($P2084,매칭테이블!$G:$J,3,0)</f>
        <v/>
      </c>
      <c r="N2084" s="39">
        <f>VLOOKUP($P2084,매칭테이블!$G:$J,4,0)*H2084</f>
        <v/>
      </c>
      <c r="O2084" s="55">
        <f>L2084/1.1</f>
        <v/>
      </c>
      <c r="P2084" s="39">
        <f>F2084&amp;E2084&amp;I2084&amp;J2084</f>
        <v/>
      </c>
    </row>
    <row r="2085">
      <c r="B2085" s="51" t="n">
        <v>44165</v>
      </c>
      <c r="C2085" s="39" t="inlineStr">
        <is>
          <t>월</t>
        </is>
      </c>
      <c r="E2085" s="39" t="inlineStr">
        <is>
          <t>고체향수</t>
        </is>
      </c>
      <c r="F2085" s="39" t="inlineStr">
        <is>
          <t>카페24</t>
        </is>
      </c>
      <c r="H2085" s="39" t="n">
        <v>133</v>
      </c>
      <c r="I2085" s="39" t="inlineStr">
        <is>
          <t>스테이포에버</t>
        </is>
      </c>
      <c r="J2085" s="20" t="n">
        <v>200720</v>
      </c>
      <c r="L2085" s="39">
        <f>VLOOKUP($P2085,매칭테이블!$G:$J,2,0)*H2085</f>
        <v/>
      </c>
      <c r="M2085" s="39">
        <f>L2085-L2085*VLOOKUP($P2085,매칭테이블!$G:$J,3,0)</f>
        <v/>
      </c>
      <c r="N2085" s="39">
        <f>VLOOKUP($P2085,매칭테이블!$G:$J,4,0)*H2085</f>
        <v/>
      </c>
      <c r="O2085" s="55">
        <f>L2085/1.1</f>
        <v/>
      </c>
      <c r="P2085" s="39">
        <f>F2085&amp;E2085&amp;I2085&amp;J2085</f>
        <v/>
      </c>
    </row>
    <row r="2086">
      <c r="B2086" s="51" t="n">
        <v>44165</v>
      </c>
      <c r="C2086" s="39" t="inlineStr">
        <is>
          <t>월</t>
        </is>
      </c>
      <c r="E2086" s="39" t="inlineStr">
        <is>
          <t>고체향수</t>
        </is>
      </c>
      <c r="F2086" s="39" t="inlineStr">
        <is>
          <t>카페24</t>
        </is>
      </c>
      <c r="G2086" s="39" t="n"/>
      <c r="H2086" s="39" t="n">
        <v>63</v>
      </c>
      <c r="I2086" s="39" t="inlineStr">
        <is>
          <t>스테이포에버 2set</t>
        </is>
      </c>
      <c r="J2086" s="20" t="n">
        <v>200720</v>
      </c>
      <c r="L2086" s="39">
        <f>VLOOKUP($P2086,매칭테이블!$G:$J,2,0)*H2086</f>
        <v/>
      </c>
      <c r="M2086" s="39">
        <f>L2086-L2086*VLOOKUP($P2086,매칭테이블!$G:$J,3,0)</f>
        <v/>
      </c>
      <c r="N2086" s="39">
        <f>VLOOKUP($P2086,매칭테이블!$G:$J,4,0)*H2086</f>
        <v/>
      </c>
      <c r="O2086" s="55">
        <f>L2086/1.1</f>
        <v/>
      </c>
      <c r="P2086" s="39">
        <f>F2086&amp;E2086&amp;I2086&amp;J2086</f>
        <v/>
      </c>
    </row>
    <row r="2087">
      <c r="B2087" s="51" t="n">
        <v>44165</v>
      </c>
      <c r="C2087" s="39" t="inlineStr">
        <is>
          <t>월</t>
        </is>
      </c>
      <c r="E2087" s="39" t="inlineStr">
        <is>
          <t>고체향수</t>
        </is>
      </c>
      <c r="F2087" s="39" t="inlineStr">
        <is>
          <t>카페24</t>
        </is>
      </c>
      <c r="H2087" s="39" t="n">
        <v>4</v>
      </c>
      <c r="I2087" s="39" t="inlineStr">
        <is>
          <t>이그나이트</t>
        </is>
      </c>
      <c r="J2087" s="20" t="n">
        <v>200720</v>
      </c>
      <c r="L2087" s="39">
        <f>VLOOKUP($P2087,매칭테이블!$G:$J,2,0)*H2087</f>
        <v/>
      </c>
      <c r="M2087" s="39">
        <f>L2087-L2087*VLOOKUP($P2087,매칭테이블!$G:$J,3,0)</f>
        <v/>
      </c>
      <c r="N2087" s="39">
        <f>VLOOKUP($P2087,매칭테이블!$G:$J,4,0)*H2087</f>
        <v/>
      </c>
      <c r="O2087" s="55">
        <f>L2087/1.1</f>
        <v/>
      </c>
      <c r="P2087" s="39">
        <f>F2087&amp;E2087&amp;I2087&amp;J2087</f>
        <v/>
      </c>
    </row>
    <row r="2088">
      <c r="B2088" s="51" t="n">
        <v>44165</v>
      </c>
      <c r="C2088" s="39" t="inlineStr">
        <is>
          <t>월</t>
        </is>
      </c>
      <c r="E2088" s="39" t="inlineStr">
        <is>
          <t>쇼핑백</t>
        </is>
      </c>
      <c r="F2088" s="39" t="inlineStr">
        <is>
          <t>카페24</t>
        </is>
      </c>
      <c r="H2088" s="39" t="n">
        <v>7</v>
      </c>
      <c r="I2088" s="39" t="inlineStr">
        <is>
          <t>유즈쇼핑백</t>
        </is>
      </c>
      <c r="J2088" s="20" t="n">
        <v>200720</v>
      </c>
      <c r="L2088" s="39">
        <f>VLOOKUP($P2088,매칭테이블!$G:$J,2,0)*H2088</f>
        <v/>
      </c>
      <c r="M2088" s="39">
        <f>L2088-L2088*VLOOKUP($P2088,매칭테이블!$G:$J,3,0)</f>
        <v/>
      </c>
      <c r="N2088" s="39">
        <f>VLOOKUP($P2088,매칭테이블!$G:$J,4,0)*H2088</f>
        <v/>
      </c>
      <c r="O2088" s="55">
        <f>L2088/1.1</f>
        <v/>
      </c>
      <c r="P2088" s="39">
        <f>F2088&amp;E2088&amp;I2088&amp;J2088</f>
        <v/>
      </c>
    </row>
    <row r="2089">
      <c r="B2089" s="51" t="n">
        <v>44166</v>
      </c>
      <c r="C2089" s="39" t="inlineStr">
        <is>
          <t>화</t>
        </is>
      </c>
      <c r="E2089" s="39" t="inlineStr">
        <is>
          <t>고체향수</t>
        </is>
      </c>
      <c r="F2089" s="39" t="inlineStr">
        <is>
          <t>카페24</t>
        </is>
      </c>
      <c r="H2089" s="39" t="n">
        <v>25</v>
      </c>
      <c r="I2089" s="39" t="inlineStr">
        <is>
          <t>이그나이트 + 스테이포에버</t>
        </is>
      </c>
      <c r="J2089" s="20" t="n">
        <v>200720</v>
      </c>
      <c r="L2089" s="39">
        <f>VLOOKUP($P2089,매칭테이블!$G:$J,2,0)*H2089</f>
        <v/>
      </c>
      <c r="M2089" s="39">
        <f>L2089-L2089*VLOOKUP($P2089,매칭테이블!$G:$J,3,0)</f>
        <v/>
      </c>
      <c r="N2089" s="39">
        <f>VLOOKUP($P2089,매칭테이블!$G:$J,4,0)*H2089</f>
        <v/>
      </c>
      <c r="O2089" s="55">
        <f>L2089/1.1</f>
        <v/>
      </c>
      <c r="P2089" s="39">
        <f>F2089&amp;E2089&amp;I2089&amp;J2089</f>
        <v/>
      </c>
    </row>
    <row r="2090">
      <c r="B2090" s="51" t="n">
        <v>44166</v>
      </c>
      <c r="C2090" s="39" t="inlineStr">
        <is>
          <t>화</t>
        </is>
      </c>
      <c r="E2090" s="39" t="inlineStr">
        <is>
          <t>고체향수</t>
        </is>
      </c>
      <c r="F2090" s="39" t="inlineStr">
        <is>
          <t>카페24</t>
        </is>
      </c>
      <c r="H2090" s="39" t="n">
        <v>1</v>
      </c>
      <c r="I2090" s="39" t="inlineStr">
        <is>
          <t>이그나이트 + 스테이포에버 2set</t>
        </is>
      </c>
      <c r="J2090" s="20" t="n">
        <v>200720</v>
      </c>
      <c r="L2090" s="39">
        <f>VLOOKUP($P2090,매칭테이블!$G:$J,2,0)*H2090</f>
        <v/>
      </c>
      <c r="M2090" s="39">
        <f>L2090-L2090*VLOOKUP($P2090,매칭테이블!$G:$J,3,0)</f>
        <v/>
      </c>
      <c r="N2090" s="39">
        <f>VLOOKUP($P2090,매칭테이블!$G:$J,4,0)*H2090</f>
        <v/>
      </c>
      <c r="O2090" s="55">
        <f>L2090/1.1</f>
        <v/>
      </c>
      <c r="P2090" s="39">
        <f>F2090&amp;E2090&amp;I2090&amp;J2090</f>
        <v/>
      </c>
    </row>
    <row r="2091">
      <c r="B2091" s="51" t="n">
        <v>44166</v>
      </c>
      <c r="C2091" s="39" t="inlineStr">
        <is>
          <t>화</t>
        </is>
      </c>
      <c r="E2091" s="39" t="inlineStr">
        <is>
          <t>고체향수</t>
        </is>
      </c>
      <c r="F2091" s="39" t="inlineStr">
        <is>
          <t>카페24</t>
        </is>
      </c>
      <c r="H2091" s="39" t="n">
        <v>191</v>
      </c>
      <c r="I2091" s="39" t="inlineStr">
        <is>
          <t>스테이포에버</t>
        </is>
      </c>
      <c r="J2091" s="20" t="n">
        <v>200720</v>
      </c>
      <c r="L2091" s="39">
        <f>VLOOKUP($P2091,매칭테이블!$G:$J,2,0)*H2091</f>
        <v/>
      </c>
      <c r="M2091" s="39">
        <f>L2091-L2091*VLOOKUP($P2091,매칭테이블!$G:$J,3,0)</f>
        <v/>
      </c>
      <c r="N2091" s="39">
        <f>VLOOKUP($P2091,매칭테이블!$G:$J,4,0)*H2091</f>
        <v/>
      </c>
      <c r="O2091" s="55">
        <f>L2091/1.1</f>
        <v/>
      </c>
      <c r="P2091" s="39">
        <f>F2091&amp;E2091&amp;I2091&amp;J2091</f>
        <v/>
      </c>
    </row>
    <row r="2092">
      <c r="B2092" s="51" t="n">
        <v>44166</v>
      </c>
      <c r="C2092" s="39" t="inlineStr">
        <is>
          <t>화</t>
        </is>
      </c>
      <c r="E2092" s="39" t="inlineStr">
        <is>
          <t>고체향수</t>
        </is>
      </c>
      <c r="F2092" s="39" t="inlineStr">
        <is>
          <t>카페24</t>
        </is>
      </c>
      <c r="G2092" s="39" t="n"/>
      <c r="H2092" s="39" t="n">
        <v>74</v>
      </c>
      <c r="I2092" s="39" t="inlineStr">
        <is>
          <t>스테이포에버 2set</t>
        </is>
      </c>
      <c r="J2092" s="20" t="n">
        <v>200720</v>
      </c>
      <c r="L2092" s="39">
        <f>VLOOKUP($P2092,매칭테이블!$G:$J,2,0)*H2092</f>
        <v/>
      </c>
      <c r="M2092" s="39">
        <f>L2092-L2092*VLOOKUP($P2092,매칭테이블!$G:$J,3,0)</f>
        <v/>
      </c>
      <c r="N2092" s="39">
        <f>VLOOKUP($P2092,매칭테이블!$G:$J,4,0)*H2092</f>
        <v/>
      </c>
      <c r="O2092" s="55">
        <f>L2092/1.1</f>
        <v/>
      </c>
      <c r="P2092" s="39">
        <f>F2092&amp;E2092&amp;I2092&amp;J2092</f>
        <v/>
      </c>
    </row>
    <row r="2093">
      <c r="B2093" s="51" t="n">
        <v>44166</v>
      </c>
      <c r="C2093" s="39" t="inlineStr">
        <is>
          <t>화</t>
        </is>
      </c>
      <c r="E2093" s="39" t="inlineStr">
        <is>
          <t>고체향수</t>
        </is>
      </c>
      <c r="F2093" s="39" t="inlineStr">
        <is>
          <t>카페24</t>
        </is>
      </c>
      <c r="H2093" s="39" t="n">
        <v>1</v>
      </c>
      <c r="I2093" s="39" t="inlineStr">
        <is>
          <t>이그나이트 2set</t>
        </is>
      </c>
      <c r="J2093" s="20" t="n">
        <v>200720</v>
      </c>
      <c r="L2093" s="39">
        <f>VLOOKUP($P2093,매칭테이블!$G:$J,2,0)*H2093</f>
        <v/>
      </c>
      <c r="M2093" s="39">
        <f>L2093-L2093*VLOOKUP($P2093,매칭테이블!$G:$J,3,0)</f>
        <v/>
      </c>
      <c r="N2093" s="39">
        <f>VLOOKUP($P2093,매칭테이블!$G:$J,4,0)*H2093</f>
        <v/>
      </c>
      <c r="O2093" s="55">
        <f>L2093/1.1</f>
        <v/>
      </c>
      <c r="P2093" s="39">
        <f>F2093&amp;E2093&amp;I2093&amp;J2093</f>
        <v/>
      </c>
    </row>
    <row r="2094">
      <c r="B2094" s="51" t="n">
        <v>44166</v>
      </c>
      <c r="C2094" s="39" t="inlineStr">
        <is>
          <t>화</t>
        </is>
      </c>
      <c r="E2094" s="39" t="inlineStr">
        <is>
          <t>쇼핑백</t>
        </is>
      </c>
      <c r="F2094" s="39" t="inlineStr">
        <is>
          <t>카페24</t>
        </is>
      </c>
      <c r="H2094" s="39" t="n">
        <v>7</v>
      </c>
      <c r="I2094" s="39" t="inlineStr">
        <is>
          <t>유즈쇼핑백</t>
        </is>
      </c>
      <c r="J2094" s="20" t="n">
        <v>200720</v>
      </c>
      <c r="L2094" s="39">
        <f>VLOOKUP($P2094,매칭테이블!$G:$J,2,0)*H2094</f>
        <v/>
      </c>
      <c r="M2094" s="39">
        <f>L2094-L2094*VLOOKUP($P2094,매칭테이블!$G:$J,3,0)</f>
        <v/>
      </c>
      <c r="N2094" s="39">
        <f>VLOOKUP($P2094,매칭테이블!$G:$J,4,0)*H2094</f>
        <v/>
      </c>
      <c r="O2094" s="55">
        <f>L2094/1.1</f>
        <v/>
      </c>
      <c r="P2094" s="39">
        <f>F2094&amp;E2094&amp;I2094&amp;J2094</f>
        <v/>
      </c>
    </row>
    <row r="2095">
      <c r="B2095" s="51" t="n">
        <v>44168</v>
      </c>
      <c r="C2095" s="36">
        <f>TEXT(B2095,"aaa")</f>
        <v/>
      </c>
      <c r="E2095" s="36">
        <f>INDEX(매칭테이블!C:C,MATCH(RD!G2095,매칭테이블!D:D,0))</f>
        <v/>
      </c>
      <c r="F2095" s="39" t="inlineStr">
        <is>
          <t>카페24</t>
        </is>
      </c>
      <c r="G2095" s="39" t="inlineStr">
        <is>
          <t>유즈 솔리드퍼퓸 - 30ml (스테이포에버 주문 시 12/14 부터 순차배송)향=이그나이트, 세트 선택=1 개</t>
        </is>
      </c>
      <c r="H2095" s="39" t="n">
        <v>2</v>
      </c>
      <c r="I2095" s="36">
        <f>VLOOKUP(G2095,매칭테이블!D:E,2,0)</f>
        <v/>
      </c>
      <c r="J2095" s="39" t="n">
        <v>201210</v>
      </c>
      <c r="L2095" s="36">
        <f>VLOOKUP($P2095,매칭테이블!$G:$J,2,0)*H2095</f>
        <v/>
      </c>
      <c r="M2095" s="36">
        <f>L2095-L2095*VLOOKUP($P2095,매칭테이블!$G:$J,3,0)</f>
        <v/>
      </c>
      <c r="N2095" s="36">
        <f>VLOOKUP($P2095,매칭테이블!$G:$J,4,0)*H2095</f>
        <v/>
      </c>
      <c r="O2095" s="52">
        <f>L2095/1.1</f>
        <v/>
      </c>
      <c r="P2095" s="36">
        <f>F2095&amp;E2095&amp;G2095&amp;J2095</f>
        <v/>
      </c>
    </row>
    <row r="2096">
      <c r="B2096" s="51" t="n">
        <v>44167</v>
      </c>
      <c r="C2096" s="36">
        <f>TEXT(B2096,"aaa")</f>
        <v/>
      </c>
      <c r="E2096" s="36">
        <f>INDEX(매칭테이블!C:C,MATCH(RD!G2096,매칭테이블!D:D,0))</f>
        <v/>
      </c>
      <c r="F2096" s="39" t="inlineStr">
        <is>
          <t>카페24</t>
        </is>
      </c>
      <c r="G2096" s="39" t="inlineStr">
        <is>
          <t>유즈 솔리드퍼퓸 - 30ml (스테이포에버 주문 시 12/14 부터 순차배송)향=스테이포에버, 세트 선택=1 개</t>
        </is>
      </c>
      <c r="H2096" s="39" t="n">
        <v>6</v>
      </c>
      <c r="I2096" s="36">
        <f>VLOOKUP(G2096,매칭테이블!D:E,2,0)</f>
        <v/>
      </c>
      <c r="J2096" s="39" t="n">
        <v>201210</v>
      </c>
      <c r="L2096" s="36">
        <f>VLOOKUP($P2096,매칭테이블!$G:$J,2,0)*H2096</f>
        <v/>
      </c>
      <c r="M2096" s="36">
        <f>L2096-L2096*VLOOKUP($P2096,매칭테이블!$G:$J,3,0)</f>
        <v/>
      </c>
      <c r="N2096" s="36">
        <f>VLOOKUP($P2096,매칭테이블!$G:$J,4,0)*H2096</f>
        <v/>
      </c>
      <c r="O2096" s="52">
        <f>L2096/1.1</f>
        <v/>
      </c>
      <c r="P2096" s="36">
        <f>F2096&amp;E2096&amp;G2096&amp;J2096</f>
        <v/>
      </c>
    </row>
    <row r="2097">
      <c r="B2097" s="51" t="n">
        <v>44168</v>
      </c>
      <c r="C2097" s="36">
        <f>TEXT(B2097,"aaa")</f>
        <v/>
      </c>
      <c r="E2097" s="36">
        <f>INDEX(매칭테이블!C:C,MATCH(RD!G2097,매칭테이블!D:D,0))</f>
        <v/>
      </c>
      <c r="F2097" s="39" t="inlineStr">
        <is>
          <t>카페24</t>
        </is>
      </c>
      <c r="G2097" s="39" t="inlineStr">
        <is>
          <t>유즈 솔리드퍼퓸 - 30ml (스테이포에버 주문 시 12/14 부터 순차배송)향=스테이포에버, 세트 선택=2개 (28% off)</t>
        </is>
      </c>
      <c r="H2097" s="39" t="n">
        <v>2</v>
      </c>
      <c r="I2097" s="36">
        <f>VLOOKUP(G2097,매칭테이블!D:E,2,0)</f>
        <v/>
      </c>
      <c r="J2097" s="39" t="n">
        <v>201210</v>
      </c>
      <c r="L2097" s="36">
        <f>VLOOKUP($P2097,매칭테이블!$G:$J,2,0)*H2097</f>
        <v/>
      </c>
      <c r="M2097" s="36">
        <f>L2097-L2097*VLOOKUP($P2097,매칭테이블!$G:$J,3,0)</f>
        <v/>
      </c>
      <c r="N2097" s="36">
        <f>VLOOKUP($P2097,매칭테이블!$G:$J,4,0)*H2097</f>
        <v/>
      </c>
      <c r="O2097" s="52">
        <f>L2097/1.1</f>
        <v/>
      </c>
      <c r="P2097" s="36">
        <f>F2097&amp;E2097&amp;G2097&amp;J2097</f>
        <v/>
      </c>
    </row>
    <row r="2098">
      <c r="B2098" s="51" t="n">
        <v>44167</v>
      </c>
      <c r="C2098" s="36">
        <f>TEXT(B2098,"aaa")</f>
        <v/>
      </c>
      <c r="E2098" s="36">
        <f>INDEX(매칭테이블!C:C,MATCH(RD!G2098,매칭테이블!D:D,0))</f>
        <v/>
      </c>
      <c r="F2098" s="39" t="inlineStr">
        <is>
          <t>카페24</t>
        </is>
      </c>
      <c r="G2098" s="39" t="inlineStr">
        <is>
          <t>유즈 솔리드퍼퓸 - 30ml (스테이포에버 주문 시 12/14 부터 순차배송)향=이그나이트 + 스테이포에버, 세트 선택=1 SET</t>
        </is>
      </c>
      <c r="H2098" s="39" t="n">
        <v>7</v>
      </c>
      <c r="I2098" s="36">
        <f>VLOOKUP(G2098,매칭테이블!D:E,2,0)</f>
        <v/>
      </c>
      <c r="J2098" s="39" t="n">
        <v>201210</v>
      </c>
      <c r="L2098" s="36">
        <f>VLOOKUP($P2098,매칭테이블!$G:$J,2,0)*H2098</f>
        <v/>
      </c>
      <c r="M2098" s="36">
        <f>L2098-L2098*VLOOKUP($P2098,매칭테이블!$G:$J,3,0)</f>
        <v/>
      </c>
      <c r="N2098" s="36">
        <f>VLOOKUP($P2098,매칭테이블!$G:$J,4,0)*H2098</f>
        <v/>
      </c>
      <c r="O2098" s="52">
        <f>L2098/1.1</f>
        <v/>
      </c>
      <c r="P2098" s="36">
        <f>F2098&amp;E2098&amp;G2098&amp;J2098</f>
        <v/>
      </c>
    </row>
    <row r="2099">
      <c r="B2099" s="51" t="n">
        <v>44170</v>
      </c>
      <c r="C2099" s="36">
        <f>TEXT(B2099,"aaa")</f>
        <v/>
      </c>
      <c r="E2099" s="36">
        <f>INDEX(매칭테이블!C:C,MATCH(RD!G2099,매칭테이블!D:D,0))</f>
        <v/>
      </c>
      <c r="F2099" s="39" t="inlineStr">
        <is>
          <t>카페24</t>
        </is>
      </c>
      <c r="G2099" s="39" t="inlineStr">
        <is>
          <t>유즈 솔리드퍼퓸 - 30ml (스테이포에버 주문 시 12/14 순차배송)향=이그나이트, 세트 선택=1 개</t>
        </is>
      </c>
      <c r="H2099" s="39" t="n">
        <v>2</v>
      </c>
      <c r="I2099" s="36">
        <f>VLOOKUP(G2099,매칭테이블!D:E,2,0)</f>
        <v/>
      </c>
      <c r="J2099" s="39" t="n">
        <v>201210</v>
      </c>
      <c r="L2099" s="36">
        <f>VLOOKUP($P2099,매칭테이블!$G:$J,2,0)*H2099</f>
        <v/>
      </c>
      <c r="M2099" s="36">
        <f>L2099-L2099*VLOOKUP($P2099,매칭테이블!$G:$J,3,0)</f>
        <v/>
      </c>
      <c r="N2099" s="36">
        <f>VLOOKUP($P2099,매칭테이블!$G:$J,4,0)*H2099</f>
        <v/>
      </c>
      <c r="O2099" s="52">
        <f>L2099/1.1</f>
        <v/>
      </c>
      <c r="P2099" s="36">
        <f>F2099&amp;E2099&amp;G2099&amp;J2099</f>
        <v/>
      </c>
    </row>
    <row r="2100">
      <c r="B2100" s="51" t="n">
        <v>44170</v>
      </c>
      <c r="C2100" s="36">
        <f>TEXT(B2100,"aaa")</f>
        <v/>
      </c>
      <c r="E2100" s="36">
        <f>INDEX(매칭테이블!C:C,MATCH(RD!G2100,매칭테이블!D:D,0))</f>
        <v/>
      </c>
      <c r="F2100" s="39" t="inlineStr">
        <is>
          <t>카페24</t>
        </is>
      </c>
      <c r="G2100" s="39" t="inlineStr">
        <is>
          <t>유즈 솔리드퍼퓸 - 30ml (스테이포에버 주문 시 12/14 순차배송)향=스테이포에버, 세트 선택=1 개</t>
        </is>
      </c>
      <c r="H2100" s="39" t="n">
        <v>9</v>
      </c>
      <c r="I2100" s="36">
        <f>VLOOKUP(G2100,매칭테이블!D:E,2,0)</f>
        <v/>
      </c>
      <c r="J2100" s="39" t="n">
        <v>201210</v>
      </c>
      <c r="L2100" s="36">
        <f>VLOOKUP($P2100,매칭테이블!$G:$J,2,0)*H2100</f>
        <v/>
      </c>
      <c r="M2100" s="36">
        <f>L2100-L2100*VLOOKUP($P2100,매칭테이블!$G:$J,3,0)</f>
        <v/>
      </c>
      <c r="N2100" s="36">
        <f>VLOOKUP($P2100,매칭테이블!$G:$J,4,0)*H2100</f>
        <v/>
      </c>
      <c r="O2100" s="52">
        <f>L2100/1.1</f>
        <v/>
      </c>
      <c r="P2100" s="36">
        <f>F2100&amp;E2100&amp;G2100&amp;J2100</f>
        <v/>
      </c>
    </row>
    <row r="2101">
      <c r="B2101" s="51" t="n">
        <v>44170</v>
      </c>
      <c r="C2101" s="36">
        <f>TEXT(B2101,"aaa")</f>
        <v/>
      </c>
      <c r="E2101" s="36">
        <f>INDEX(매칭테이블!C:C,MATCH(RD!G2101,매칭테이블!D:D,0))</f>
        <v/>
      </c>
      <c r="F2101" s="39" t="inlineStr">
        <is>
          <t>카페24</t>
        </is>
      </c>
      <c r="G2101" s="39" t="inlineStr">
        <is>
          <t>유즈 솔리드퍼퓸 - 30ml (스테이포에버 주문 시 12/14 순차배송)향=스테이포에버, 세트 선택=2개 (28% off)</t>
        </is>
      </c>
      <c r="H2101" s="39" t="n">
        <v>8</v>
      </c>
      <c r="I2101" s="36">
        <f>VLOOKUP(G2101,매칭테이블!D:E,2,0)</f>
        <v/>
      </c>
      <c r="J2101" s="39" t="n">
        <v>201210</v>
      </c>
      <c r="L2101" s="36">
        <f>VLOOKUP($P2101,매칭테이블!$G:$J,2,0)*H2101</f>
        <v/>
      </c>
      <c r="M2101" s="36">
        <f>L2101-L2101*VLOOKUP($P2101,매칭테이블!$G:$J,3,0)</f>
        <v/>
      </c>
      <c r="N2101" s="36">
        <f>VLOOKUP($P2101,매칭테이블!$G:$J,4,0)*H2101</f>
        <v/>
      </c>
      <c r="O2101" s="52">
        <f>L2101/1.1</f>
        <v/>
      </c>
      <c r="P2101" s="36">
        <f>F2101&amp;E2101&amp;G2101&amp;J2101</f>
        <v/>
      </c>
    </row>
    <row r="2102">
      <c r="B2102" s="51" t="n">
        <v>44170</v>
      </c>
      <c r="C2102" s="36">
        <f>TEXT(B2102,"aaa")</f>
        <v/>
      </c>
      <c r="E2102" s="36">
        <f>INDEX(매칭테이블!C:C,MATCH(RD!G2102,매칭테이블!D:D,0))</f>
        <v/>
      </c>
      <c r="F2102" s="39" t="inlineStr">
        <is>
          <t>카페24</t>
        </is>
      </c>
      <c r="G2102" s="39" t="inlineStr">
        <is>
          <t>유즈 솔리드퍼퓸 - 30ml (스테이포에버 주문 시 12/14 순차배송)향=이그나이트 + 스테이포에버, 세트 선택=1 SET</t>
        </is>
      </c>
      <c r="H2102" s="39" t="n">
        <v>6</v>
      </c>
      <c r="I2102" s="36">
        <f>VLOOKUP(G2102,매칭테이블!D:E,2,0)</f>
        <v/>
      </c>
      <c r="J2102" s="39" t="n">
        <v>201210</v>
      </c>
      <c r="L2102" s="36">
        <f>VLOOKUP($P2102,매칭테이블!$G:$J,2,0)*H2102</f>
        <v/>
      </c>
      <c r="M2102" s="36">
        <f>L2102-L2102*VLOOKUP($P2102,매칭테이블!$G:$J,3,0)</f>
        <v/>
      </c>
      <c r="N2102" s="36">
        <f>VLOOKUP($P2102,매칭테이블!$G:$J,4,0)*H2102</f>
        <v/>
      </c>
      <c r="O2102" s="52">
        <f>L2102/1.1</f>
        <v/>
      </c>
      <c r="P2102" s="36">
        <f>F2102&amp;E2102&amp;G2102&amp;J2102</f>
        <v/>
      </c>
    </row>
    <row r="2103">
      <c r="B2103" s="51" t="n">
        <v>44170</v>
      </c>
      <c r="C2103" s="36">
        <f>TEXT(B2103,"aaa")</f>
        <v/>
      </c>
      <c r="E2103" s="36">
        <f>INDEX(매칭테이블!C:C,MATCH(RD!G2103,매칭테이블!D:D,0))</f>
        <v/>
      </c>
      <c r="F2103" s="39" t="inlineStr">
        <is>
          <t>카페24</t>
        </is>
      </c>
      <c r="G2103" s="39" t="inlineStr">
        <is>
          <t>유즈 솔리드퍼퓸 - 30ml (스테이포에버 주문 시 12/14 순차배송)향=이그나이트 + 스테이포에버, 세트 선택=2 SET (42% off)</t>
        </is>
      </c>
      <c r="H2103" s="39" t="n">
        <v>1</v>
      </c>
      <c r="I2103" s="36">
        <f>VLOOKUP(G2103,매칭테이블!D:E,2,0)</f>
        <v/>
      </c>
      <c r="J2103" s="39" t="n">
        <v>201210</v>
      </c>
      <c r="L2103" s="36">
        <f>VLOOKUP($P2103,매칭테이블!$G:$J,2,0)*H2103</f>
        <v/>
      </c>
      <c r="M2103" s="36">
        <f>L2103-L2103*VLOOKUP($P2103,매칭테이블!$G:$J,3,0)</f>
        <v/>
      </c>
      <c r="N2103" s="36">
        <f>VLOOKUP($P2103,매칭테이블!$G:$J,4,0)*H2103</f>
        <v/>
      </c>
      <c r="O2103" s="52">
        <f>L2103/1.1</f>
        <v/>
      </c>
      <c r="P2103" s="36">
        <f>F2103&amp;E2103&amp;G2103&amp;J2103</f>
        <v/>
      </c>
    </row>
    <row r="2104">
      <c r="B2104" s="51" t="n">
        <v>44170</v>
      </c>
      <c r="C2104" s="36">
        <f>TEXT(B2104,"aaa")</f>
        <v/>
      </c>
      <c r="E2104" s="36">
        <f>INDEX(매칭테이블!C:C,MATCH(RD!G2104,매칭테이블!D:D,0))</f>
        <v/>
      </c>
      <c r="F2104" s="39" t="inlineStr">
        <is>
          <t>카페24</t>
        </is>
      </c>
      <c r="G2104" s="39" t="inlineStr">
        <is>
          <t>유즈 스테이포에버 솔리드퍼퓸 002 (스테이포에버 주문시 12/14 순차배송)제품선택=스테이포에버 솔리드퍼퓸 002[Pre-order 이벤트 17% 할인]</t>
        </is>
      </c>
      <c r="H2104" s="39" t="n">
        <v>175</v>
      </c>
      <c r="I2104" s="36">
        <f>VLOOKUP(G2104,매칭테이블!D:E,2,0)</f>
        <v/>
      </c>
      <c r="J2104" s="39" t="n">
        <v>201210</v>
      </c>
      <c r="L2104" s="36">
        <f>VLOOKUP($P2104,매칭테이블!$G:$J,2,0)*H2104</f>
        <v/>
      </c>
      <c r="M2104" s="36">
        <f>L2104-L2104*VLOOKUP($P2104,매칭테이블!$G:$J,3,0)</f>
        <v/>
      </c>
      <c r="N2104" s="36">
        <f>VLOOKUP($P2104,매칭테이블!$G:$J,4,0)*H2104</f>
        <v/>
      </c>
      <c r="O2104" s="52">
        <f>L2104/1.1</f>
        <v/>
      </c>
      <c r="P2104" s="36">
        <f>F2104&amp;E2104&amp;G2104&amp;J2104</f>
        <v/>
      </c>
    </row>
    <row r="2105">
      <c r="B2105" s="51" t="n">
        <v>44170</v>
      </c>
      <c r="C2105" s="36">
        <f>TEXT(B2105,"aaa")</f>
        <v/>
      </c>
      <c r="E2105" s="36">
        <f>INDEX(매칭테이블!C:C,MATCH(RD!G2105,매칭테이블!D:D,0))</f>
        <v/>
      </c>
      <c r="F2105" s="39" t="inlineStr">
        <is>
          <t>카페24</t>
        </is>
      </c>
      <c r="G2105" s="39" t="inlineStr">
        <is>
          <t>유즈 스테이포에버 솔리드퍼퓸 002 (스테이포에버 주문시 12/14 순차배송)제품선택=스테이포에버 2개 세트[Pre-order 이벤트 28% 할인]</t>
        </is>
      </c>
      <c r="H2105" s="39" t="n">
        <v>64</v>
      </c>
      <c r="I2105" s="36">
        <f>VLOOKUP(G2105,매칭테이블!D:E,2,0)</f>
        <v/>
      </c>
      <c r="J2105" s="39" t="n">
        <v>201210</v>
      </c>
      <c r="L2105" s="36">
        <f>VLOOKUP($P2105,매칭테이블!$G:$J,2,0)*H2105</f>
        <v/>
      </c>
      <c r="M2105" s="36">
        <f>L2105-L2105*VLOOKUP($P2105,매칭테이블!$G:$J,3,0)</f>
        <v/>
      </c>
      <c r="N2105" s="36">
        <f>VLOOKUP($P2105,매칭테이블!$G:$J,4,0)*H2105</f>
        <v/>
      </c>
      <c r="O2105" s="52">
        <f>L2105/1.1</f>
        <v/>
      </c>
      <c r="P2105" s="36">
        <f>F2105&amp;E2105&amp;G2105&amp;J2105</f>
        <v/>
      </c>
    </row>
    <row r="2106">
      <c r="B2106" s="51" t="n">
        <v>44170</v>
      </c>
      <c r="C2106" s="36">
        <f>TEXT(B2106,"aaa")</f>
        <v/>
      </c>
      <c r="E2106" s="36">
        <f>INDEX(매칭테이블!C:C,MATCH(RD!G2106,매칭테이블!D:D,0))</f>
        <v/>
      </c>
      <c r="F2106" s="39" t="inlineStr">
        <is>
          <t>카페24</t>
        </is>
      </c>
      <c r="G2106" s="39" t="inlineStr">
        <is>
          <t>유즈 스테이포에버 솔리드퍼퓸 002 (스테이포에버 주문시 12/14 순차배송)제품선택=스테이포에버 + 이그나이트 세트</t>
        </is>
      </c>
      <c r="H2106" s="39" t="n">
        <v>19</v>
      </c>
      <c r="I2106" s="36">
        <f>VLOOKUP(G2106,매칭테이블!D:E,2,0)</f>
        <v/>
      </c>
      <c r="J2106" s="39" t="n">
        <v>201210</v>
      </c>
      <c r="L2106" s="36">
        <f>VLOOKUP($P2106,매칭테이블!$G:$J,2,0)*H2106</f>
        <v/>
      </c>
      <c r="M2106" s="36">
        <f>L2106-L2106*VLOOKUP($P2106,매칭테이블!$G:$J,3,0)</f>
        <v/>
      </c>
      <c r="N2106" s="36">
        <f>VLOOKUP($P2106,매칭테이블!$G:$J,4,0)*H2106</f>
        <v/>
      </c>
      <c r="O2106" s="52">
        <f>L2106/1.1</f>
        <v/>
      </c>
      <c r="P2106" s="36">
        <f>F2106&amp;E2106&amp;G2106&amp;J2106</f>
        <v/>
      </c>
    </row>
    <row r="2107">
      <c r="B2107" s="51" t="n">
        <v>44170</v>
      </c>
      <c r="C2107" s="36">
        <f>TEXT(B2107,"aaa")</f>
        <v/>
      </c>
      <c r="E2107" s="36">
        <f>INDEX(매칭테이블!C:C,MATCH(RD!G2107,매칭테이블!D:D,0))</f>
        <v/>
      </c>
      <c r="F2107" s="39" t="inlineStr">
        <is>
          <t>카페24</t>
        </is>
      </c>
      <c r="G2107" s="39" t="inlineStr">
        <is>
          <t>유즈 스테이포에버 솔리드퍼퓸 002 (스테이포에버 주문시 12/14 순차배송)쇼핑백=선물용 쇼핑백</t>
        </is>
      </c>
      <c r="H2107" s="39" t="n">
        <v>6</v>
      </c>
      <c r="I2107" s="36">
        <f>VLOOKUP(G2107,매칭테이블!D:E,2,0)</f>
        <v/>
      </c>
      <c r="J2107" s="39" t="n">
        <v>201210</v>
      </c>
      <c r="L2107" s="36">
        <f>VLOOKUP($P2107,매칭테이블!$G:$J,2,0)*H2107</f>
        <v/>
      </c>
      <c r="M2107" s="36">
        <f>L2107-L2107*VLOOKUP($P2107,매칭테이블!$G:$J,3,0)</f>
        <v/>
      </c>
      <c r="N2107" s="36">
        <f>VLOOKUP($P2107,매칭테이블!$G:$J,4,0)*H2107</f>
        <v/>
      </c>
      <c r="O2107" s="52">
        <f>L2107/1.1</f>
        <v/>
      </c>
      <c r="P2107" s="36">
        <f>F2107&amp;E2107&amp;G2107&amp;J2107</f>
        <v/>
      </c>
    </row>
    <row r="2108">
      <c r="B2108" s="51" t="n">
        <v>44170</v>
      </c>
      <c r="C2108" s="36">
        <f>TEXT(B2108,"aaa")</f>
        <v/>
      </c>
      <c r="E2108" s="36">
        <f>INDEX(매칭테이블!C:C,MATCH(RD!G2108,매칭테이블!D:D,0))</f>
        <v/>
      </c>
      <c r="F2108" s="39" t="inlineStr">
        <is>
          <t>카페24</t>
        </is>
      </c>
      <c r="G2108" s="39" t="inlineStr">
        <is>
          <t>유즈 이그나이트 솔리드퍼퓸 001제품선택=이그나이트 솔리드퍼퓸 - 30ml</t>
        </is>
      </c>
      <c r="H2108" s="39" t="n">
        <v>2</v>
      </c>
      <c r="I2108" s="36">
        <f>VLOOKUP(G2108,매칭테이블!D:E,2,0)</f>
        <v/>
      </c>
      <c r="J2108" s="39" t="n">
        <v>201210</v>
      </c>
      <c r="L2108" s="36">
        <f>VLOOKUP($P2108,매칭테이블!$G:$J,2,0)*H2108</f>
        <v/>
      </c>
      <c r="M2108" s="36">
        <f>L2108-L2108*VLOOKUP($P2108,매칭테이블!$G:$J,3,0)</f>
        <v/>
      </c>
      <c r="N2108" s="36">
        <f>VLOOKUP($P2108,매칭테이블!$G:$J,4,0)*H2108</f>
        <v/>
      </c>
      <c r="O2108" s="52">
        <f>L2108/1.1</f>
        <v/>
      </c>
      <c r="P2108" s="36">
        <f>F2108&amp;E2108&amp;G2108&amp;J2108</f>
        <v/>
      </c>
    </row>
    <row r="2109">
      <c r="B2109" s="51" t="n">
        <v>44168</v>
      </c>
      <c r="C2109" s="36">
        <f>TEXT(B2109,"aaa")</f>
        <v/>
      </c>
      <c r="E2109" s="36">
        <f>INDEX(매칭테이블!C:C,MATCH(RD!G2109,매칭테이블!D:D,0))</f>
        <v/>
      </c>
      <c r="F2109" s="39" t="inlineStr">
        <is>
          <t>카페24</t>
        </is>
      </c>
      <c r="G2109" s="39" t="inlineStr">
        <is>
          <t>유즈 솔리드퍼퓸 - 30ml (스테이포에버 주문 시 12/14 순차배송)향=스테이포에버, 세트 선택=1 개</t>
        </is>
      </c>
      <c r="H2109" s="39" t="n">
        <v>49</v>
      </c>
      <c r="I2109" s="36">
        <f>VLOOKUP(G2109,매칭테이블!D:E,2,0)</f>
        <v/>
      </c>
      <c r="J2109" s="39" t="n">
        <v>201210</v>
      </c>
      <c r="L2109" s="36">
        <f>VLOOKUP($P2109,매칭테이블!$G:$J,2,0)*H2109</f>
        <v/>
      </c>
      <c r="M2109" s="36">
        <f>L2109-L2109*VLOOKUP($P2109,매칭테이블!$G:$J,3,0)</f>
        <v/>
      </c>
      <c r="N2109" s="36">
        <f>VLOOKUP($P2109,매칭테이블!$G:$J,4,0)*H2109</f>
        <v/>
      </c>
      <c r="O2109" s="52">
        <f>L2109/1.1</f>
        <v/>
      </c>
      <c r="P2109" s="36">
        <f>F2109&amp;E2109&amp;G2109&amp;J2109</f>
        <v/>
      </c>
    </row>
    <row r="2110">
      <c r="B2110" s="51" t="n">
        <v>44168</v>
      </c>
      <c r="C2110" s="36">
        <f>TEXT(B2110,"aaa")</f>
        <v/>
      </c>
      <c r="E2110" s="36">
        <f>INDEX(매칭테이블!C:C,MATCH(RD!G2110,매칭테이블!D:D,0))</f>
        <v/>
      </c>
      <c r="F2110" s="39" t="inlineStr">
        <is>
          <t>카페24</t>
        </is>
      </c>
      <c r="G2110" s="39" t="inlineStr">
        <is>
          <t>유즈 솔리드퍼퓸 - 30ml (스테이포에버 주문 시 12/14 순차배송)향=스테이포에버, 세트 선택=2개 (28% off)</t>
        </is>
      </c>
      <c r="H2110" s="39" t="n">
        <v>16</v>
      </c>
      <c r="I2110" s="36">
        <f>VLOOKUP(G2110,매칭테이블!D:E,2,0)</f>
        <v/>
      </c>
      <c r="J2110" s="39" t="n">
        <v>201210</v>
      </c>
      <c r="L2110" s="36">
        <f>VLOOKUP($P2110,매칭테이블!$G:$J,2,0)*H2110</f>
        <v/>
      </c>
      <c r="M2110" s="36">
        <f>L2110-L2110*VLOOKUP($P2110,매칭테이블!$G:$J,3,0)</f>
        <v/>
      </c>
      <c r="N2110" s="36">
        <f>VLOOKUP($P2110,매칭테이블!$G:$J,4,0)*H2110</f>
        <v/>
      </c>
      <c r="O2110" s="52">
        <f>L2110/1.1</f>
        <v/>
      </c>
      <c r="P2110" s="36">
        <f>F2110&amp;E2110&amp;G2110&amp;J2110</f>
        <v/>
      </c>
    </row>
    <row r="2111">
      <c r="B2111" s="51" t="n">
        <v>44168</v>
      </c>
      <c r="C2111" s="36">
        <f>TEXT(B2111,"aaa")</f>
        <v/>
      </c>
      <c r="E2111" s="36">
        <f>INDEX(매칭테이블!C:C,MATCH(RD!G2111,매칭테이블!D:D,0))</f>
        <v/>
      </c>
      <c r="F2111" s="39" t="inlineStr">
        <is>
          <t>카페24</t>
        </is>
      </c>
      <c r="G2111" s="39" t="inlineStr">
        <is>
          <t>유즈 솔리드퍼퓸 - 30ml (스테이포에버 주문 시 12/14 순차배송)향=이그나이트 + 스테이포에버, 세트 선택=1 SET</t>
        </is>
      </c>
      <c r="H2111" s="39" t="n">
        <v>23</v>
      </c>
      <c r="I2111" s="36">
        <f>VLOOKUP(G2111,매칭테이블!D:E,2,0)</f>
        <v/>
      </c>
      <c r="J2111" s="39" t="n">
        <v>201210</v>
      </c>
      <c r="L2111" s="36">
        <f>VLOOKUP($P2111,매칭테이블!$G:$J,2,0)*H2111</f>
        <v/>
      </c>
      <c r="M2111" s="36">
        <f>L2111-L2111*VLOOKUP($P2111,매칭테이블!$G:$J,3,0)</f>
        <v/>
      </c>
      <c r="N2111" s="36">
        <f>VLOOKUP($P2111,매칭테이블!$G:$J,4,0)*H2111</f>
        <v/>
      </c>
      <c r="O2111" s="52">
        <f>L2111/1.1</f>
        <v/>
      </c>
      <c r="P2111" s="36">
        <f>F2111&amp;E2111&amp;G2111&amp;J2111</f>
        <v/>
      </c>
    </row>
    <row r="2112">
      <c r="B2112" s="51" t="n">
        <v>44168</v>
      </c>
      <c r="C2112" s="36">
        <f>TEXT(B2112,"aaa")</f>
        <v/>
      </c>
      <c r="E2112" s="36">
        <f>INDEX(매칭테이블!C:C,MATCH(RD!G2112,매칭테이블!D:D,0))</f>
        <v/>
      </c>
      <c r="F2112" s="39" t="inlineStr">
        <is>
          <t>카페24</t>
        </is>
      </c>
      <c r="G2112" s="39" t="inlineStr">
        <is>
          <t>유즈 솔리드퍼퓸 - 30ml (스테이포에버 주문 시 12/14 순차배송)향=이그나이트 + 스테이포에버, 세트 선택=2 SET (42% off)</t>
        </is>
      </c>
      <c r="H2112" s="39" t="n">
        <v>3</v>
      </c>
      <c r="I2112" s="36">
        <f>VLOOKUP(G2112,매칭테이블!D:E,2,0)</f>
        <v/>
      </c>
      <c r="J2112" s="39" t="n">
        <v>201210</v>
      </c>
      <c r="L2112" s="36">
        <f>VLOOKUP($P2112,매칭테이블!$G:$J,2,0)*H2112</f>
        <v/>
      </c>
      <c r="M2112" s="36">
        <f>L2112-L2112*VLOOKUP($P2112,매칭테이블!$G:$J,3,0)</f>
        <v/>
      </c>
      <c r="N2112" s="36">
        <f>VLOOKUP($P2112,매칭테이블!$G:$J,4,0)*H2112</f>
        <v/>
      </c>
      <c r="O2112" s="52">
        <f>L2112/1.1</f>
        <v/>
      </c>
      <c r="P2112" s="36">
        <f>F2112&amp;E2112&amp;G2112&amp;J2112</f>
        <v/>
      </c>
    </row>
    <row r="2113">
      <c r="B2113" s="51" t="n">
        <v>44172</v>
      </c>
      <c r="C2113" s="36">
        <f>TEXT(B2113,"aaa")</f>
        <v/>
      </c>
      <c r="E2113" s="36">
        <f>INDEX(매칭테이블!C:C,MATCH(RD!G2113,매칭테이블!D:D,0))</f>
        <v/>
      </c>
      <c r="F2113" s="39" t="inlineStr">
        <is>
          <t>카페24</t>
        </is>
      </c>
      <c r="G2113" s="39" t="inlineStr">
        <is>
          <t>유즈 솔리드퍼퓸 - 30ml (스테이포에버 주문 시 12/15 순차배송)향=이그나이트, 세트 선택=1 개</t>
        </is>
      </c>
      <c r="H2113" s="39" t="n">
        <v>1</v>
      </c>
      <c r="I2113" s="36">
        <f>VLOOKUP(G2113,매칭테이블!D:E,2,0)</f>
        <v/>
      </c>
      <c r="J2113" s="39" t="n">
        <v>201210</v>
      </c>
      <c r="L2113" s="36">
        <f>VLOOKUP($P2113,매칭테이블!$G:$J,2,0)*H2113</f>
        <v/>
      </c>
      <c r="M2113" s="36">
        <f>L2113-L2113*VLOOKUP($P2113,매칭테이블!$G:$J,3,0)</f>
        <v/>
      </c>
      <c r="N2113" s="36">
        <f>VLOOKUP($P2113,매칭테이블!$G:$J,4,0)*H2113</f>
        <v/>
      </c>
      <c r="O2113" s="52">
        <f>L2113/1.1</f>
        <v/>
      </c>
      <c r="P2113" s="36">
        <f>F2113&amp;E2113&amp;G2113&amp;J2113</f>
        <v/>
      </c>
    </row>
    <row r="2114">
      <c r="B2114" s="51" t="n">
        <v>44172</v>
      </c>
      <c r="C2114" s="36">
        <f>TEXT(B2114,"aaa")</f>
        <v/>
      </c>
      <c r="E2114" s="36">
        <f>INDEX(매칭테이블!C:C,MATCH(RD!G2114,매칭테이블!D:D,0))</f>
        <v/>
      </c>
      <c r="F2114" s="39" t="inlineStr">
        <is>
          <t>카페24</t>
        </is>
      </c>
      <c r="G2114" s="39" t="inlineStr">
        <is>
          <t>유즈 솔리드퍼퓸 - 30ml (스테이포에버 주문 시 12/15 순차배송)향=스테이포에버, 세트 선택=1 개</t>
        </is>
      </c>
      <c r="H2114" s="39" t="n">
        <v>24</v>
      </c>
      <c r="I2114" s="36">
        <f>VLOOKUP(G2114,매칭테이블!D:E,2,0)</f>
        <v/>
      </c>
      <c r="J2114" s="39" t="n">
        <v>201210</v>
      </c>
      <c r="L2114" s="36">
        <f>VLOOKUP($P2114,매칭테이블!$G:$J,2,0)*H2114</f>
        <v/>
      </c>
      <c r="M2114" s="36">
        <f>L2114-L2114*VLOOKUP($P2114,매칭테이블!$G:$J,3,0)</f>
        <v/>
      </c>
      <c r="N2114" s="36">
        <f>VLOOKUP($P2114,매칭테이블!$G:$J,4,0)*H2114</f>
        <v/>
      </c>
      <c r="O2114" s="52">
        <f>L2114/1.1</f>
        <v/>
      </c>
      <c r="P2114" s="36">
        <f>F2114&amp;E2114&amp;G2114&amp;J2114</f>
        <v/>
      </c>
    </row>
    <row r="2115">
      <c r="B2115" s="51" t="n">
        <v>44172</v>
      </c>
      <c r="C2115" s="36">
        <f>TEXT(B2115,"aaa")</f>
        <v/>
      </c>
      <c r="E2115" s="36">
        <f>INDEX(매칭테이블!C:C,MATCH(RD!G2115,매칭테이블!D:D,0))</f>
        <v/>
      </c>
      <c r="F2115" s="39" t="inlineStr">
        <is>
          <t>카페24</t>
        </is>
      </c>
      <c r="G2115" s="39" t="inlineStr">
        <is>
          <t>유즈 솔리드퍼퓸 - 30ml (스테이포에버 주문 시 12/15 순차배송)향=스테이포에버, 세트 선택=2개 (28% off)</t>
        </is>
      </c>
      <c r="H2115" s="39" t="n">
        <v>9</v>
      </c>
      <c r="I2115" s="36">
        <f>VLOOKUP(G2115,매칭테이블!D:E,2,0)</f>
        <v/>
      </c>
      <c r="J2115" s="39" t="n">
        <v>201210</v>
      </c>
      <c r="L2115" s="36">
        <f>VLOOKUP($P2115,매칭테이블!$G:$J,2,0)*H2115</f>
        <v/>
      </c>
      <c r="M2115" s="36">
        <f>L2115-L2115*VLOOKUP($P2115,매칭테이블!$G:$J,3,0)</f>
        <v/>
      </c>
      <c r="N2115" s="36">
        <f>VLOOKUP($P2115,매칭테이블!$G:$J,4,0)*H2115</f>
        <v/>
      </c>
      <c r="O2115" s="52">
        <f>L2115/1.1</f>
        <v/>
      </c>
      <c r="P2115" s="36">
        <f>F2115&amp;E2115&amp;G2115&amp;J2115</f>
        <v/>
      </c>
    </row>
    <row r="2116">
      <c r="B2116" s="51" t="n">
        <v>44172</v>
      </c>
      <c r="C2116" s="36">
        <f>TEXT(B2116,"aaa")</f>
        <v/>
      </c>
      <c r="E2116" s="36">
        <f>INDEX(매칭테이블!C:C,MATCH(RD!G2116,매칭테이블!D:D,0))</f>
        <v/>
      </c>
      <c r="F2116" s="39" t="inlineStr">
        <is>
          <t>카페24</t>
        </is>
      </c>
      <c r="G2116" s="39" t="inlineStr">
        <is>
          <t>유즈 솔리드퍼퓸 - 30ml (스테이포에버 주문 시 12/15 순차배송)향=이그나이트 + 스테이포에버, 세트 선택=1 SET</t>
        </is>
      </c>
      <c r="H2116" s="39" t="n">
        <v>10</v>
      </c>
      <c r="I2116" s="36">
        <f>VLOOKUP(G2116,매칭테이블!D:E,2,0)</f>
        <v/>
      </c>
      <c r="J2116" s="39" t="n">
        <v>201210</v>
      </c>
      <c r="L2116" s="36">
        <f>VLOOKUP($P2116,매칭테이블!$G:$J,2,0)*H2116</f>
        <v/>
      </c>
      <c r="M2116" s="36">
        <f>L2116-L2116*VLOOKUP($P2116,매칭테이블!$G:$J,3,0)</f>
        <v/>
      </c>
      <c r="N2116" s="36">
        <f>VLOOKUP($P2116,매칭테이블!$G:$J,4,0)*H2116</f>
        <v/>
      </c>
      <c r="O2116" s="52">
        <f>L2116/1.1</f>
        <v/>
      </c>
      <c r="P2116" s="36">
        <f>F2116&amp;E2116&amp;G2116&amp;J2116</f>
        <v/>
      </c>
    </row>
    <row r="2117">
      <c r="B2117" s="51" t="n">
        <v>44167</v>
      </c>
      <c r="C2117" s="36">
        <f>TEXT(B2117,"aaa")</f>
        <v/>
      </c>
      <c r="E2117" s="36">
        <f>INDEX(매칭테이블!C:C,MATCH(RD!G2117,매칭테이블!D:D,0))</f>
        <v/>
      </c>
      <c r="F2117" s="39" t="inlineStr">
        <is>
          <t>카페24</t>
        </is>
      </c>
      <c r="G2117" s="39" t="inlineStr">
        <is>
          <t>유즈 솔리드퍼퓸 - 30ml (스테이포에버 주문 시 12/4 부터 순차배송)향=스테이포에버, 세트 선택=1 개</t>
        </is>
      </c>
      <c r="H2117" s="39" t="n">
        <v>6</v>
      </c>
      <c r="I2117" s="36">
        <f>VLOOKUP(G2117,매칭테이블!D:E,2,0)</f>
        <v/>
      </c>
      <c r="J2117" s="39" t="n">
        <v>201210</v>
      </c>
      <c r="L2117" s="36">
        <f>VLOOKUP($P2117,매칭테이블!$G:$J,2,0)*H2117</f>
        <v/>
      </c>
      <c r="M2117" s="36">
        <f>L2117-L2117*VLOOKUP($P2117,매칭테이블!$G:$J,3,0)</f>
        <v/>
      </c>
      <c r="N2117" s="36">
        <f>VLOOKUP($P2117,매칭테이블!$G:$J,4,0)*H2117</f>
        <v/>
      </c>
      <c r="O2117" s="52">
        <f>L2117/1.1</f>
        <v/>
      </c>
      <c r="P2117" s="36">
        <f>F2117&amp;E2117&amp;G2117&amp;J2117</f>
        <v/>
      </c>
    </row>
    <row r="2118">
      <c r="B2118" s="51" t="n">
        <v>44167</v>
      </c>
      <c r="C2118" s="36">
        <f>TEXT(B2118,"aaa")</f>
        <v/>
      </c>
      <c r="E2118" s="36">
        <f>INDEX(매칭테이블!C:C,MATCH(RD!G2118,매칭테이블!D:D,0))</f>
        <v/>
      </c>
      <c r="F2118" s="39" t="inlineStr">
        <is>
          <t>카페24</t>
        </is>
      </c>
      <c r="G2118" s="39" t="inlineStr">
        <is>
          <t>유즈 솔리드퍼퓸 - 30ml (스테이포에버 주문 시 12/4 부터 순차배송)향=이그나이트 + 스테이포에버, 세트 선택=1 SET</t>
        </is>
      </c>
      <c r="H2118" s="39" t="n">
        <v>3</v>
      </c>
      <c r="I2118" s="36">
        <f>VLOOKUP(G2118,매칭테이블!D:E,2,0)</f>
        <v/>
      </c>
      <c r="J2118" s="39" t="n">
        <v>201210</v>
      </c>
      <c r="L2118" s="36">
        <f>VLOOKUP($P2118,매칭테이블!$G:$J,2,0)*H2118</f>
        <v/>
      </c>
      <c r="M2118" s="36">
        <f>L2118-L2118*VLOOKUP($P2118,매칭테이블!$G:$J,3,0)</f>
        <v/>
      </c>
      <c r="N2118" s="36">
        <f>VLOOKUP($P2118,매칭테이블!$G:$J,4,0)*H2118</f>
        <v/>
      </c>
      <c r="O2118" s="52">
        <f>L2118/1.1</f>
        <v/>
      </c>
      <c r="P2118" s="36">
        <f>F2118&amp;E2118&amp;G2118&amp;J2118</f>
        <v/>
      </c>
    </row>
    <row r="2119">
      <c r="B2119" s="51" t="n">
        <v>44172</v>
      </c>
      <c r="C2119" s="36">
        <f>TEXT(B2119,"aaa")</f>
        <v/>
      </c>
      <c r="E2119" s="36">
        <f>INDEX(매칭테이블!C:C,MATCH(RD!G2119,매칭테이블!D:D,0))</f>
        <v/>
      </c>
      <c r="F2119" s="39" t="inlineStr">
        <is>
          <t>카페24</t>
        </is>
      </c>
      <c r="G2119" s="39" t="inlineStr">
        <is>
          <t>유즈 스테이포에버 솔리드퍼퓸 002제품선택=스테이포에버 솔리드퍼퓸</t>
        </is>
      </c>
      <c r="H2119" s="39" t="n">
        <v>1</v>
      </c>
      <c r="I2119" s="36">
        <f>VLOOKUP(G2119,매칭테이블!D:E,2,0)</f>
        <v/>
      </c>
      <c r="J2119" s="39" t="n">
        <v>201210</v>
      </c>
      <c r="L2119" s="36">
        <f>VLOOKUP($P2119,매칭테이블!$G:$J,2,0)*H2119</f>
        <v/>
      </c>
      <c r="M2119" s="36">
        <f>L2119-L2119*VLOOKUP($P2119,매칭테이블!$G:$J,3,0)</f>
        <v/>
      </c>
      <c r="N2119" s="36">
        <f>VLOOKUP($P2119,매칭테이블!$G:$J,4,0)*H2119</f>
        <v/>
      </c>
      <c r="O2119" s="52">
        <f>L2119/1.1</f>
        <v/>
      </c>
      <c r="P2119" s="36">
        <f>F2119&amp;E2119&amp;G2119&amp;J2119</f>
        <v/>
      </c>
    </row>
    <row r="2120">
      <c r="B2120" s="51" t="n">
        <v>44167</v>
      </c>
      <c r="C2120" s="36">
        <f>TEXT(B2120,"aaa")</f>
        <v/>
      </c>
      <c r="E2120" s="36">
        <f>INDEX(매칭테이블!C:C,MATCH(RD!G2120,매칭테이블!D:D,0))</f>
        <v/>
      </c>
      <c r="F2120" s="39" t="inlineStr">
        <is>
          <t>카페24</t>
        </is>
      </c>
      <c r="G2120" s="39" t="inlineStr">
        <is>
          <t>유즈 스테이포에버 솔리드퍼퓸 002 (12/14 부터 순차배송)제품선택=스테이포에버 솔리드퍼퓸 002[Pre-order 이벤트 17% 할인]</t>
        </is>
      </c>
      <c r="H2120" s="39" t="n">
        <v>127</v>
      </c>
      <c r="I2120" s="36">
        <f>VLOOKUP(G2120,매칭테이블!D:E,2,0)</f>
        <v/>
      </c>
      <c r="J2120" s="39" t="n">
        <v>201210</v>
      </c>
      <c r="L2120" s="36">
        <f>VLOOKUP($P2120,매칭테이블!$G:$J,2,0)*H2120</f>
        <v/>
      </c>
      <c r="M2120" s="36">
        <f>L2120-L2120*VLOOKUP($P2120,매칭테이블!$G:$J,3,0)</f>
        <v/>
      </c>
      <c r="N2120" s="36">
        <f>VLOOKUP($P2120,매칭테이블!$G:$J,4,0)*H2120</f>
        <v/>
      </c>
      <c r="O2120" s="52">
        <f>L2120/1.1</f>
        <v/>
      </c>
      <c r="P2120" s="36">
        <f>F2120&amp;E2120&amp;G2120&amp;J2120</f>
        <v/>
      </c>
    </row>
    <row r="2121">
      <c r="B2121" s="51" t="n">
        <v>44167</v>
      </c>
      <c r="C2121" s="36">
        <f>TEXT(B2121,"aaa")</f>
        <v/>
      </c>
      <c r="E2121" s="36">
        <f>INDEX(매칭테이블!C:C,MATCH(RD!G2121,매칭테이블!D:D,0))</f>
        <v/>
      </c>
      <c r="F2121" s="39" t="inlineStr">
        <is>
          <t>카페24</t>
        </is>
      </c>
      <c r="G2121" s="39" t="inlineStr">
        <is>
          <t>유즈 스테이포에버 솔리드퍼퓸 002 (12/14 부터 순차배송)제품선택=스테이포에버 2개 세트[Pre-order 이벤트 28% 할인]</t>
        </is>
      </c>
      <c r="H2121" s="39" t="n">
        <v>54</v>
      </c>
      <c r="I2121" s="36">
        <f>VLOOKUP(G2121,매칭테이블!D:E,2,0)</f>
        <v/>
      </c>
      <c r="J2121" s="39" t="n">
        <v>201210</v>
      </c>
      <c r="L2121" s="36">
        <f>VLOOKUP($P2121,매칭테이블!$G:$J,2,0)*H2121</f>
        <v/>
      </c>
      <c r="M2121" s="36">
        <f>L2121-L2121*VLOOKUP($P2121,매칭테이블!$G:$J,3,0)</f>
        <v/>
      </c>
      <c r="N2121" s="36">
        <f>VLOOKUP($P2121,매칭테이블!$G:$J,4,0)*H2121</f>
        <v/>
      </c>
      <c r="O2121" s="52">
        <f>L2121/1.1</f>
        <v/>
      </c>
      <c r="P2121" s="36">
        <f>F2121&amp;E2121&amp;G2121&amp;J2121</f>
        <v/>
      </c>
    </row>
    <row r="2122">
      <c r="B2122" s="51" t="n">
        <v>44167</v>
      </c>
      <c r="C2122" s="36">
        <f>TEXT(B2122,"aaa")</f>
        <v/>
      </c>
      <c r="E2122" s="36">
        <f>INDEX(매칭테이블!C:C,MATCH(RD!G2122,매칭테이블!D:D,0))</f>
        <v/>
      </c>
      <c r="F2122" s="39" t="inlineStr">
        <is>
          <t>카페24</t>
        </is>
      </c>
      <c r="G2122" s="39" t="inlineStr">
        <is>
          <t>유즈 스테이포에버 솔리드퍼퓸 002 (12/14 부터 순차배송)제품선택=스테이포에버 + 이그나이트 세트</t>
        </is>
      </c>
      <c r="H2122" s="39" t="n">
        <v>12</v>
      </c>
      <c r="I2122" s="36">
        <f>VLOOKUP(G2122,매칭테이블!D:E,2,0)</f>
        <v/>
      </c>
      <c r="J2122" s="39" t="n">
        <v>201210</v>
      </c>
      <c r="L2122" s="36">
        <f>VLOOKUP($P2122,매칭테이블!$G:$J,2,0)*H2122</f>
        <v/>
      </c>
      <c r="M2122" s="36">
        <f>L2122-L2122*VLOOKUP($P2122,매칭테이블!$G:$J,3,0)</f>
        <v/>
      </c>
      <c r="N2122" s="36">
        <f>VLOOKUP($P2122,매칭테이블!$G:$J,4,0)*H2122</f>
        <v/>
      </c>
      <c r="O2122" s="52">
        <f>L2122/1.1</f>
        <v/>
      </c>
      <c r="P2122" s="36">
        <f>F2122&amp;E2122&amp;G2122&amp;J2122</f>
        <v/>
      </c>
    </row>
    <row r="2123">
      <c r="B2123" s="51" t="n">
        <v>44167</v>
      </c>
      <c r="C2123" s="36">
        <f>TEXT(B2123,"aaa")</f>
        <v/>
      </c>
      <c r="E2123" s="36">
        <f>INDEX(매칭테이블!C:C,MATCH(RD!G2123,매칭테이블!D:D,0))</f>
        <v/>
      </c>
      <c r="F2123" s="39" t="inlineStr">
        <is>
          <t>카페24</t>
        </is>
      </c>
      <c r="G2123" s="39" t="inlineStr">
        <is>
          <t>유즈 스테이포에버 솔리드퍼퓸 002 (12/14 부터 순차배송)쇼핑백=선물용 쇼핑백</t>
        </is>
      </c>
      <c r="H2123" s="39" t="n">
        <v>5</v>
      </c>
      <c r="I2123" s="36">
        <f>VLOOKUP(G2123,매칭테이블!D:E,2,0)</f>
        <v/>
      </c>
      <c r="J2123" s="39" t="n">
        <v>201210</v>
      </c>
      <c r="L2123" s="36">
        <f>VLOOKUP($P2123,매칭테이블!$G:$J,2,0)*H2123</f>
        <v/>
      </c>
      <c r="M2123" s="36">
        <f>L2123-L2123*VLOOKUP($P2123,매칭테이블!$G:$J,3,0)</f>
        <v/>
      </c>
      <c r="N2123" s="36">
        <f>VLOOKUP($P2123,매칭테이블!$G:$J,4,0)*H2123</f>
        <v/>
      </c>
      <c r="O2123" s="52">
        <f>L2123/1.1</f>
        <v/>
      </c>
      <c r="P2123" s="36">
        <f>F2123&amp;E2123&amp;G2123&amp;J2123</f>
        <v/>
      </c>
    </row>
    <row r="2124">
      <c r="B2124" s="51" t="n">
        <v>44168</v>
      </c>
      <c r="C2124" s="36">
        <f>TEXT(B2124,"aaa")</f>
        <v/>
      </c>
      <c r="E2124" s="36">
        <f>INDEX(매칭테이블!C:C,MATCH(RD!G2124,매칭테이블!D:D,0))</f>
        <v/>
      </c>
      <c r="F2124" s="39" t="inlineStr">
        <is>
          <t>카페24</t>
        </is>
      </c>
      <c r="G2124" s="39" t="inlineStr">
        <is>
          <t>유즈 스테이포에버 솔리드퍼퓸 002 (12/14 순차배송)제품선택=스테이포에버 솔리드퍼퓸 002[Pre-order 이벤트 17% 할인]</t>
        </is>
      </c>
      <c r="H2124" s="39" t="n">
        <v>2</v>
      </c>
      <c r="I2124" s="36">
        <f>VLOOKUP(G2124,매칭테이블!D:E,2,0)</f>
        <v/>
      </c>
      <c r="J2124" s="39" t="n">
        <v>201210</v>
      </c>
      <c r="L2124" s="36">
        <f>VLOOKUP($P2124,매칭테이블!$G:$J,2,0)*H2124</f>
        <v/>
      </c>
      <c r="M2124" s="36">
        <f>L2124-L2124*VLOOKUP($P2124,매칭테이블!$G:$J,3,0)</f>
        <v/>
      </c>
      <c r="N2124" s="36">
        <f>VLOOKUP($P2124,매칭테이블!$G:$J,4,0)*H2124</f>
        <v/>
      </c>
      <c r="O2124" s="52">
        <f>L2124/1.1</f>
        <v/>
      </c>
      <c r="P2124" s="36">
        <f>F2124&amp;E2124&amp;G2124&amp;J2124</f>
        <v/>
      </c>
    </row>
    <row r="2125">
      <c r="B2125" s="51" t="n">
        <v>44168</v>
      </c>
      <c r="C2125" s="36">
        <f>TEXT(B2125,"aaa")</f>
        <v/>
      </c>
      <c r="E2125" s="36">
        <f>INDEX(매칭테이블!C:C,MATCH(RD!G2125,매칭테이블!D:D,0))</f>
        <v/>
      </c>
      <c r="F2125" s="39" t="inlineStr">
        <is>
          <t>카페24</t>
        </is>
      </c>
      <c r="G2125" s="39" t="inlineStr">
        <is>
          <t>유즈 스테이포에버 솔리드퍼퓸 002 (12/14 순차배송)제품선택=스테이포에버 2개 세트[Pre-order 이벤트 28% 할인]</t>
        </is>
      </c>
      <c r="H2125" s="39" t="n">
        <v>3</v>
      </c>
      <c r="I2125" s="36">
        <f>VLOOKUP(G2125,매칭테이블!D:E,2,0)</f>
        <v/>
      </c>
      <c r="J2125" s="39" t="n">
        <v>201210</v>
      </c>
      <c r="L2125" s="36">
        <f>VLOOKUP($P2125,매칭테이블!$G:$J,2,0)*H2125</f>
        <v/>
      </c>
      <c r="M2125" s="36">
        <f>L2125-L2125*VLOOKUP($P2125,매칭테이블!$G:$J,3,0)</f>
        <v/>
      </c>
      <c r="N2125" s="36">
        <f>VLOOKUP($P2125,매칭테이블!$G:$J,4,0)*H2125</f>
        <v/>
      </c>
      <c r="O2125" s="52">
        <f>L2125/1.1</f>
        <v/>
      </c>
      <c r="P2125" s="36">
        <f>F2125&amp;E2125&amp;G2125&amp;J2125</f>
        <v/>
      </c>
    </row>
    <row r="2126">
      <c r="B2126" s="51" t="n">
        <v>44168</v>
      </c>
      <c r="C2126" s="36">
        <f>TEXT(B2126,"aaa")</f>
        <v/>
      </c>
      <c r="E2126" s="36">
        <f>INDEX(매칭테이블!C:C,MATCH(RD!G2126,매칭테이블!D:D,0))</f>
        <v/>
      </c>
      <c r="F2126" s="39" t="inlineStr">
        <is>
          <t>카페24</t>
        </is>
      </c>
      <c r="G2126" s="39" t="inlineStr">
        <is>
          <t>유즈 스테이포에버 솔리드퍼퓸 002 (12/14 순차배송)쇼핑백=선물용 쇼핑백</t>
        </is>
      </c>
      <c r="H2126" s="39" t="n">
        <v>1</v>
      </c>
      <c r="I2126" s="36">
        <f>VLOOKUP(G2126,매칭테이블!D:E,2,0)</f>
        <v/>
      </c>
      <c r="J2126" s="39" t="n">
        <v>201210</v>
      </c>
      <c r="L2126" s="36">
        <f>VLOOKUP($P2126,매칭테이블!$G:$J,2,0)*H2126</f>
        <v/>
      </c>
      <c r="M2126" s="36">
        <f>L2126-L2126*VLOOKUP($P2126,매칭테이블!$G:$J,3,0)</f>
        <v/>
      </c>
      <c r="N2126" s="36">
        <f>VLOOKUP($P2126,매칭테이블!$G:$J,4,0)*H2126</f>
        <v/>
      </c>
      <c r="O2126" s="52">
        <f>L2126/1.1</f>
        <v/>
      </c>
      <c r="P2126" s="36">
        <f>F2126&amp;E2126&amp;G2126&amp;J2126</f>
        <v/>
      </c>
    </row>
    <row r="2127">
      <c r="B2127" s="51" t="n">
        <v>44167</v>
      </c>
      <c r="C2127" s="36">
        <f>TEXT(B2127,"aaa")</f>
        <v/>
      </c>
      <c r="E2127" s="36">
        <f>INDEX(매칭테이블!C:C,MATCH(RD!G2127,매칭테이블!D:D,0))</f>
        <v/>
      </c>
      <c r="F2127" s="39" t="inlineStr">
        <is>
          <t>카페24</t>
        </is>
      </c>
      <c r="G2127" s="39" t="inlineStr">
        <is>
          <t>유즈 스테이포에버 솔리드퍼퓸 002 (12/4 부터 순차배송)쇼핑백=선물용 쇼핑백</t>
        </is>
      </c>
      <c r="H2127" s="39" t="n">
        <v>7</v>
      </c>
      <c r="I2127" s="36">
        <f>VLOOKUP(G2127,매칭테이블!D:E,2,0)</f>
        <v/>
      </c>
      <c r="J2127" s="39" t="n">
        <v>201210</v>
      </c>
      <c r="L2127" s="36">
        <f>VLOOKUP($P2127,매칭테이블!$G:$J,2,0)*H2127</f>
        <v/>
      </c>
      <c r="M2127" s="36">
        <f>L2127-L2127*VLOOKUP($P2127,매칭테이블!$G:$J,3,0)</f>
        <v/>
      </c>
      <c r="N2127" s="36">
        <f>VLOOKUP($P2127,매칭테이블!$G:$J,4,0)*H2127</f>
        <v/>
      </c>
      <c r="O2127" s="52">
        <f>L2127/1.1</f>
        <v/>
      </c>
      <c r="P2127" s="36">
        <f>F2127&amp;E2127&amp;G2127&amp;J2127</f>
        <v/>
      </c>
    </row>
    <row r="2128">
      <c r="B2128" s="51" t="n">
        <v>44168</v>
      </c>
      <c r="C2128" s="36">
        <f>TEXT(B2128,"aaa")</f>
        <v/>
      </c>
      <c r="E2128" s="36">
        <f>INDEX(매칭테이블!C:C,MATCH(RD!G2128,매칭테이블!D:D,0))</f>
        <v/>
      </c>
      <c r="F2128" s="39" t="inlineStr">
        <is>
          <t>카페24</t>
        </is>
      </c>
      <c r="G2128" s="39" t="inlineStr">
        <is>
          <t>유즈 스테이포에버 솔리드퍼퓸 002 (스테이포에버 주문시 12/14 순차배송)쇼핑백=선물용 쇼핑백</t>
        </is>
      </c>
      <c r="H2128" s="39" t="n">
        <v>31</v>
      </c>
      <c r="I2128" s="36">
        <f>VLOOKUP(G2128,매칭테이블!D:E,2,0)</f>
        <v/>
      </c>
      <c r="J2128" s="39" t="n">
        <v>201210</v>
      </c>
      <c r="L2128" s="36">
        <f>VLOOKUP($P2128,매칭테이블!$G:$J,2,0)*H2128</f>
        <v/>
      </c>
      <c r="M2128" s="36">
        <f>L2128-L2128*VLOOKUP($P2128,매칭테이블!$G:$J,3,0)</f>
        <v/>
      </c>
      <c r="N2128" s="36">
        <f>VLOOKUP($P2128,매칭테이블!$G:$J,4,0)*H2128</f>
        <v/>
      </c>
      <c r="O2128" s="52">
        <f>L2128/1.1</f>
        <v/>
      </c>
      <c r="P2128" s="36">
        <f>F2128&amp;E2128&amp;G2128&amp;J2128</f>
        <v/>
      </c>
    </row>
    <row r="2129">
      <c r="B2129" s="51" t="n">
        <v>44168</v>
      </c>
      <c r="C2129" s="36">
        <f>TEXT(B2129,"aaa")</f>
        <v/>
      </c>
      <c r="E2129" s="36">
        <f>INDEX(매칭테이블!C:C,MATCH(RD!G2129,매칭테이블!D:D,0))</f>
        <v/>
      </c>
      <c r="F2129" s="39" t="inlineStr">
        <is>
          <t>카페24</t>
        </is>
      </c>
      <c r="G2129" s="39" t="inlineStr">
        <is>
          <t>유즈 스테이포에버 솔리드퍼퓸 002 (12/14 입고 이후 순차배송)제품선택=스테이포에버 솔리드퍼퓸 002[Pre-order 이벤트 17% 할인]</t>
        </is>
      </c>
      <c r="H2129" s="39" t="n">
        <v>2</v>
      </c>
      <c r="I2129" s="36">
        <f>VLOOKUP(G2129,매칭테이블!D:E,2,0)</f>
        <v/>
      </c>
      <c r="J2129" s="39" t="n">
        <v>201210</v>
      </c>
      <c r="L2129" s="36">
        <f>VLOOKUP($P2129,매칭테이블!$G:$J,2,0)*H2129</f>
        <v/>
      </c>
      <c r="M2129" s="36">
        <f>L2129-L2129*VLOOKUP($P2129,매칭테이블!$G:$J,3,0)</f>
        <v/>
      </c>
      <c r="N2129" s="36">
        <f>VLOOKUP($P2129,매칭테이블!$G:$J,4,0)*H2129</f>
        <v/>
      </c>
      <c r="O2129" s="52">
        <f>L2129/1.1</f>
        <v/>
      </c>
      <c r="P2129" s="36">
        <f>F2129&amp;E2129&amp;G2129&amp;J2129</f>
        <v/>
      </c>
    </row>
    <row r="2130">
      <c r="B2130" s="51" t="n">
        <v>44167</v>
      </c>
      <c r="C2130" s="36">
        <f>TEXT(B2130,"aaa")</f>
        <v/>
      </c>
      <c r="E2130" s="36">
        <f>INDEX(매칭테이블!C:C,MATCH(RD!G2130,매칭테이블!D:D,0))</f>
        <v/>
      </c>
      <c r="F2130" s="39" t="inlineStr">
        <is>
          <t>카페24</t>
        </is>
      </c>
      <c r="G2130" s="39" t="inlineStr">
        <is>
          <t>유즈 스테이포에버 솔리드퍼퓸 002 (12/4 부터 순차배송)제품선택=스테이포에버 솔리드퍼퓸 002[Pre-order 이벤트 17% 할인]</t>
        </is>
      </c>
      <c r="H2130" s="39" t="n">
        <v>83</v>
      </c>
      <c r="I2130" s="36">
        <f>VLOOKUP(G2130,매칭테이블!D:E,2,0)</f>
        <v/>
      </c>
      <c r="J2130" s="39" t="n">
        <v>201210</v>
      </c>
      <c r="L2130" s="36">
        <f>VLOOKUP($P2130,매칭테이블!$G:$J,2,0)*H2130</f>
        <v/>
      </c>
      <c r="M2130" s="36">
        <f>L2130-L2130*VLOOKUP($P2130,매칭테이블!$G:$J,3,0)</f>
        <v/>
      </c>
      <c r="N2130" s="36">
        <f>VLOOKUP($P2130,매칭테이블!$G:$J,4,0)*H2130</f>
        <v/>
      </c>
      <c r="O2130" s="52">
        <f>L2130/1.1</f>
        <v/>
      </c>
      <c r="P2130" s="36">
        <f>F2130&amp;E2130&amp;G2130&amp;J2130</f>
        <v/>
      </c>
    </row>
    <row r="2131">
      <c r="B2131" s="51" t="n">
        <v>44167</v>
      </c>
      <c r="C2131" s="36">
        <f>TEXT(B2131,"aaa")</f>
        <v/>
      </c>
      <c r="E2131" s="36">
        <f>INDEX(매칭테이블!C:C,MATCH(RD!G2131,매칭테이블!D:D,0))</f>
        <v/>
      </c>
      <c r="F2131" s="39" t="inlineStr">
        <is>
          <t>카페24</t>
        </is>
      </c>
      <c r="G2131" s="39" t="inlineStr">
        <is>
          <t>유즈 스테이포에버 솔리드퍼퓸 002 (12/4 부터 순차배송)제품선택=스테이포에버 2개 세트[Pre-order 이벤트 28% 할인]</t>
        </is>
      </c>
      <c r="H2131" s="39" t="n">
        <v>25</v>
      </c>
      <c r="I2131" s="36">
        <f>VLOOKUP(G2131,매칭테이블!D:E,2,0)</f>
        <v/>
      </c>
      <c r="J2131" s="39" t="n">
        <v>201210</v>
      </c>
      <c r="L2131" s="36">
        <f>VLOOKUP($P2131,매칭테이블!$G:$J,2,0)*H2131</f>
        <v/>
      </c>
      <c r="M2131" s="36">
        <f>L2131-L2131*VLOOKUP($P2131,매칭테이블!$G:$J,3,0)</f>
        <v/>
      </c>
      <c r="N2131" s="36">
        <f>VLOOKUP($P2131,매칭테이블!$G:$J,4,0)*H2131</f>
        <v/>
      </c>
      <c r="O2131" s="52">
        <f>L2131/1.1</f>
        <v/>
      </c>
      <c r="P2131" s="36">
        <f>F2131&amp;E2131&amp;G2131&amp;J2131</f>
        <v/>
      </c>
    </row>
    <row r="2132">
      <c r="B2132" s="51" t="n">
        <v>44167</v>
      </c>
      <c r="C2132" s="36">
        <f>TEXT(B2132,"aaa")</f>
        <v/>
      </c>
      <c r="E2132" s="36">
        <f>INDEX(매칭테이블!C:C,MATCH(RD!G2132,매칭테이블!D:D,0))</f>
        <v/>
      </c>
      <c r="F2132" s="39" t="inlineStr">
        <is>
          <t>카페24</t>
        </is>
      </c>
      <c r="G2132" s="39" t="inlineStr">
        <is>
          <t>유즈 스테이포에버 솔리드퍼퓸 002 (12/4 부터 순차배송)제품선택=스테이포에버 + 이그나이트 세트</t>
        </is>
      </c>
      <c r="H2132" s="39" t="n">
        <v>6</v>
      </c>
      <c r="I2132" s="36">
        <f>VLOOKUP(G2132,매칭테이블!D:E,2,0)</f>
        <v/>
      </c>
      <c r="J2132" s="39" t="n">
        <v>201210</v>
      </c>
      <c r="L2132" s="36">
        <f>VLOOKUP($P2132,매칭테이블!$G:$J,2,0)*H2132</f>
        <v/>
      </c>
      <c r="M2132" s="36">
        <f>L2132-L2132*VLOOKUP($P2132,매칭테이블!$G:$J,3,0)</f>
        <v/>
      </c>
      <c r="N2132" s="36">
        <f>VLOOKUP($P2132,매칭테이블!$G:$J,4,0)*H2132</f>
        <v/>
      </c>
      <c r="O2132" s="52">
        <f>L2132/1.1</f>
        <v/>
      </c>
      <c r="P2132" s="36">
        <f>F2132&amp;E2132&amp;G2132&amp;J2132</f>
        <v/>
      </c>
    </row>
    <row r="2133">
      <c r="B2133" s="51" t="n">
        <v>44168</v>
      </c>
      <c r="C2133" s="36">
        <f>TEXT(B2133,"aaa")</f>
        <v/>
      </c>
      <c r="E2133" s="36">
        <f>INDEX(매칭테이블!C:C,MATCH(RD!G2133,매칭테이블!D:D,0))</f>
        <v/>
      </c>
      <c r="F2133" s="39" t="inlineStr">
        <is>
          <t>카페24</t>
        </is>
      </c>
      <c r="G2133" s="39" t="inlineStr">
        <is>
          <t>유즈 스테이포에버 솔리드퍼퓸 002 (스테이포에버 주문시 12/14 순차배송)제품선택=스테이포에버 솔리드퍼퓸 002[Pre-order 이벤트 17% 할인]</t>
        </is>
      </c>
      <c r="H2133" s="39" t="n">
        <v>712</v>
      </c>
      <c r="I2133" s="36">
        <f>VLOOKUP(G2133,매칭테이블!D:E,2,0)</f>
        <v/>
      </c>
      <c r="J2133" s="39" t="n">
        <v>201210</v>
      </c>
      <c r="L2133" s="36">
        <f>VLOOKUP($P2133,매칭테이블!$G:$J,2,0)*H2133</f>
        <v/>
      </c>
      <c r="M2133" s="36">
        <f>L2133-L2133*VLOOKUP($P2133,매칭테이블!$G:$J,3,0)</f>
        <v/>
      </c>
      <c r="N2133" s="36">
        <f>VLOOKUP($P2133,매칭테이블!$G:$J,4,0)*H2133</f>
        <v/>
      </c>
      <c r="O2133" s="52">
        <f>L2133/1.1</f>
        <v/>
      </c>
      <c r="P2133" s="36">
        <f>F2133&amp;E2133&amp;G2133&amp;J2133</f>
        <v/>
      </c>
    </row>
    <row r="2134">
      <c r="B2134" s="51" t="n">
        <v>44168</v>
      </c>
      <c r="C2134" s="36">
        <f>TEXT(B2134,"aaa")</f>
        <v/>
      </c>
      <c r="E2134" s="36">
        <f>INDEX(매칭테이블!C:C,MATCH(RD!G2134,매칭테이블!D:D,0))</f>
        <v/>
      </c>
      <c r="F2134" s="39" t="inlineStr">
        <is>
          <t>카페24</t>
        </is>
      </c>
      <c r="G2134" s="39" t="inlineStr">
        <is>
          <t>유즈 스테이포에버 솔리드퍼퓸 002 (스테이포에버 주문시 12/14 순차배송)제품선택=스테이포에버 2개 세트[Pre-order 이벤트 28% 할인]</t>
        </is>
      </c>
      <c r="H2134" s="39" t="n">
        <v>260</v>
      </c>
      <c r="I2134" s="36">
        <f>VLOOKUP(G2134,매칭테이블!D:E,2,0)</f>
        <v/>
      </c>
      <c r="J2134" s="39" t="n">
        <v>201210</v>
      </c>
      <c r="L2134" s="36">
        <f>VLOOKUP($P2134,매칭테이블!$G:$J,2,0)*H2134</f>
        <v/>
      </c>
      <c r="M2134" s="36">
        <f>L2134-L2134*VLOOKUP($P2134,매칭테이블!$G:$J,3,0)</f>
        <v/>
      </c>
      <c r="N2134" s="36">
        <f>VLOOKUP($P2134,매칭테이블!$G:$J,4,0)*H2134</f>
        <v/>
      </c>
      <c r="O2134" s="52">
        <f>L2134/1.1</f>
        <v/>
      </c>
      <c r="P2134" s="36">
        <f>F2134&amp;E2134&amp;G2134&amp;J2134</f>
        <v/>
      </c>
    </row>
    <row r="2135">
      <c r="B2135" s="51" t="n">
        <v>44168</v>
      </c>
      <c r="C2135" s="36">
        <f>TEXT(B2135,"aaa")</f>
        <v/>
      </c>
      <c r="E2135" s="36">
        <f>INDEX(매칭테이블!C:C,MATCH(RD!G2135,매칭테이블!D:D,0))</f>
        <v/>
      </c>
      <c r="F2135" s="39" t="inlineStr">
        <is>
          <t>카페24</t>
        </is>
      </c>
      <c r="G2135" s="39" t="inlineStr">
        <is>
          <t>유즈 스테이포에버 솔리드퍼퓸 002 (스테이포에버 주문시 12/14 순차배송)제품선택=스테이포에버 + 이그나이트 세트</t>
        </is>
      </c>
      <c r="H2135" s="39" t="n">
        <v>57</v>
      </c>
      <c r="I2135" s="36">
        <f>VLOOKUP(G2135,매칭테이블!D:E,2,0)</f>
        <v/>
      </c>
      <c r="J2135" s="39" t="n">
        <v>201210</v>
      </c>
      <c r="L2135" s="36">
        <f>VLOOKUP($P2135,매칭테이블!$G:$J,2,0)*H2135</f>
        <v/>
      </c>
      <c r="M2135" s="36">
        <f>L2135-L2135*VLOOKUP($P2135,매칭테이블!$G:$J,3,0)</f>
        <v/>
      </c>
      <c r="N2135" s="36">
        <f>VLOOKUP($P2135,매칭테이블!$G:$J,4,0)*H2135</f>
        <v/>
      </c>
      <c r="O2135" s="52">
        <f>L2135/1.1</f>
        <v/>
      </c>
      <c r="P2135" s="36">
        <f>F2135&amp;E2135&amp;G2135&amp;J2135</f>
        <v/>
      </c>
    </row>
    <row r="2136">
      <c r="B2136" s="51" t="n">
        <v>44172</v>
      </c>
      <c r="C2136" s="36">
        <f>TEXT(B2136,"aaa")</f>
        <v/>
      </c>
      <c r="E2136" s="36">
        <f>INDEX(매칭테이블!C:C,MATCH(RD!G2136,매칭테이블!D:D,0))</f>
        <v/>
      </c>
      <c r="F2136" s="39" t="inlineStr">
        <is>
          <t>카페24</t>
        </is>
      </c>
      <c r="G2136" s="39" t="inlineStr">
        <is>
          <t>유즈 스테이포에버 솔리드퍼퓸 002 (스테이포에버 주문시 12/15 순차배송)제품선택=스테이포에버 솔리드퍼퓸 002[Pre-order 이벤트 17% 할인]</t>
        </is>
      </c>
      <c r="H2136" s="39" t="n">
        <v>322</v>
      </c>
      <c r="I2136" s="36">
        <f>VLOOKUP(G2136,매칭테이블!D:E,2,0)</f>
        <v/>
      </c>
      <c r="J2136" s="39" t="n">
        <v>201210</v>
      </c>
      <c r="L2136" s="36">
        <f>VLOOKUP($P2136,매칭테이블!$G:$J,2,0)*H2136</f>
        <v/>
      </c>
      <c r="M2136" s="36">
        <f>L2136-L2136*VLOOKUP($P2136,매칭테이블!$G:$J,3,0)</f>
        <v/>
      </c>
      <c r="N2136" s="36">
        <f>VLOOKUP($P2136,매칭테이블!$G:$J,4,0)*H2136</f>
        <v/>
      </c>
      <c r="O2136" s="52">
        <f>L2136/1.1</f>
        <v/>
      </c>
      <c r="P2136" s="36">
        <f>F2136&amp;E2136&amp;G2136&amp;J2136</f>
        <v/>
      </c>
    </row>
    <row r="2137">
      <c r="B2137" s="51" t="n">
        <v>44172</v>
      </c>
      <c r="C2137" s="36">
        <f>TEXT(B2137,"aaa")</f>
        <v/>
      </c>
      <c r="E2137" s="36">
        <f>INDEX(매칭테이블!C:C,MATCH(RD!G2137,매칭테이블!D:D,0))</f>
        <v/>
      </c>
      <c r="F2137" s="39" t="inlineStr">
        <is>
          <t>카페24</t>
        </is>
      </c>
      <c r="G2137" s="39" t="inlineStr">
        <is>
          <t>유즈 스테이포에버 솔리드퍼퓸 002 (스테이포에버 주문시 12/15 순차배송)제품선택=스테이포에버 2개 세트[Pre-order 이벤트 28% 할인]</t>
        </is>
      </c>
      <c r="H2137" s="39" t="n">
        <v>120</v>
      </c>
      <c r="I2137" s="36">
        <f>VLOOKUP(G2137,매칭테이블!D:E,2,0)</f>
        <v/>
      </c>
      <c r="J2137" s="39" t="n">
        <v>201210</v>
      </c>
      <c r="L2137" s="36">
        <f>VLOOKUP($P2137,매칭테이블!$G:$J,2,0)*H2137</f>
        <v/>
      </c>
      <c r="M2137" s="36">
        <f>L2137-L2137*VLOOKUP($P2137,매칭테이블!$G:$J,3,0)</f>
        <v/>
      </c>
      <c r="N2137" s="36">
        <f>VLOOKUP($P2137,매칭테이블!$G:$J,4,0)*H2137</f>
        <v/>
      </c>
      <c r="O2137" s="52">
        <f>L2137/1.1</f>
        <v/>
      </c>
      <c r="P2137" s="36">
        <f>F2137&amp;E2137&amp;G2137&amp;J2137</f>
        <v/>
      </c>
    </row>
    <row r="2138">
      <c r="B2138" s="51" t="n">
        <v>44172</v>
      </c>
      <c r="C2138" s="36">
        <f>TEXT(B2138,"aaa")</f>
        <v/>
      </c>
      <c r="E2138" s="36">
        <f>INDEX(매칭테이블!C:C,MATCH(RD!G2138,매칭테이블!D:D,0))</f>
        <v/>
      </c>
      <c r="F2138" s="39" t="inlineStr">
        <is>
          <t>카페24</t>
        </is>
      </c>
      <c r="G2138" s="39" t="inlineStr">
        <is>
          <t>유즈 스테이포에버 솔리드퍼퓸 002 (스테이포에버 주문시 12/15 순차배송)제품선택=스테이포에버 + 이그나이트 세트</t>
        </is>
      </c>
      <c r="H2138" s="39" t="n">
        <v>18</v>
      </c>
      <c r="I2138" s="36">
        <f>VLOOKUP(G2138,매칭테이블!D:E,2,0)</f>
        <v/>
      </c>
      <c r="J2138" s="39" t="n">
        <v>201210</v>
      </c>
      <c r="L2138" s="36">
        <f>VLOOKUP($P2138,매칭테이블!$G:$J,2,0)*H2138</f>
        <v/>
      </c>
      <c r="M2138" s="36">
        <f>L2138-L2138*VLOOKUP($P2138,매칭테이블!$G:$J,3,0)</f>
        <v/>
      </c>
      <c r="N2138" s="36">
        <f>VLOOKUP($P2138,매칭테이블!$G:$J,4,0)*H2138</f>
        <v/>
      </c>
      <c r="O2138" s="52">
        <f>L2138/1.1</f>
        <v/>
      </c>
      <c r="P2138" s="36">
        <f>F2138&amp;E2138&amp;G2138&amp;J2138</f>
        <v/>
      </c>
    </row>
    <row r="2139">
      <c r="B2139" s="51" t="n">
        <v>44172</v>
      </c>
      <c r="C2139" s="36">
        <f>TEXT(B2139,"aaa")</f>
        <v/>
      </c>
      <c r="E2139" s="36">
        <f>INDEX(매칭테이블!C:C,MATCH(RD!G2139,매칭테이블!D:D,0))</f>
        <v/>
      </c>
      <c r="F2139" s="39" t="inlineStr">
        <is>
          <t>카페24</t>
        </is>
      </c>
      <c r="G2139" s="39" t="inlineStr">
        <is>
          <t>유즈 스테이포에버 솔리드퍼퓸 002 (스테이포에버 주문시 12/15 순차배송)쇼핑백=선물용 쇼핑백</t>
        </is>
      </c>
      <c r="H2139" s="39" t="n">
        <v>10</v>
      </c>
      <c r="I2139" s="36">
        <f>VLOOKUP(G2139,매칭테이블!D:E,2,0)</f>
        <v/>
      </c>
      <c r="J2139" s="39" t="n">
        <v>201210</v>
      </c>
      <c r="L2139" s="36">
        <f>VLOOKUP($P2139,매칭테이블!$G:$J,2,0)*H2139</f>
        <v/>
      </c>
      <c r="M2139" s="36">
        <f>L2139-L2139*VLOOKUP($P2139,매칭테이블!$G:$J,3,0)</f>
        <v/>
      </c>
      <c r="N2139" s="36">
        <f>VLOOKUP($P2139,매칭테이블!$G:$J,4,0)*H2139</f>
        <v/>
      </c>
      <c r="O2139" s="52">
        <f>L2139/1.1</f>
        <v/>
      </c>
      <c r="P2139" s="36">
        <f>F2139&amp;E2139&amp;G2139&amp;J2139</f>
        <v/>
      </c>
    </row>
    <row r="2140">
      <c r="B2140" s="51" t="n">
        <v>44168</v>
      </c>
      <c r="C2140" s="36">
        <f>TEXT(B2140,"aaa")</f>
        <v/>
      </c>
      <c r="E2140" s="36">
        <f>INDEX(매칭테이블!C:C,MATCH(RD!G2140,매칭테이블!D:D,0))</f>
        <v/>
      </c>
      <c r="F2140" s="39" t="inlineStr">
        <is>
          <t>카페24</t>
        </is>
      </c>
      <c r="G2140" s="39" t="inlineStr">
        <is>
          <t>유즈 이그나이트 솔리드퍼퓸 001제품선택=이그나이트 솔리드퍼퓸 - 30ml</t>
        </is>
      </c>
      <c r="H2140" s="39" t="n">
        <v>17</v>
      </c>
      <c r="I2140" s="36">
        <f>VLOOKUP(G2140,매칭테이블!D:E,2,0)</f>
        <v/>
      </c>
      <c r="J2140" s="39" t="n">
        <v>201210</v>
      </c>
      <c r="L2140" s="36">
        <f>VLOOKUP($P2140,매칭테이블!$G:$J,2,0)*H2140</f>
        <v/>
      </c>
      <c r="M2140" s="36">
        <f>L2140-L2140*VLOOKUP($P2140,매칭테이블!$G:$J,3,0)</f>
        <v/>
      </c>
      <c r="N2140" s="36">
        <f>VLOOKUP($P2140,매칭테이블!$G:$J,4,0)*H2140</f>
        <v/>
      </c>
      <c r="O2140" s="52">
        <f>L2140/1.1</f>
        <v/>
      </c>
      <c r="P2140" s="36">
        <f>F2140&amp;E2140&amp;G2140&amp;J2140</f>
        <v/>
      </c>
    </row>
    <row r="2141">
      <c r="B2141" s="51" t="n">
        <v>44168</v>
      </c>
      <c r="C2141" s="36">
        <f>TEXT(B2141,"aaa")</f>
        <v/>
      </c>
      <c r="E2141" s="36">
        <f>INDEX(매칭테이블!C:C,MATCH(RD!G2141,매칭테이블!D:D,0))</f>
        <v/>
      </c>
      <c r="F2141" s="39" t="inlineStr">
        <is>
          <t>카페24</t>
        </is>
      </c>
      <c r="G2141" s="39" t="inlineStr">
        <is>
          <t>유즈 이그나이트 솔리드퍼퓸 001제품선택=이그나이트 2개 세트</t>
        </is>
      </c>
      <c r="H2141" s="39" t="n">
        <v>5</v>
      </c>
      <c r="I2141" s="36">
        <f>VLOOKUP(G2141,매칭테이블!D:E,2,0)</f>
        <v/>
      </c>
      <c r="J2141" s="39" t="n">
        <v>201210</v>
      </c>
      <c r="L2141" s="36">
        <f>VLOOKUP($P2141,매칭테이블!$G:$J,2,0)*H2141</f>
        <v/>
      </c>
      <c r="M2141" s="36">
        <f>L2141-L2141*VLOOKUP($P2141,매칭테이블!$G:$J,3,0)</f>
        <v/>
      </c>
      <c r="N2141" s="36">
        <f>VLOOKUP($P2141,매칭테이블!$G:$J,4,0)*H2141</f>
        <v/>
      </c>
      <c r="O2141" s="52">
        <f>L2141/1.1</f>
        <v/>
      </c>
      <c r="P2141" s="36">
        <f>F2141&amp;E2141&amp;G2141&amp;J2141</f>
        <v/>
      </c>
    </row>
    <row r="2142">
      <c r="B2142" s="51" t="n">
        <v>44169</v>
      </c>
      <c r="C2142" s="36">
        <f>TEXT(B2142,"aaa")</f>
        <v/>
      </c>
      <c r="E2142" s="36">
        <f>INDEX(매칭테이블!C:C,MATCH(RD!G2142,매칭테이블!D:D,0))</f>
        <v/>
      </c>
      <c r="F2142" s="39" t="inlineStr">
        <is>
          <t>유즈 CS</t>
        </is>
      </c>
      <c r="G2142" s="39" t="inlineStr">
        <is>
          <t>유즈 솔리드퍼퓸 - 30ml (스테이포에버 주문 시 12/14 순차배송)향=스테이포에버, 세트 선택=1 개</t>
        </is>
      </c>
      <c r="H2142" s="39" t="n">
        <v>1</v>
      </c>
      <c r="I2142" s="36">
        <f>VLOOKUP(G2142,매칭테이블!D:E,2,0)</f>
        <v/>
      </c>
      <c r="J2142" s="39" t="n">
        <v>201210</v>
      </c>
      <c r="L2142" s="36">
        <f>VLOOKUP($P2142,매칭테이블!$G:$J,2,0)*H2142</f>
        <v/>
      </c>
      <c r="M2142" s="36">
        <f>L2142-L2142*VLOOKUP($P2142,매칭테이블!$G:$J,3,0)</f>
        <v/>
      </c>
      <c r="N2142" s="36">
        <f>VLOOKUP($P2142,매칭테이블!$G:$J,4,0)*H2142</f>
        <v/>
      </c>
      <c r="O2142" s="52">
        <f>L2142/1.1</f>
        <v/>
      </c>
      <c r="P2142" s="36">
        <f>F2142&amp;E2142&amp;G2142&amp;J2142</f>
        <v/>
      </c>
    </row>
    <row r="2143">
      <c r="B2143" s="51" t="n">
        <v>44169</v>
      </c>
      <c r="C2143" s="36">
        <f>TEXT(B2143,"aaa")</f>
        <v/>
      </c>
      <c r="E2143" s="36">
        <f>INDEX(매칭테이블!C:C,MATCH(RD!G2143,매칭테이블!D:D,0))</f>
        <v/>
      </c>
      <c r="F2143" s="39" t="inlineStr">
        <is>
          <t>유즈 CS</t>
        </is>
      </c>
      <c r="G2143" s="39" t="inlineStr">
        <is>
          <t>유즈 스테이포에버 솔리드퍼퓸 002 (스테이포에버 주문시 12/14 순차배송)제품선택=스테이포에버 솔리드퍼퓸 002[Pre-order 이벤트 17% 할인]</t>
        </is>
      </c>
      <c r="H2143" s="39" t="n">
        <v>1</v>
      </c>
      <c r="I2143" s="36">
        <f>VLOOKUP(G2143,매칭테이블!D:E,2,0)</f>
        <v/>
      </c>
      <c r="J2143" s="39" t="n">
        <v>201210</v>
      </c>
      <c r="L2143" s="36">
        <f>VLOOKUP($P2143,매칭테이블!$G:$J,2,0)*H2143</f>
        <v/>
      </c>
      <c r="M2143" s="36">
        <f>L2143-L2143*VLOOKUP($P2143,매칭테이블!$G:$J,3,0)</f>
        <v/>
      </c>
      <c r="N2143" s="36">
        <f>VLOOKUP($P2143,매칭테이블!$G:$J,4,0)*H2143</f>
        <v/>
      </c>
      <c r="O2143" s="52">
        <f>L2143/1.1</f>
        <v/>
      </c>
      <c r="P2143" s="36">
        <f>F2143&amp;E2143&amp;G2143&amp;J2143</f>
        <v/>
      </c>
    </row>
    <row r="2144">
      <c r="B2144" s="51" t="n">
        <v>44169</v>
      </c>
      <c r="C2144" s="36">
        <f>TEXT(B2144,"aaa")</f>
        <v/>
      </c>
      <c r="E2144" s="36">
        <f>INDEX(매칭테이블!C:C,MATCH(RD!G2144,매칭테이블!D:D,0))</f>
        <v/>
      </c>
      <c r="F2144" s="39" t="inlineStr">
        <is>
          <t>카페24</t>
        </is>
      </c>
      <c r="G2144" s="39" t="inlineStr">
        <is>
          <t>유즈 솔리드퍼퓸 - 30ml (스테이포에버 주문 시 12/14 순차배송)향=스테이포에버, 세트 선택=1 개</t>
        </is>
      </c>
      <c r="H2144" s="39" t="n">
        <v>14</v>
      </c>
      <c r="I2144" s="36">
        <f>VLOOKUP(G2144,매칭테이블!D:E,2,0)</f>
        <v/>
      </c>
      <c r="J2144" s="39" t="n">
        <v>201210</v>
      </c>
      <c r="L2144" s="36">
        <f>VLOOKUP($P2144,매칭테이블!$G:$J,2,0)*H2144</f>
        <v/>
      </c>
      <c r="M2144" s="36">
        <f>L2144-L2144*VLOOKUP($P2144,매칭테이블!$G:$J,3,0)</f>
        <v/>
      </c>
      <c r="N2144" s="36">
        <f>VLOOKUP($P2144,매칭테이블!$G:$J,4,0)*H2144</f>
        <v/>
      </c>
      <c r="O2144" s="52">
        <f>L2144/1.1</f>
        <v/>
      </c>
      <c r="P2144" s="36">
        <f>F2144&amp;E2144&amp;G2144&amp;J2144</f>
        <v/>
      </c>
    </row>
    <row r="2145">
      <c r="B2145" s="51" t="n">
        <v>44169</v>
      </c>
      <c r="C2145" s="36">
        <f>TEXT(B2145,"aaa")</f>
        <v/>
      </c>
      <c r="E2145" s="36">
        <f>INDEX(매칭테이블!C:C,MATCH(RD!G2145,매칭테이블!D:D,0))</f>
        <v/>
      </c>
      <c r="F2145" s="39" t="inlineStr">
        <is>
          <t>카페24</t>
        </is>
      </c>
      <c r="G2145" s="39" t="inlineStr">
        <is>
          <t>유즈 솔리드퍼퓸 - 30ml (스테이포에버 주문 시 12/14 순차배송)향=스테이포에버, 세트 선택=2개 (28% off)</t>
        </is>
      </c>
      <c r="H2145" s="39" t="n">
        <v>1</v>
      </c>
      <c r="I2145" s="36">
        <f>VLOOKUP(G2145,매칭테이블!D:E,2,0)</f>
        <v/>
      </c>
      <c r="J2145" s="39" t="n">
        <v>201210</v>
      </c>
      <c r="L2145" s="36">
        <f>VLOOKUP($P2145,매칭테이블!$G:$J,2,0)*H2145</f>
        <v/>
      </c>
      <c r="M2145" s="36">
        <f>L2145-L2145*VLOOKUP($P2145,매칭테이블!$G:$J,3,0)</f>
        <v/>
      </c>
      <c r="N2145" s="36">
        <f>VLOOKUP($P2145,매칭테이블!$G:$J,4,0)*H2145</f>
        <v/>
      </c>
      <c r="O2145" s="52">
        <f>L2145/1.1</f>
        <v/>
      </c>
      <c r="P2145" s="36">
        <f>F2145&amp;E2145&amp;G2145&amp;J2145</f>
        <v/>
      </c>
    </row>
    <row r="2146">
      <c r="B2146" s="51" t="n">
        <v>44169</v>
      </c>
      <c r="C2146" s="36">
        <f>TEXT(B2146,"aaa")</f>
        <v/>
      </c>
      <c r="E2146" s="36">
        <f>INDEX(매칭테이블!C:C,MATCH(RD!G2146,매칭테이블!D:D,0))</f>
        <v/>
      </c>
      <c r="F2146" s="39" t="inlineStr">
        <is>
          <t>카페24</t>
        </is>
      </c>
      <c r="G2146" s="39" t="inlineStr">
        <is>
          <t>유즈 솔리드퍼퓸 - 30ml (스테이포에버 주문 시 12/14 순차배송)향=이그나이트 + 스테이포에버, 세트 선택=1 SET</t>
        </is>
      </c>
      <c r="H2146" s="39" t="n">
        <v>4</v>
      </c>
      <c r="I2146" s="36">
        <f>VLOOKUP(G2146,매칭테이블!D:E,2,0)</f>
        <v/>
      </c>
      <c r="J2146" s="39" t="n">
        <v>201210</v>
      </c>
      <c r="L2146" s="36">
        <f>VLOOKUP($P2146,매칭테이블!$G:$J,2,0)*H2146</f>
        <v/>
      </c>
      <c r="M2146" s="36">
        <f>L2146-L2146*VLOOKUP($P2146,매칭테이블!$G:$J,3,0)</f>
        <v/>
      </c>
      <c r="N2146" s="36">
        <f>VLOOKUP($P2146,매칭테이블!$G:$J,4,0)*H2146</f>
        <v/>
      </c>
      <c r="O2146" s="52">
        <f>L2146/1.1</f>
        <v/>
      </c>
      <c r="P2146" s="36">
        <f>F2146&amp;E2146&amp;G2146&amp;J2146</f>
        <v/>
      </c>
    </row>
    <row r="2147">
      <c r="B2147" s="51" t="n">
        <v>44169</v>
      </c>
      <c r="C2147" s="36">
        <f>TEXT(B2147,"aaa")</f>
        <v/>
      </c>
      <c r="E2147" s="36">
        <f>INDEX(매칭테이블!C:C,MATCH(RD!G2147,매칭테이블!D:D,0))</f>
        <v/>
      </c>
      <c r="F2147" s="39" t="inlineStr">
        <is>
          <t>카페24</t>
        </is>
      </c>
      <c r="G2147" s="39" t="inlineStr">
        <is>
          <t>유즈 스테이포에버 솔리드퍼퓸 002 (12/4 부터 순차배송)제품선택=스테이포에버 솔리드퍼퓸 002[Pre-order 이벤트 17% 할인]</t>
        </is>
      </c>
      <c r="H2147" s="39" t="n">
        <v>1</v>
      </c>
      <c r="I2147" s="36">
        <f>VLOOKUP(G2147,매칭테이블!D:E,2,0)</f>
        <v/>
      </c>
      <c r="J2147" s="39" t="n">
        <v>201210</v>
      </c>
      <c r="L2147" s="36">
        <f>VLOOKUP($P2147,매칭테이블!$G:$J,2,0)*H2147</f>
        <v/>
      </c>
      <c r="M2147" s="36">
        <f>L2147-L2147*VLOOKUP($P2147,매칭테이블!$G:$J,3,0)</f>
        <v/>
      </c>
      <c r="N2147" s="36">
        <f>VLOOKUP($P2147,매칭테이블!$G:$J,4,0)*H2147</f>
        <v/>
      </c>
      <c r="O2147" s="52">
        <f>L2147/1.1</f>
        <v/>
      </c>
      <c r="P2147" s="36">
        <f>F2147&amp;E2147&amp;G2147&amp;J2147</f>
        <v/>
      </c>
    </row>
    <row r="2148">
      <c r="B2148" s="51" t="n">
        <v>44169</v>
      </c>
      <c r="C2148" s="36">
        <f>TEXT(B2148,"aaa")</f>
        <v/>
      </c>
      <c r="E2148" s="36">
        <f>INDEX(매칭테이블!C:C,MATCH(RD!G2148,매칭테이블!D:D,0))</f>
        <v/>
      </c>
      <c r="F2148" s="39" t="inlineStr">
        <is>
          <t>카페24</t>
        </is>
      </c>
      <c r="G2148" s="39" t="inlineStr">
        <is>
          <t>유즈 스테이포에버 솔리드퍼퓸 002 (스테이포에버 주문시 12/14 순차배송)제품선택=스테이포에버 솔리드퍼퓸 002[Pre-order 이벤트 17% 할인]</t>
        </is>
      </c>
      <c r="H2148" s="39" t="n">
        <v>166</v>
      </c>
      <c r="I2148" s="36">
        <f>VLOOKUP(G2148,매칭테이블!D:E,2,0)</f>
        <v/>
      </c>
      <c r="J2148" s="39" t="n">
        <v>201210</v>
      </c>
      <c r="L2148" s="36">
        <f>VLOOKUP($P2148,매칭테이블!$G:$J,2,0)*H2148</f>
        <v/>
      </c>
      <c r="M2148" s="36">
        <f>L2148-L2148*VLOOKUP($P2148,매칭테이블!$G:$J,3,0)</f>
        <v/>
      </c>
      <c r="N2148" s="36">
        <f>VLOOKUP($P2148,매칭테이블!$G:$J,4,0)*H2148</f>
        <v/>
      </c>
      <c r="O2148" s="52">
        <f>L2148/1.1</f>
        <v/>
      </c>
      <c r="P2148" s="36">
        <f>F2148&amp;E2148&amp;G2148&amp;J2148</f>
        <v/>
      </c>
    </row>
    <row r="2149">
      <c r="B2149" s="51" t="n">
        <v>44169</v>
      </c>
      <c r="C2149" s="36">
        <f>TEXT(B2149,"aaa")</f>
        <v/>
      </c>
      <c r="E2149" s="36">
        <f>INDEX(매칭테이블!C:C,MATCH(RD!G2149,매칭테이블!D:D,0))</f>
        <v/>
      </c>
      <c r="F2149" s="39" t="inlineStr">
        <is>
          <t>카페24</t>
        </is>
      </c>
      <c r="G2149" s="39" t="inlineStr">
        <is>
          <t>유즈 스테이포에버 솔리드퍼퓸 002 (스테이포에버 주문시 12/14 순차배송)제품선택=스테이포에버 2개 세트[Pre-order 이벤트 28% 할인]</t>
        </is>
      </c>
      <c r="H2149" s="39" t="n">
        <v>47</v>
      </c>
      <c r="I2149" s="36">
        <f>VLOOKUP(G2149,매칭테이블!D:E,2,0)</f>
        <v/>
      </c>
      <c r="J2149" s="39" t="n">
        <v>201210</v>
      </c>
      <c r="L2149" s="36">
        <f>VLOOKUP($P2149,매칭테이블!$G:$J,2,0)*H2149</f>
        <v/>
      </c>
      <c r="M2149" s="36">
        <f>L2149-L2149*VLOOKUP($P2149,매칭테이블!$G:$J,3,0)</f>
        <v/>
      </c>
      <c r="N2149" s="36">
        <f>VLOOKUP($P2149,매칭테이블!$G:$J,4,0)*H2149</f>
        <v/>
      </c>
      <c r="O2149" s="52">
        <f>L2149/1.1</f>
        <v/>
      </c>
      <c r="P2149" s="36">
        <f>F2149&amp;E2149&amp;G2149&amp;J2149</f>
        <v/>
      </c>
    </row>
    <row r="2150">
      <c r="B2150" s="51" t="n">
        <v>44169</v>
      </c>
      <c r="C2150" s="36">
        <f>TEXT(B2150,"aaa")</f>
        <v/>
      </c>
      <c r="E2150" s="36">
        <f>INDEX(매칭테이블!C:C,MATCH(RD!G2150,매칭테이블!D:D,0))</f>
        <v/>
      </c>
      <c r="F2150" s="39" t="inlineStr">
        <is>
          <t>카페24</t>
        </is>
      </c>
      <c r="G2150" s="39" t="inlineStr">
        <is>
          <t>유즈 스테이포에버 솔리드퍼퓸 002 (스테이포에버 주문시 12/14 순차배송)제품선택=스테이포에버 + 이그나이트 세트</t>
        </is>
      </c>
      <c r="H2150" s="39" t="n">
        <v>12</v>
      </c>
      <c r="I2150" s="36">
        <f>VLOOKUP(G2150,매칭테이블!D:E,2,0)</f>
        <v/>
      </c>
      <c r="J2150" s="39" t="n">
        <v>201210</v>
      </c>
      <c r="L2150" s="36">
        <f>VLOOKUP($P2150,매칭테이블!$G:$J,2,0)*H2150</f>
        <v/>
      </c>
      <c r="M2150" s="36">
        <f>L2150-L2150*VLOOKUP($P2150,매칭테이블!$G:$J,3,0)</f>
        <v/>
      </c>
      <c r="N2150" s="36">
        <f>VLOOKUP($P2150,매칭테이블!$G:$J,4,0)*H2150</f>
        <v/>
      </c>
      <c r="O2150" s="52">
        <f>L2150/1.1</f>
        <v/>
      </c>
      <c r="P2150" s="36">
        <f>F2150&amp;E2150&amp;G2150&amp;J2150</f>
        <v/>
      </c>
    </row>
    <row r="2151">
      <c r="B2151" s="51" t="n">
        <v>44169</v>
      </c>
      <c r="C2151" s="36">
        <f>TEXT(B2151,"aaa")</f>
        <v/>
      </c>
      <c r="E2151" s="36">
        <f>INDEX(매칭테이블!C:C,MATCH(RD!G2151,매칭테이블!D:D,0))</f>
        <v/>
      </c>
      <c r="F2151" s="39" t="inlineStr">
        <is>
          <t>카페24</t>
        </is>
      </c>
      <c r="G2151" s="39" t="inlineStr">
        <is>
          <t>유즈 스테이포에버 솔리드퍼퓸 002 (스테이포에버 주문시 12/14 순차배송)쇼핑백=선물용 쇼핑백</t>
        </is>
      </c>
      <c r="H2151" s="39" t="n">
        <v>5</v>
      </c>
      <c r="I2151" s="36">
        <f>VLOOKUP(G2151,매칭테이블!D:E,2,0)</f>
        <v/>
      </c>
      <c r="J2151" s="39" t="n">
        <v>201210</v>
      </c>
      <c r="L2151" s="36">
        <f>VLOOKUP($P2151,매칭테이블!$G:$J,2,0)*H2151</f>
        <v/>
      </c>
      <c r="M2151" s="36">
        <f>L2151-L2151*VLOOKUP($P2151,매칭테이블!$G:$J,3,0)</f>
        <v/>
      </c>
      <c r="N2151" s="36">
        <f>VLOOKUP($P2151,매칭테이블!$G:$J,4,0)*H2151</f>
        <v/>
      </c>
      <c r="O2151" s="52">
        <f>L2151/1.1</f>
        <v/>
      </c>
      <c r="P2151" s="36">
        <f>F2151&amp;E2151&amp;G2151&amp;J2151</f>
        <v/>
      </c>
    </row>
    <row r="2152">
      <c r="B2152" s="51" t="n">
        <v>44169</v>
      </c>
      <c r="C2152" s="36">
        <f>TEXT(B2152,"aaa")</f>
        <v/>
      </c>
      <c r="E2152" s="36">
        <f>INDEX(매칭테이블!C:C,MATCH(RD!G2152,매칭테이블!D:D,0))</f>
        <v/>
      </c>
      <c r="F2152" s="39" t="inlineStr">
        <is>
          <t>카페24</t>
        </is>
      </c>
      <c r="G2152" s="39" t="inlineStr">
        <is>
          <t>유즈 이그나이트 솔리드퍼퓸 001제품선택=이그나이트 솔리드퍼퓸 - 30ml</t>
        </is>
      </c>
      <c r="H2152" s="39" t="n">
        <v>2</v>
      </c>
      <c r="I2152" s="36">
        <f>VLOOKUP(G2152,매칭테이블!D:E,2,0)</f>
        <v/>
      </c>
      <c r="J2152" s="39" t="n">
        <v>201210</v>
      </c>
      <c r="L2152" s="36">
        <f>VLOOKUP($P2152,매칭테이블!$G:$J,2,0)*H2152</f>
        <v/>
      </c>
      <c r="M2152" s="36">
        <f>L2152-L2152*VLOOKUP($P2152,매칭테이블!$G:$J,3,0)</f>
        <v/>
      </c>
      <c r="N2152" s="36">
        <f>VLOOKUP($P2152,매칭테이블!$G:$J,4,0)*H2152</f>
        <v/>
      </c>
      <c r="O2152" s="52">
        <f>L2152/1.1</f>
        <v/>
      </c>
      <c r="P2152" s="36">
        <f>F2152&amp;E2152&amp;G2152&amp;J2152</f>
        <v/>
      </c>
    </row>
    <row r="2153">
      <c r="B2153" s="51" t="n">
        <v>44171</v>
      </c>
      <c r="C2153" s="36">
        <f>TEXT(B2153,"aaa")</f>
        <v/>
      </c>
      <c r="E2153" s="36">
        <f>INDEX(매칭테이블!C:C,MATCH(RD!G2153,매칭테이블!D:D,0))</f>
        <v/>
      </c>
      <c r="F2153" s="39" t="inlineStr">
        <is>
          <t>카페24</t>
        </is>
      </c>
      <c r="G2153" s="39" t="inlineStr">
        <is>
          <t>유즈 솔리드퍼퓸 - 30ml (스테이포에버 주문 시 12/14 부터 순차배송)향=스테이포에버, 세트 선택=1 개</t>
        </is>
      </c>
      <c r="H2153" s="39" t="n">
        <v>1</v>
      </c>
      <c r="I2153" s="36">
        <f>VLOOKUP(G2153,매칭테이블!D:E,2,0)</f>
        <v/>
      </c>
      <c r="J2153" s="39" t="n">
        <v>201210</v>
      </c>
      <c r="L2153" s="36">
        <f>VLOOKUP($P2153,매칭테이블!$G:$J,2,0)*H2153</f>
        <v/>
      </c>
      <c r="M2153" s="36">
        <f>L2153-L2153*VLOOKUP($P2153,매칭테이블!$G:$J,3,0)</f>
        <v/>
      </c>
      <c r="N2153" s="36">
        <f>VLOOKUP($P2153,매칭테이블!$G:$J,4,0)*H2153</f>
        <v/>
      </c>
      <c r="O2153" s="52">
        <f>L2153/1.1</f>
        <v/>
      </c>
      <c r="P2153" s="36">
        <f>F2153&amp;E2153&amp;G2153&amp;J2153</f>
        <v/>
      </c>
    </row>
    <row r="2154">
      <c r="B2154" s="51" t="n">
        <v>44171</v>
      </c>
      <c r="C2154" s="36">
        <f>TEXT(B2154,"aaa")</f>
        <v/>
      </c>
      <c r="E2154" s="36">
        <f>INDEX(매칭테이블!C:C,MATCH(RD!G2154,매칭테이블!D:D,0))</f>
        <v/>
      </c>
      <c r="F2154" s="39" t="inlineStr">
        <is>
          <t>카페24</t>
        </is>
      </c>
      <c r="G2154" s="39" t="inlineStr">
        <is>
          <t>유즈 솔리드퍼퓸 - 30ml (스테이포에버 주문 시 12/14 순차배송)향=이그나이트, 세트 선택=1 개</t>
        </is>
      </c>
      <c r="H2154" s="39" t="n">
        <v>1</v>
      </c>
      <c r="I2154" s="36">
        <f>VLOOKUP(G2154,매칭테이블!D:E,2,0)</f>
        <v/>
      </c>
      <c r="J2154" s="39" t="n">
        <v>201210</v>
      </c>
      <c r="L2154" s="36">
        <f>VLOOKUP($P2154,매칭테이블!$G:$J,2,0)*H2154</f>
        <v/>
      </c>
      <c r="M2154" s="36">
        <f>L2154-L2154*VLOOKUP($P2154,매칭테이블!$G:$J,3,0)</f>
        <v/>
      </c>
      <c r="N2154" s="36">
        <f>VLOOKUP($P2154,매칭테이블!$G:$J,4,0)*H2154</f>
        <v/>
      </c>
      <c r="O2154" s="52">
        <f>L2154/1.1</f>
        <v/>
      </c>
      <c r="P2154" s="36">
        <f>F2154&amp;E2154&amp;G2154&amp;J2154</f>
        <v/>
      </c>
    </row>
    <row r="2155">
      <c r="B2155" s="51" t="n">
        <v>44171</v>
      </c>
      <c r="C2155" s="36">
        <f>TEXT(B2155,"aaa")</f>
        <v/>
      </c>
      <c r="E2155" s="36">
        <f>INDEX(매칭테이블!C:C,MATCH(RD!G2155,매칭테이블!D:D,0))</f>
        <v/>
      </c>
      <c r="F2155" s="39" t="inlineStr">
        <is>
          <t>카페24</t>
        </is>
      </c>
      <c r="G2155" s="39" t="inlineStr">
        <is>
          <t>유즈 솔리드퍼퓸 - 30ml (스테이포에버 주문 시 12/14 순차배송)향=스테이포에버, 세트 선택=1 개</t>
        </is>
      </c>
      <c r="H2155" s="39" t="n">
        <v>11</v>
      </c>
      <c r="I2155" s="36">
        <f>VLOOKUP(G2155,매칭테이블!D:E,2,0)</f>
        <v/>
      </c>
      <c r="J2155" s="39" t="n">
        <v>201210</v>
      </c>
      <c r="L2155" s="36">
        <f>VLOOKUP($P2155,매칭테이블!$G:$J,2,0)*H2155</f>
        <v/>
      </c>
      <c r="M2155" s="36">
        <f>L2155-L2155*VLOOKUP($P2155,매칭테이블!$G:$J,3,0)</f>
        <v/>
      </c>
      <c r="N2155" s="36">
        <f>VLOOKUP($P2155,매칭테이블!$G:$J,4,0)*H2155</f>
        <v/>
      </c>
      <c r="O2155" s="52">
        <f>L2155/1.1</f>
        <v/>
      </c>
      <c r="P2155" s="36">
        <f>F2155&amp;E2155&amp;G2155&amp;J2155</f>
        <v/>
      </c>
    </row>
    <row r="2156">
      <c r="B2156" s="51" t="n">
        <v>44171</v>
      </c>
      <c r="C2156" s="36">
        <f>TEXT(B2156,"aaa")</f>
        <v/>
      </c>
      <c r="E2156" s="36">
        <f>INDEX(매칭테이블!C:C,MATCH(RD!G2156,매칭테이블!D:D,0))</f>
        <v/>
      </c>
      <c r="F2156" s="39" t="inlineStr">
        <is>
          <t>카페24</t>
        </is>
      </c>
      <c r="G2156" s="39" t="inlineStr">
        <is>
          <t>유즈 솔리드퍼퓸 - 30ml (스테이포에버 주문 시 12/14 순차배송)향=스테이포에버, 세트 선택=2개 (28% off)</t>
        </is>
      </c>
      <c r="H2156" s="39" t="n">
        <v>3</v>
      </c>
      <c r="I2156" s="36">
        <f>VLOOKUP(G2156,매칭테이블!D:E,2,0)</f>
        <v/>
      </c>
      <c r="J2156" s="39" t="n">
        <v>201210</v>
      </c>
      <c r="L2156" s="36">
        <f>VLOOKUP($P2156,매칭테이블!$G:$J,2,0)*H2156</f>
        <v/>
      </c>
      <c r="M2156" s="36">
        <f>L2156-L2156*VLOOKUP($P2156,매칭테이블!$G:$J,3,0)</f>
        <v/>
      </c>
      <c r="N2156" s="36">
        <f>VLOOKUP($P2156,매칭테이블!$G:$J,4,0)*H2156</f>
        <v/>
      </c>
      <c r="O2156" s="52">
        <f>L2156/1.1</f>
        <v/>
      </c>
      <c r="P2156" s="36">
        <f>F2156&amp;E2156&amp;G2156&amp;J2156</f>
        <v/>
      </c>
    </row>
    <row r="2157">
      <c r="B2157" s="51" t="n">
        <v>44171</v>
      </c>
      <c r="C2157" s="36">
        <f>TEXT(B2157,"aaa")</f>
        <v/>
      </c>
      <c r="E2157" s="36">
        <f>INDEX(매칭테이블!C:C,MATCH(RD!G2157,매칭테이블!D:D,0))</f>
        <v/>
      </c>
      <c r="F2157" s="39" t="inlineStr">
        <is>
          <t>카페24</t>
        </is>
      </c>
      <c r="G2157" s="39" t="inlineStr">
        <is>
          <t>유즈 솔리드퍼퓸 - 30ml (스테이포에버 주문 시 12/14 순차배송)향=이그나이트 + 스테이포에버, 세트 선택=1 SET</t>
        </is>
      </c>
      <c r="H2157" s="39" t="n">
        <v>7</v>
      </c>
      <c r="I2157" s="36">
        <f>VLOOKUP(G2157,매칭테이블!D:E,2,0)</f>
        <v/>
      </c>
      <c r="J2157" s="39" t="n">
        <v>201210</v>
      </c>
      <c r="L2157" s="36">
        <f>VLOOKUP($P2157,매칭테이블!$G:$J,2,0)*H2157</f>
        <v/>
      </c>
      <c r="M2157" s="36">
        <f>L2157-L2157*VLOOKUP($P2157,매칭테이블!$G:$J,3,0)</f>
        <v/>
      </c>
      <c r="N2157" s="36">
        <f>VLOOKUP($P2157,매칭테이블!$G:$J,4,0)*H2157</f>
        <v/>
      </c>
      <c r="O2157" s="52">
        <f>L2157/1.1</f>
        <v/>
      </c>
      <c r="P2157" s="36">
        <f>F2157&amp;E2157&amp;G2157&amp;J2157</f>
        <v/>
      </c>
    </row>
    <row r="2158">
      <c r="B2158" s="51" t="n">
        <v>44171</v>
      </c>
      <c r="C2158" s="36">
        <f>TEXT(B2158,"aaa")</f>
        <v/>
      </c>
      <c r="E2158" s="36">
        <f>INDEX(매칭테이블!C:C,MATCH(RD!G2158,매칭테이블!D:D,0))</f>
        <v/>
      </c>
      <c r="F2158" s="39" t="inlineStr">
        <is>
          <t>카페24</t>
        </is>
      </c>
      <c r="G2158" s="39" t="inlineStr">
        <is>
          <t>유즈 스테이포에버 솔리드퍼퓸 002 (12/4 부터 순차배송)제품선택=스테이포에버 + 이그나이트 세트</t>
        </is>
      </c>
      <c r="H2158" s="39" t="n">
        <v>1</v>
      </c>
      <c r="I2158" s="36">
        <f>VLOOKUP(G2158,매칭테이블!D:E,2,0)</f>
        <v/>
      </c>
      <c r="J2158" s="39" t="n">
        <v>201210</v>
      </c>
      <c r="L2158" s="36">
        <f>VLOOKUP($P2158,매칭테이블!$G:$J,2,0)*H2158</f>
        <v/>
      </c>
      <c r="M2158" s="36">
        <f>L2158-L2158*VLOOKUP($P2158,매칭테이블!$G:$J,3,0)</f>
        <v/>
      </c>
      <c r="N2158" s="36">
        <f>VLOOKUP($P2158,매칭테이블!$G:$J,4,0)*H2158</f>
        <v/>
      </c>
      <c r="O2158" s="52">
        <f>L2158/1.1</f>
        <v/>
      </c>
      <c r="P2158" s="36">
        <f>F2158&amp;E2158&amp;G2158&amp;J2158</f>
        <v/>
      </c>
    </row>
    <row r="2159">
      <c r="B2159" s="51" t="n">
        <v>44171</v>
      </c>
      <c r="C2159" s="36">
        <f>TEXT(B2159,"aaa")</f>
        <v/>
      </c>
      <c r="E2159" s="36">
        <f>INDEX(매칭테이블!C:C,MATCH(RD!G2159,매칭테이블!D:D,0))</f>
        <v/>
      </c>
      <c r="F2159" s="39" t="inlineStr">
        <is>
          <t>카페24</t>
        </is>
      </c>
      <c r="G2159" s="39" t="inlineStr">
        <is>
          <t>유즈 스테이포에버 솔리드퍼퓸 002 (스테이포에버 주문시 12/14 순차배송)제품선택=스테이포에버 솔리드퍼퓸 002[Pre-order 이벤트 17% 할인]</t>
        </is>
      </c>
      <c r="H2159" s="39" t="n">
        <v>189</v>
      </c>
      <c r="I2159" s="36">
        <f>VLOOKUP(G2159,매칭테이블!D:E,2,0)</f>
        <v/>
      </c>
      <c r="J2159" s="39" t="n">
        <v>201210</v>
      </c>
      <c r="L2159" s="36">
        <f>VLOOKUP($P2159,매칭테이블!$G:$J,2,0)*H2159</f>
        <v/>
      </c>
      <c r="M2159" s="36">
        <f>L2159-L2159*VLOOKUP($P2159,매칭테이블!$G:$J,3,0)</f>
        <v/>
      </c>
      <c r="N2159" s="36">
        <f>VLOOKUP($P2159,매칭테이블!$G:$J,4,0)*H2159</f>
        <v/>
      </c>
      <c r="O2159" s="52">
        <f>L2159/1.1</f>
        <v/>
      </c>
      <c r="P2159" s="36">
        <f>F2159&amp;E2159&amp;G2159&amp;J2159</f>
        <v/>
      </c>
    </row>
    <row r="2160">
      <c r="B2160" s="51" t="n">
        <v>44171</v>
      </c>
      <c r="C2160" s="36">
        <f>TEXT(B2160,"aaa")</f>
        <v/>
      </c>
      <c r="E2160" s="36">
        <f>INDEX(매칭테이블!C:C,MATCH(RD!G2160,매칭테이블!D:D,0))</f>
        <v/>
      </c>
      <c r="F2160" s="39" t="inlineStr">
        <is>
          <t>카페24</t>
        </is>
      </c>
      <c r="G2160" s="39" t="inlineStr">
        <is>
          <t>유즈 스테이포에버 솔리드퍼퓸 002 (스테이포에버 주문시 12/14 순차배송)제품선택=스테이포에버 2개 세트[Pre-order 이벤트 28% 할인]</t>
        </is>
      </c>
      <c r="H2160" s="39" t="n">
        <v>73</v>
      </c>
      <c r="I2160" s="36">
        <f>VLOOKUP(G2160,매칭테이블!D:E,2,0)</f>
        <v/>
      </c>
      <c r="J2160" s="39" t="n">
        <v>201210</v>
      </c>
      <c r="L2160" s="36">
        <f>VLOOKUP($P2160,매칭테이블!$G:$J,2,0)*H2160</f>
        <v/>
      </c>
      <c r="M2160" s="36">
        <f>L2160-L2160*VLOOKUP($P2160,매칭테이블!$G:$J,3,0)</f>
        <v/>
      </c>
      <c r="N2160" s="36">
        <f>VLOOKUP($P2160,매칭테이블!$G:$J,4,0)*H2160</f>
        <v/>
      </c>
      <c r="O2160" s="52">
        <f>L2160/1.1</f>
        <v/>
      </c>
      <c r="P2160" s="36">
        <f>F2160&amp;E2160&amp;G2160&amp;J2160</f>
        <v/>
      </c>
    </row>
    <row r="2161">
      <c r="B2161" s="51" t="n">
        <v>44171</v>
      </c>
      <c r="C2161" s="36">
        <f>TEXT(B2161,"aaa")</f>
        <v/>
      </c>
      <c r="E2161" s="36">
        <f>INDEX(매칭테이블!C:C,MATCH(RD!G2161,매칭테이블!D:D,0))</f>
        <v/>
      </c>
      <c r="F2161" s="39" t="inlineStr">
        <is>
          <t>카페24</t>
        </is>
      </c>
      <c r="G2161" s="39" t="inlineStr">
        <is>
          <t>유즈 스테이포에버 솔리드퍼퓸 002 (스테이포에버 주문시 12/14 순차배송)제품선택=스테이포에버 + 이그나이트 세트</t>
        </is>
      </c>
      <c r="H2161" s="39" t="n">
        <v>17</v>
      </c>
      <c r="I2161" s="36">
        <f>VLOOKUP(G2161,매칭테이블!D:E,2,0)</f>
        <v/>
      </c>
      <c r="J2161" s="39" t="n">
        <v>201210</v>
      </c>
      <c r="L2161" s="36">
        <f>VLOOKUP($P2161,매칭테이블!$G:$J,2,0)*H2161</f>
        <v/>
      </c>
      <c r="M2161" s="36">
        <f>L2161-L2161*VLOOKUP($P2161,매칭테이블!$G:$J,3,0)</f>
        <v/>
      </c>
      <c r="N2161" s="36">
        <f>VLOOKUP($P2161,매칭테이블!$G:$J,4,0)*H2161</f>
        <v/>
      </c>
      <c r="O2161" s="52">
        <f>L2161/1.1</f>
        <v/>
      </c>
      <c r="P2161" s="36">
        <f>F2161&amp;E2161&amp;G2161&amp;J2161</f>
        <v/>
      </c>
    </row>
    <row r="2162">
      <c r="B2162" s="51" t="n">
        <v>44171</v>
      </c>
      <c r="C2162" s="36">
        <f>TEXT(B2162,"aaa")</f>
        <v/>
      </c>
      <c r="E2162" s="36">
        <f>INDEX(매칭테이블!C:C,MATCH(RD!G2162,매칭테이블!D:D,0))</f>
        <v/>
      </c>
      <c r="F2162" s="39" t="inlineStr">
        <is>
          <t>카페24</t>
        </is>
      </c>
      <c r="G2162" s="39" t="inlineStr">
        <is>
          <t>유즈 스테이포에버 솔리드퍼퓸 002 (스테이포에버 주문시 12/14 순차배송)쇼핑백=선물용 쇼핑백</t>
        </is>
      </c>
      <c r="H2162" s="39" t="n">
        <v>8</v>
      </c>
      <c r="I2162" s="36">
        <f>VLOOKUP(G2162,매칭테이블!D:E,2,0)</f>
        <v/>
      </c>
      <c r="J2162" s="39" t="n">
        <v>201210</v>
      </c>
      <c r="L2162" s="36">
        <f>VLOOKUP($P2162,매칭테이블!$G:$J,2,0)*H2162</f>
        <v/>
      </c>
      <c r="M2162" s="36">
        <f>L2162-L2162*VLOOKUP($P2162,매칭테이블!$G:$J,3,0)</f>
        <v/>
      </c>
      <c r="N2162" s="36">
        <f>VLOOKUP($P2162,매칭테이블!$G:$J,4,0)*H2162</f>
        <v/>
      </c>
      <c r="O2162" s="52">
        <f>L2162/1.1</f>
        <v/>
      </c>
      <c r="P2162" s="36">
        <f>F2162&amp;E2162&amp;G2162&amp;J2162</f>
        <v/>
      </c>
    </row>
    <row r="2163">
      <c r="B2163" s="51" t="n">
        <v>44171</v>
      </c>
      <c r="C2163" s="36">
        <f>TEXT(B2163,"aaa")</f>
        <v/>
      </c>
      <c r="E2163" s="36">
        <f>INDEX(매칭테이블!C:C,MATCH(RD!G2163,매칭테이블!D:D,0))</f>
        <v/>
      </c>
      <c r="F2163" s="39" t="inlineStr">
        <is>
          <t>카페24</t>
        </is>
      </c>
      <c r="G2163" s="39" t="inlineStr">
        <is>
          <t>유즈 이그나이트 솔리드퍼퓸 001제품선택=이그나이트 솔리드퍼퓸 - 30ml</t>
        </is>
      </c>
      <c r="H2163" s="39" t="n">
        <v>2</v>
      </c>
      <c r="I2163" s="36">
        <f>VLOOKUP(G2163,매칭테이블!D:E,2,0)</f>
        <v/>
      </c>
      <c r="J2163" s="39" t="n">
        <v>201210</v>
      </c>
      <c r="L2163" s="36">
        <f>VLOOKUP($P2163,매칭테이블!$G:$J,2,0)*H2163</f>
        <v/>
      </c>
      <c r="M2163" s="36">
        <f>L2163-L2163*VLOOKUP($P2163,매칭테이블!$G:$J,3,0)</f>
        <v/>
      </c>
      <c r="N2163" s="36">
        <f>VLOOKUP($P2163,매칭테이블!$G:$J,4,0)*H2163</f>
        <v/>
      </c>
      <c r="O2163" s="52">
        <f>L2163/1.1</f>
        <v/>
      </c>
      <c r="P2163" s="36">
        <f>F2163&amp;E2163&amp;G2163&amp;J2163</f>
        <v/>
      </c>
    </row>
    <row r="2164">
      <c r="B2164" s="51" t="n">
        <v>44171</v>
      </c>
      <c r="C2164" s="36">
        <f>TEXT(B2164,"aaa")</f>
        <v/>
      </c>
      <c r="E2164" s="36">
        <f>INDEX(매칭테이블!C:C,MATCH(RD!G2164,매칭테이블!D:D,0))</f>
        <v/>
      </c>
      <c r="F2164" s="39" t="inlineStr">
        <is>
          <t>카페24</t>
        </is>
      </c>
      <c r="G2164" s="39" t="inlineStr">
        <is>
          <t>유즈 이그나이트 솔리드퍼퓸 001제품선택=이그나이트 2개 세트</t>
        </is>
      </c>
      <c r="H2164" s="39" t="n">
        <v>2</v>
      </c>
      <c r="I2164" s="36">
        <f>VLOOKUP(G2164,매칭테이블!D:E,2,0)</f>
        <v/>
      </c>
      <c r="J2164" s="39" t="n">
        <v>201210</v>
      </c>
      <c r="L2164" s="36">
        <f>VLOOKUP($P2164,매칭테이블!$G:$J,2,0)*H2164</f>
        <v/>
      </c>
      <c r="M2164" s="36">
        <f>L2164-L2164*VLOOKUP($P2164,매칭테이블!$G:$J,3,0)</f>
        <v/>
      </c>
      <c r="N2164" s="36">
        <f>VLOOKUP($P2164,매칭테이블!$G:$J,4,0)*H2164</f>
        <v/>
      </c>
      <c r="O2164" s="52">
        <f>L2164/1.1</f>
        <v/>
      </c>
      <c r="P2164" s="36">
        <f>F2164&amp;E2164&amp;G2164&amp;J2164</f>
        <v/>
      </c>
    </row>
    <row r="2165">
      <c r="B2165" s="51" t="n">
        <v>44173</v>
      </c>
      <c r="C2165" s="36">
        <f>TEXT(B2165,"aaa")</f>
        <v/>
      </c>
      <c r="E2165" s="36">
        <f>INDEX(매칭테이블!C:C,MATCH(RD!G2165,매칭테이블!D:D,0))</f>
        <v/>
      </c>
      <c r="F2165" s="39" t="inlineStr">
        <is>
          <t>카페24</t>
        </is>
      </c>
      <c r="G2165" s="39" t="inlineStr">
        <is>
          <t>유즈 솔리드퍼퓸 - 30ml (스테이포에버 주문 시 12/15 순차배송)향=스테이포에버, 세트 선택=1 개</t>
        </is>
      </c>
      <c r="H2165" s="39" t="n">
        <v>8</v>
      </c>
      <c r="I2165" s="36">
        <f>VLOOKUP(G2165,매칭테이블!D:E,2,0)</f>
        <v/>
      </c>
      <c r="J2165" s="39" t="n">
        <v>201210</v>
      </c>
      <c r="L2165" s="36">
        <f>VLOOKUP($P2165,매칭테이블!$G:$J,2,0)*H2165</f>
        <v/>
      </c>
      <c r="M2165" s="36">
        <f>L2165-L2165*VLOOKUP($P2165,매칭테이블!$G:$J,3,0)</f>
        <v/>
      </c>
      <c r="N2165" s="36">
        <f>VLOOKUP($P2165,매칭테이블!$G:$J,4,0)*H2165</f>
        <v/>
      </c>
      <c r="O2165" s="52">
        <f>L2165/1.1</f>
        <v/>
      </c>
      <c r="P2165" s="36">
        <f>F2165&amp;E2165&amp;G2165&amp;J2165</f>
        <v/>
      </c>
    </row>
    <row r="2166">
      <c r="B2166" s="51" t="n">
        <v>44173</v>
      </c>
      <c r="C2166" s="36">
        <f>TEXT(B2166,"aaa")</f>
        <v/>
      </c>
      <c r="E2166" s="36">
        <f>INDEX(매칭테이블!C:C,MATCH(RD!G2166,매칭테이블!D:D,0))</f>
        <v/>
      </c>
      <c r="F2166" s="39" t="inlineStr">
        <is>
          <t>카페24</t>
        </is>
      </c>
      <c r="G2166" s="39" t="inlineStr">
        <is>
          <t>유즈 솔리드퍼퓸 - 30ml (스테이포에버 주문 시 12/15 순차배송)향=스테이포에버, 세트 선택=2개 (28% off)</t>
        </is>
      </c>
      <c r="H2166" s="39" t="n">
        <v>4</v>
      </c>
      <c r="I2166" s="36">
        <f>VLOOKUP(G2166,매칭테이블!D:E,2,0)</f>
        <v/>
      </c>
      <c r="J2166" s="39" t="n">
        <v>201210</v>
      </c>
      <c r="L2166" s="36">
        <f>VLOOKUP($P2166,매칭테이블!$G:$J,2,0)*H2166</f>
        <v/>
      </c>
      <c r="M2166" s="36">
        <f>L2166-L2166*VLOOKUP($P2166,매칭테이블!$G:$J,3,0)</f>
        <v/>
      </c>
      <c r="N2166" s="36">
        <f>VLOOKUP($P2166,매칭테이블!$G:$J,4,0)*H2166</f>
        <v/>
      </c>
      <c r="O2166" s="52">
        <f>L2166/1.1</f>
        <v/>
      </c>
      <c r="P2166" s="36">
        <f>F2166&amp;E2166&amp;G2166&amp;J2166</f>
        <v/>
      </c>
    </row>
    <row r="2167">
      <c r="B2167" s="51" t="n">
        <v>44173</v>
      </c>
      <c r="C2167" s="36">
        <f>TEXT(B2167,"aaa")</f>
        <v/>
      </c>
      <c r="E2167" s="36">
        <f>INDEX(매칭테이블!C:C,MATCH(RD!G2167,매칭테이블!D:D,0))</f>
        <v/>
      </c>
      <c r="F2167" s="39" t="inlineStr">
        <is>
          <t>카페24</t>
        </is>
      </c>
      <c r="G2167" s="39" t="inlineStr">
        <is>
          <t>유즈 솔리드퍼퓸 - 30ml (스테이포에버 주문 시 12/15 순차배송)향=이그나이트 + 스테이포에버, 세트 선택=1 SET</t>
        </is>
      </c>
      <c r="H2167" s="39" t="n">
        <v>4</v>
      </c>
      <c r="I2167" s="36">
        <f>VLOOKUP(G2167,매칭테이블!D:E,2,0)</f>
        <v/>
      </c>
      <c r="J2167" s="39" t="n">
        <v>201210</v>
      </c>
      <c r="L2167" s="36">
        <f>VLOOKUP($P2167,매칭테이블!$G:$J,2,0)*H2167</f>
        <v/>
      </c>
      <c r="M2167" s="36">
        <f>L2167-L2167*VLOOKUP($P2167,매칭테이블!$G:$J,3,0)</f>
        <v/>
      </c>
      <c r="N2167" s="36">
        <f>VLOOKUP($P2167,매칭테이블!$G:$J,4,0)*H2167</f>
        <v/>
      </c>
      <c r="O2167" s="52">
        <f>L2167/1.1</f>
        <v/>
      </c>
      <c r="P2167" s="36">
        <f>F2167&amp;E2167&amp;G2167&amp;J2167</f>
        <v/>
      </c>
    </row>
    <row r="2168">
      <c r="B2168" s="51" t="n">
        <v>44173</v>
      </c>
      <c r="C2168" s="36">
        <f>TEXT(B2168,"aaa")</f>
        <v/>
      </c>
      <c r="E2168" s="36">
        <f>INDEX(매칭테이블!C:C,MATCH(RD!G2168,매칭테이블!D:D,0))</f>
        <v/>
      </c>
      <c r="F2168" s="39" t="inlineStr">
        <is>
          <t>카페24</t>
        </is>
      </c>
      <c r="G2168" s="39" t="inlineStr">
        <is>
          <t>유즈 솔리드퍼퓸 - 30ml (스테이포에버 주문 시 12/15 순차배송)향=이그나이트 + 스테이포에버, 세트 선택=2 SET (42% off)</t>
        </is>
      </c>
      <c r="H2168" s="39" t="n">
        <v>1</v>
      </c>
      <c r="I2168" s="36">
        <f>VLOOKUP(G2168,매칭테이블!D:E,2,0)</f>
        <v/>
      </c>
      <c r="J2168" s="39" t="n">
        <v>201210</v>
      </c>
      <c r="L2168" s="36">
        <f>VLOOKUP($P2168,매칭테이블!$G:$J,2,0)*H2168</f>
        <v/>
      </c>
      <c r="M2168" s="36">
        <f>L2168-L2168*VLOOKUP($P2168,매칭테이블!$G:$J,3,0)</f>
        <v/>
      </c>
      <c r="N2168" s="36">
        <f>VLOOKUP($P2168,매칭테이블!$G:$J,4,0)*H2168</f>
        <v/>
      </c>
      <c r="O2168" s="52">
        <f>L2168/1.1</f>
        <v/>
      </c>
      <c r="P2168" s="36">
        <f>F2168&amp;E2168&amp;G2168&amp;J2168</f>
        <v/>
      </c>
    </row>
    <row r="2169">
      <c r="B2169" s="51" t="n">
        <v>44173</v>
      </c>
      <c r="C2169" s="36">
        <f>TEXT(B2169,"aaa")</f>
        <v/>
      </c>
      <c r="E2169" s="36">
        <f>INDEX(매칭테이블!C:C,MATCH(RD!G2169,매칭테이블!D:D,0))</f>
        <v/>
      </c>
      <c r="F2169" s="39" t="inlineStr">
        <is>
          <t>카페24</t>
        </is>
      </c>
      <c r="G2169" s="39" t="inlineStr">
        <is>
          <t>유즈 스테이포에버 솔리드퍼퓸 002 (스테이포에버 주문시 12/14 순차배송)제품선택=스테이포에버 2개 세트[Pre-order 이벤트 28% 할인]</t>
        </is>
      </c>
      <c r="H2169" s="39" t="n">
        <v>3</v>
      </c>
      <c r="I2169" s="36">
        <f>VLOOKUP(G2169,매칭테이블!D:E,2,0)</f>
        <v/>
      </c>
      <c r="J2169" s="39" t="n">
        <v>201210</v>
      </c>
      <c r="L2169" s="36">
        <f>VLOOKUP($P2169,매칭테이블!$G:$J,2,0)*H2169</f>
        <v/>
      </c>
      <c r="M2169" s="36">
        <f>L2169-L2169*VLOOKUP($P2169,매칭테이블!$G:$J,3,0)</f>
        <v/>
      </c>
      <c r="N2169" s="36">
        <f>VLOOKUP($P2169,매칭테이블!$G:$J,4,0)*H2169</f>
        <v/>
      </c>
      <c r="O2169" s="52">
        <f>L2169/1.1</f>
        <v/>
      </c>
      <c r="P2169" s="36">
        <f>F2169&amp;E2169&amp;G2169&amp;J2169</f>
        <v/>
      </c>
    </row>
    <row r="2170">
      <c r="B2170" s="51" t="n">
        <v>44173</v>
      </c>
      <c r="C2170" s="36">
        <f>TEXT(B2170,"aaa")</f>
        <v/>
      </c>
      <c r="E2170" s="36">
        <f>INDEX(매칭테이블!C:C,MATCH(RD!G2170,매칭테이블!D:D,0))</f>
        <v/>
      </c>
      <c r="F2170" s="39" t="inlineStr">
        <is>
          <t>카페24</t>
        </is>
      </c>
      <c r="G2170" s="39" t="inlineStr">
        <is>
          <t>유즈 스테이포에버 솔리드퍼퓸 002 (스테이포에버 주문시 12/15 순차배송)제품선택=스테이포에버 솔리드퍼퓸 002[Pre-order 이벤트 17% 할인]</t>
        </is>
      </c>
      <c r="H2170" s="39" t="n">
        <v>148</v>
      </c>
      <c r="I2170" s="36">
        <f>VLOOKUP(G2170,매칭테이블!D:E,2,0)</f>
        <v/>
      </c>
      <c r="J2170" s="39" t="n">
        <v>201210</v>
      </c>
      <c r="L2170" s="36">
        <f>VLOOKUP($P2170,매칭테이블!$G:$J,2,0)*H2170</f>
        <v/>
      </c>
      <c r="M2170" s="36">
        <f>L2170-L2170*VLOOKUP($P2170,매칭테이블!$G:$J,3,0)</f>
        <v/>
      </c>
      <c r="N2170" s="36">
        <f>VLOOKUP($P2170,매칭테이블!$G:$J,4,0)*H2170</f>
        <v/>
      </c>
      <c r="O2170" s="52">
        <f>L2170/1.1</f>
        <v/>
      </c>
      <c r="P2170" s="36">
        <f>F2170&amp;E2170&amp;G2170&amp;J2170</f>
        <v/>
      </c>
    </row>
    <row r="2171">
      <c r="B2171" s="51" t="n">
        <v>44173</v>
      </c>
      <c r="C2171" s="36">
        <f>TEXT(B2171,"aaa")</f>
        <v/>
      </c>
      <c r="E2171" s="36">
        <f>INDEX(매칭테이블!C:C,MATCH(RD!G2171,매칭테이블!D:D,0))</f>
        <v/>
      </c>
      <c r="F2171" s="39" t="inlineStr">
        <is>
          <t>카페24</t>
        </is>
      </c>
      <c r="G2171" s="39" t="inlineStr">
        <is>
          <t>유즈 스테이포에버 솔리드퍼퓸 002 (스테이포에버 주문시 12/15 순차배송)제품선택=스테이포에버 2개 세트[Pre-order 이벤트 28% 할인]</t>
        </is>
      </c>
      <c r="H2171" s="39" t="n">
        <v>59</v>
      </c>
      <c r="I2171" s="36">
        <f>VLOOKUP(G2171,매칭테이블!D:E,2,0)</f>
        <v/>
      </c>
      <c r="J2171" s="39" t="n">
        <v>201210</v>
      </c>
      <c r="L2171" s="36">
        <f>VLOOKUP($P2171,매칭테이블!$G:$J,2,0)*H2171</f>
        <v/>
      </c>
      <c r="M2171" s="36">
        <f>L2171-L2171*VLOOKUP($P2171,매칭테이블!$G:$J,3,0)</f>
        <v/>
      </c>
      <c r="N2171" s="36">
        <f>VLOOKUP($P2171,매칭테이블!$G:$J,4,0)*H2171</f>
        <v/>
      </c>
      <c r="O2171" s="52">
        <f>L2171/1.1</f>
        <v/>
      </c>
      <c r="P2171" s="36">
        <f>F2171&amp;E2171&amp;G2171&amp;J2171</f>
        <v/>
      </c>
    </row>
    <row r="2172">
      <c r="B2172" s="51" t="n">
        <v>44173</v>
      </c>
      <c r="C2172" s="36">
        <f>TEXT(B2172,"aaa")</f>
        <v/>
      </c>
      <c r="E2172" s="36">
        <f>INDEX(매칭테이블!C:C,MATCH(RD!G2172,매칭테이블!D:D,0))</f>
        <v/>
      </c>
      <c r="F2172" s="39" t="inlineStr">
        <is>
          <t>카페24</t>
        </is>
      </c>
      <c r="G2172" s="39" t="inlineStr">
        <is>
          <t>유즈 스테이포에버 솔리드퍼퓸 002 (스테이포에버 주문시 12/15 순차배송)제품선택=스테이포에버 + 이그나이트 세트</t>
        </is>
      </c>
      <c r="H2172" s="39" t="n">
        <v>11</v>
      </c>
      <c r="I2172" s="36">
        <f>VLOOKUP(G2172,매칭테이블!D:E,2,0)</f>
        <v/>
      </c>
      <c r="J2172" s="39" t="n">
        <v>201210</v>
      </c>
      <c r="L2172" s="36">
        <f>VLOOKUP($P2172,매칭테이블!$G:$J,2,0)*H2172</f>
        <v/>
      </c>
      <c r="M2172" s="36">
        <f>L2172-L2172*VLOOKUP($P2172,매칭테이블!$G:$J,3,0)</f>
        <v/>
      </c>
      <c r="N2172" s="36">
        <f>VLOOKUP($P2172,매칭테이블!$G:$J,4,0)*H2172</f>
        <v/>
      </c>
      <c r="O2172" s="52">
        <f>L2172/1.1</f>
        <v/>
      </c>
      <c r="P2172" s="36">
        <f>F2172&amp;E2172&amp;G2172&amp;J2172</f>
        <v/>
      </c>
    </row>
    <row r="2173">
      <c r="B2173" s="51" t="n">
        <v>44173</v>
      </c>
      <c r="C2173" s="36">
        <f>TEXT(B2173,"aaa")</f>
        <v/>
      </c>
      <c r="E2173" s="36">
        <f>INDEX(매칭테이블!C:C,MATCH(RD!G2173,매칭테이블!D:D,0))</f>
        <v/>
      </c>
      <c r="F2173" s="39" t="inlineStr">
        <is>
          <t>카페24</t>
        </is>
      </c>
      <c r="G2173" s="39" t="inlineStr">
        <is>
          <t>유즈 스테이포에버 솔리드퍼퓸 002 (스테이포에버 주문시 12/15 순차배송)쇼핑백=선물용 쇼핑백</t>
        </is>
      </c>
      <c r="H2173" s="39" t="n">
        <v>3</v>
      </c>
      <c r="I2173" s="36">
        <f>VLOOKUP(G2173,매칭테이블!D:E,2,0)</f>
        <v/>
      </c>
      <c r="J2173" s="39" t="n">
        <v>201210</v>
      </c>
      <c r="L2173" s="36">
        <f>VLOOKUP($P2173,매칭테이블!$G:$J,2,0)*H2173</f>
        <v/>
      </c>
      <c r="M2173" s="36">
        <f>L2173-L2173*VLOOKUP($P2173,매칭테이블!$G:$J,3,0)</f>
        <v/>
      </c>
      <c r="N2173" s="36">
        <f>VLOOKUP($P2173,매칭테이블!$G:$J,4,0)*H2173</f>
        <v/>
      </c>
      <c r="O2173" s="52">
        <f>L2173/1.1</f>
        <v/>
      </c>
      <c r="P2173" s="36">
        <f>F2173&amp;E2173&amp;G2173&amp;J2173</f>
        <v/>
      </c>
    </row>
    <row r="2174">
      <c r="B2174" s="51" t="n">
        <v>44173</v>
      </c>
      <c r="C2174" s="36">
        <f>TEXT(B2174,"aaa")</f>
        <v/>
      </c>
      <c r="E2174" s="36">
        <f>INDEX(매칭테이블!C:C,MATCH(RD!G2174,매칭테이블!D:D,0))</f>
        <v/>
      </c>
      <c r="F2174" s="39" t="inlineStr">
        <is>
          <t>카페24</t>
        </is>
      </c>
      <c r="G2174" s="39" t="inlineStr">
        <is>
          <t>유즈 이그나이트 솔리드퍼퓸 001제품선택=이그나이트 솔리드퍼퓸 - 30ml</t>
        </is>
      </c>
      <c r="H2174" s="39" t="n">
        <v>3</v>
      </c>
      <c r="I2174" s="36">
        <f>VLOOKUP(G2174,매칭테이블!D:E,2,0)</f>
        <v/>
      </c>
      <c r="J2174" s="39" t="n">
        <v>201210</v>
      </c>
      <c r="L2174" s="36">
        <f>VLOOKUP($P2174,매칭테이블!$G:$J,2,0)*H2174</f>
        <v/>
      </c>
      <c r="M2174" s="36">
        <f>L2174-L2174*VLOOKUP($P2174,매칭테이블!$G:$J,3,0)</f>
        <v/>
      </c>
      <c r="N2174" s="36">
        <f>VLOOKUP($P2174,매칭테이블!$G:$J,4,0)*H2174</f>
        <v/>
      </c>
      <c r="O2174" s="52">
        <f>L2174/1.1</f>
        <v/>
      </c>
      <c r="P2174" s="36">
        <f>F2174&amp;E2174&amp;G2174&amp;J2174</f>
        <v/>
      </c>
    </row>
    <row r="2175">
      <c r="B2175" s="51" t="n">
        <v>44174</v>
      </c>
      <c r="C2175" s="36">
        <f>TEXT(B2175,"aaa")</f>
        <v/>
      </c>
      <c r="E2175" s="36">
        <f>INDEX(매칭테이블!C:C,MATCH(RD!G2175,매칭테이블!D:D,0))</f>
        <v/>
      </c>
      <c r="F2175" s="39" t="inlineStr">
        <is>
          <t>카페24</t>
        </is>
      </c>
      <c r="G2175" s="39" t="inlineStr">
        <is>
          <t>유즈 솔리드퍼퓸 - 30ml (스테이포에버 주문 시 12/15 순차배송)향=스테이포에버, 세트 선택=1 개</t>
        </is>
      </c>
      <c r="H2175" s="39" t="n">
        <v>14</v>
      </c>
      <c r="I2175" s="36">
        <f>VLOOKUP(G2175,매칭테이블!D:E,2,0)</f>
        <v/>
      </c>
      <c r="J2175" s="39" t="n">
        <v>201210</v>
      </c>
      <c r="L2175" s="36">
        <f>VLOOKUP($P2175,매칭테이블!$G:$J,2,0)*H2175</f>
        <v/>
      </c>
      <c r="M2175" s="36">
        <f>L2175-L2175*VLOOKUP($P2175,매칭테이블!$G:$J,3,0)</f>
        <v/>
      </c>
      <c r="N2175" s="36">
        <f>VLOOKUP($P2175,매칭테이블!$G:$J,4,0)*H2175</f>
        <v/>
      </c>
      <c r="O2175" s="52">
        <f>L2175/1.1</f>
        <v/>
      </c>
      <c r="P2175" s="36">
        <f>F2175&amp;E2175&amp;G2175&amp;J2175</f>
        <v/>
      </c>
    </row>
    <row r="2176">
      <c r="B2176" s="51" t="n">
        <v>44174</v>
      </c>
      <c r="C2176" s="36">
        <f>TEXT(B2176,"aaa")</f>
        <v/>
      </c>
      <c r="E2176" s="36">
        <f>INDEX(매칭테이블!C:C,MATCH(RD!G2176,매칭테이블!D:D,0))</f>
        <v/>
      </c>
      <c r="F2176" s="39" t="inlineStr">
        <is>
          <t>카페24</t>
        </is>
      </c>
      <c r="G2176" s="39" t="inlineStr">
        <is>
          <t>유즈 솔리드퍼퓸 - 30ml (스테이포에버 주문 시 12/15 순차배송)향=스테이포에버, 세트 선택=2개 (28% off)</t>
        </is>
      </c>
      <c r="H2176" s="39" t="n">
        <v>4</v>
      </c>
      <c r="I2176" s="36">
        <f>VLOOKUP(G2176,매칭테이블!D:E,2,0)</f>
        <v/>
      </c>
      <c r="J2176" s="39" t="n">
        <v>201210</v>
      </c>
      <c r="L2176" s="36">
        <f>VLOOKUP($P2176,매칭테이블!$G:$J,2,0)*H2176</f>
        <v/>
      </c>
      <c r="M2176" s="36">
        <f>L2176-L2176*VLOOKUP($P2176,매칭테이블!$G:$J,3,0)</f>
        <v/>
      </c>
      <c r="N2176" s="36">
        <f>VLOOKUP($P2176,매칭테이블!$G:$J,4,0)*H2176</f>
        <v/>
      </c>
      <c r="O2176" s="52">
        <f>L2176/1.1</f>
        <v/>
      </c>
      <c r="P2176" s="36">
        <f>F2176&amp;E2176&amp;G2176&amp;J2176</f>
        <v/>
      </c>
    </row>
    <row r="2177">
      <c r="B2177" s="51" t="n">
        <v>44174</v>
      </c>
      <c r="C2177" s="36">
        <f>TEXT(B2177,"aaa")</f>
        <v/>
      </c>
      <c r="E2177" s="36">
        <f>INDEX(매칭테이블!C:C,MATCH(RD!G2177,매칭테이블!D:D,0))</f>
        <v/>
      </c>
      <c r="F2177" s="39" t="inlineStr">
        <is>
          <t>카페24</t>
        </is>
      </c>
      <c r="G2177" s="39" t="inlineStr">
        <is>
          <t>유즈 솔리드퍼퓸 - 30ml (스테이포에버 주문 시 12/15 순차배송)향=이그나이트 + 스테이포에버, 세트 선택=1 SET</t>
        </is>
      </c>
      <c r="H2177" s="39" t="n">
        <v>3</v>
      </c>
      <c r="I2177" s="36">
        <f>VLOOKUP(G2177,매칭테이블!D:E,2,0)</f>
        <v/>
      </c>
      <c r="J2177" s="39" t="n">
        <v>201210</v>
      </c>
      <c r="L2177" s="36">
        <f>VLOOKUP($P2177,매칭테이블!$G:$J,2,0)*H2177</f>
        <v/>
      </c>
      <c r="M2177" s="36">
        <f>L2177-L2177*VLOOKUP($P2177,매칭테이블!$G:$J,3,0)</f>
        <v/>
      </c>
      <c r="N2177" s="36">
        <f>VLOOKUP($P2177,매칭테이블!$G:$J,4,0)*H2177</f>
        <v/>
      </c>
      <c r="O2177" s="52">
        <f>L2177/1.1</f>
        <v/>
      </c>
      <c r="P2177" s="36">
        <f>F2177&amp;E2177&amp;G2177&amp;J2177</f>
        <v/>
      </c>
    </row>
    <row r="2178">
      <c r="B2178" s="51" t="n">
        <v>44174</v>
      </c>
      <c r="C2178" s="36">
        <f>TEXT(B2178,"aaa")</f>
        <v/>
      </c>
      <c r="E2178" s="36">
        <f>INDEX(매칭테이블!C:C,MATCH(RD!G2178,매칭테이블!D:D,0))</f>
        <v/>
      </c>
      <c r="F2178" s="39" t="inlineStr">
        <is>
          <t>카페24</t>
        </is>
      </c>
      <c r="G2178" s="39" t="inlineStr">
        <is>
          <t>유즈 솔리드퍼퓸 - 30ml (스테이포에버 주문 시 12/15 순차배송)향=이그나이트 + 스테이포에버, 세트 선택=2 SET (42% off)</t>
        </is>
      </c>
      <c r="H2178" s="39" t="n">
        <v>2</v>
      </c>
      <c r="I2178" s="36">
        <f>VLOOKUP(G2178,매칭테이블!D:E,2,0)</f>
        <v/>
      </c>
      <c r="J2178" s="39" t="n">
        <v>201210</v>
      </c>
      <c r="L2178" s="36">
        <f>VLOOKUP($P2178,매칭테이블!$G:$J,2,0)*H2178</f>
        <v/>
      </c>
      <c r="M2178" s="36">
        <f>L2178-L2178*VLOOKUP($P2178,매칭테이블!$G:$J,3,0)</f>
        <v/>
      </c>
      <c r="N2178" s="36">
        <f>VLOOKUP($P2178,매칭테이블!$G:$J,4,0)*H2178</f>
        <v/>
      </c>
      <c r="O2178" s="52">
        <f>L2178/1.1</f>
        <v/>
      </c>
      <c r="P2178" s="36">
        <f>F2178&amp;E2178&amp;G2178&amp;J2178</f>
        <v/>
      </c>
    </row>
    <row r="2179">
      <c r="B2179" s="51" t="n">
        <v>44174</v>
      </c>
      <c r="C2179" s="36">
        <f>TEXT(B2179,"aaa")</f>
        <v/>
      </c>
      <c r="E2179" s="36">
        <f>INDEX(매칭테이블!C:C,MATCH(RD!G2179,매칭테이블!D:D,0))</f>
        <v/>
      </c>
      <c r="F2179" s="39" t="inlineStr">
        <is>
          <t>카페24</t>
        </is>
      </c>
      <c r="G2179" s="39" t="inlineStr">
        <is>
          <t>유즈 스테이포에버 솔리드퍼퓸 002 (스테이포에버 주문시 12/15 순차배송)제품선택=스테이포에버 솔리드퍼퓸 002[Pre-order 이벤트 17% 할인]</t>
        </is>
      </c>
      <c r="H2179" s="39" t="n">
        <v>150</v>
      </c>
      <c r="I2179" s="36">
        <f>VLOOKUP(G2179,매칭테이블!D:E,2,0)</f>
        <v/>
      </c>
      <c r="J2179" s="39" t="n">
        <v>201210</v>
      </c>
      <c r="L2179" s="36">
        <f>VLOOKUP($P2179,매칭테이블!$G:$J,2,0)*H2179</f>
        <v/>
      </c>
      <c r="M2179" s="36">
        <f>L2179-L2179*VLOOKUP($P2179,매칭테이블!$G:$J,3,0)</f>
        <v/>
      </c>
      <c r="N2179" s="36">
        <f>VLOOKUP($P2179,매칭테이블!$G:$J,4,0)*H2179</f>
        <v/>
      </c>
      <c r="O2179" s="52">
        <f>L2179/1.1</f>
        <v/>
      </c>
      <c r="P2179" s="36">
        <f>F2179&amp;E2179&amp;G2179&amp;J2179</f>
        <v/>
      </c>
    </row>
    <row r="2180">
      <c r="B2180" s="51" t="n">
        <v>44174</v>
      </c>
      <c r="C2180" s="36">
        <f>TEXT(B2180,"aaa")</f>
        <v/>
      </c>
      <c r="E2180" s="36">
        <f>INDEX(매칭테이블!C:C,MATCH(RD!G2180,매칭테이블!D:D,0))</f>
        <v/>
      </c>
      <c r="F2180" s="39" t="inlineStr">
        <is>
          <t>카페24</t>
        </is>
      </c>
      <c r="G2180" s="39" t="inlineStr">
        <is>
          <t>유즈 스테이포에버 솔리드퍼퓸 002 (스테이포에버 주문시 12/15 순차배송)제품선택=스테이포에버 2개 세트[Pre-order 이벤트 28% 할인]</t>
        </is>
      </c>
      <c r="H2180" s="39" t="n">
        <v>51</v>
      </c>
      <c r="I2180" s="36">
        <f>VLOOKUP(G2180,매칭테이블!D:E,2,0)</f>
        <v/>
      </c>
      <c r="J2180" s="39" t="n">
        <v>201210</v>
      </c>
      <c r="L2180" s="36">
        <f>VLOOKUP($P2180,매칭테이블!$G:$J,2,0)*H2180</f>
        <v/>
      </c>
      <c r="M2180" s="36">
        <f>L2180-L2180*VLOOKUP($P2180,매칭테이블!$G:$J,3,0)</f>
        <v/>
      </c>
      <c r="N2180" s="36">
        <f>VLOOKUP($P2180,매칭테이블!$G:$J,4,0)*H2180</f>
        <v/>
      </c>
      <c r="O2180" s="52">
        <f>L2180/1.1</f>
        <v/>
      </c>
      <c r="P2180" s="36">
        <f>F2180&amp;E2180&amp;G2180&amp;J2180</f>
        <v/>
      </c>
    </row>
    <row r="2181">
      <c r="B2181" s="51" t="n">
        <v>44174</v>
      </c>
      <c r="C2181" s="36">
        <f>TEXT(B2181,"aaa")</f>
        <v/>
      </c>
      <c r="E2181" s="36">
        <f>INDEX(매칭테이블!C:C,MATCH(RD!G2181,매칭테이블!D:D,0))</f>
        <v/>
      </c>
      <c r="F2181" s="39" t="inlineStr">
        <is>
          <t>카페24</t>
        </is>
      </c>
      <c r="G2181" s="39" t="inlineStr">
        <is>
          <t>유즈 스테이포에버 솔리드퍼퓸 002 (스테이포에버 주문시 12/15 순차배송)제품선택=스테이포에버 + 이그나이트 세트</t>
        </is>
      </c>
      <c r="H2181" s="39" t="n">
        <v>7</v>
      </c>
      <c r="I2181" s="36">
        <f>VLOOKUP(G2181,매칭테이블!D:E,2,0)</f>
        <v/>
      </c>
      <c r="J2181" s="39" t="n">
        <v>201210</v>
      </c>
      <c r="L2181" s="36">
        <f>VLOOKUP($P2181,매칭테이블!$G:$J,2,0)*H2181</f>
        <v/>
      </c>
      <c r="M2181" s="36">
        <f>L2181-L2181*VLOOKUP($P2181,매칭테이블!$G:$J,3,0)</f>
        <v/>
      </c>
      <c r="N2181" s="36">
        <f>VLOOKUP($P2181,매칭테이블!$G:$J,4,0)*H2181</f>
        <v/>
      </c>
      <c r="O2181" s="52">
        <f>L2181/1.1</f>
        <v/>
      </c>
      <c r="P2181" s="36">
        <f>F2181&amp;E2181&amp;G2181&amp;J2181</f>
        <v/>
      </c>
    </row>
    <row r="2182">
      <c r="B2182" s="51" t="n">
        <v>44174</v>
      </c>
      <c r="C2182" s="36">
        <f>TEXT(B2182,"aaa")</f>
        <v/>
      </c>
      <c r="E2182" s="36">
        <f>INDEX(매칭테이블!C:C,MATCH(RD!G2182,매칭테이블!D:D,0))</f>
        <v/>
      </c>
      <c r="F2182" s="39" t="inlineStr">
        <is>
          <t>카페24</t>
        </is>
      </c>
      <c r="G2182" s="39" t="inlineStr">
        <is>
          <t>유즈 스테이포에버 솔리드퍼퓸 002 (스테이포에버 주문시 12/15 순차배송)쇼핑백=선물용 쇼핑백</t>
        </is>
      </c>
      <c r="H2182" s="39" t="n">
        <v>4</v>
      </c>
      <c r="I2182" s="36">
        <f>VLOOKUP(G2182,매칭테이블!D:E,2,0)</f>
        <v/>
      </c>
      <c r="J2182" s="39" t="n">
        <v>201210</v>
      </c>
      <c r="L2182" s="36">
        <f>VLOOKUP($P2182,매칭테이블!$G:$J,2,0)*H2182</f>
        <v/>
      </c>
      <c r="M2182" s="36">
        <f>L2182-L2182*VLOOKUP($P2182,매칭테이블!$G:$J,3,0)</f>
        <v/>
      </c>
      <c r="N2182" s="36">
        <f>VLOOKUP($P2182,매칭테이블!$G:$J,4,0)*H2182</f>
        <v/>
      </c>
      <c r="O2182" s="52">
        <f>L2182/1.1</f>
        <v/>
      </c>
      <c r="P2182" s="36">
        <f>F2182&amp;E2182&amp;G2182&amp;J2182</f>
        <v/>
      </c>
    </row>
    <row r="2183">
      <c r="B2183" s="51" t="n">
        <v>44174</v>
      </c>
      <c r="C2183" s="36">
        <f>TEXT(B2183,"aaa")</f>
        <v/>
      </c>
      <c r="E2183" s="36">
        <f>INDEX(매칭테이블!C:C,MATCH(RD!G2183,매칭테이블!D:D,0))</f>
        <v/>
      </c>
      <c r="F2183" s="39" t="inlineStr">
        <is>
          <t>카페24</t>
        </is>
      </c>
      <c r="G2183" s="39" t="inlineStr">
        <is>
          <t>유즈 이그나이트 솔리드퍼퓸 001제품선택=이그나이트 솔리드퍼퓸 - 30ml</t>
        </is>
      </c>
      <c r="H2183" s="39" t="n">
        <v>1</v>
      </c>
      <c r="I2183" s="36">
        <f>VLOOKUP(G2183,매칭테이블!D:E,2,0)</f>
        <v/>
      </c>
      <c r="J2183" s="39" t="n">
        <v>201210</v>
      </c>
      <c r="L2183" s="36">
        <f>VLOOKUP($P2183,매칭테이블!$G:$J,2,0)*H2183</f>
        <v/>
      </c>
      <c r="M2183" s="36">
        <f>L2183-L2183*VLOOKUP($P2183,매칭테이블!$G:$J,3,0)</f>
        <v/>
      </c>
      <c r="N2183" s="36">
        <f>VLOOKUP($P2183,매칭테이블!$G:$J,4,0)*H2183</f>
        <v/>
      </c>
      <c r="O2183" s="52">
        <f>L2183/1.1</f>
        <v/>
      </c>
      <c r="P2183" s="36">
        <f>F2183&amp;E2183&amp;G2183&amp;J2183</f>
        <v/>
      </c>
    </row>
    <row r="2184">
      <c r="B2184" s="51" t="n">
        <v>44174</v>
      </c>
      <c r="C2184" s="36">
        <f>TEXT(B2184,"aaa")</f>
        <v/>
      </c>
      <c r="E2184" s="36">
        <f>INDEX(매칭테이블!C:C,MATCH(RD!G2184,매칭테이블!D:D,0))</f>
        <v/>
      </c>
      <c r="F2184" s="39" t="inlineStr">
        <is>
          <t>카페24</t>
        </is>
      </c>
      <c r="G2184" s="39" t="inlineStr">
        <is>
          <t>유즈 이그나이트 솔리드퍼퓸 001제품선택=이그나이트 2개 세트</t>
        </is>
      </c>
      <c r="H2184" s="39" t="n">
        <v>4</v>
      </c>
      <c r="I2184" s="36">
        <f>VLOOKUP(G2184,매칭테이블!D:E,2,0)</f>
        <v/>
      </c>
      <c r="J2184" s="39" t="n">
        <v>201210</v>
      </c>
      <c r="L2184" s="36">
        <f>VLOOKUP($P2184,매칭테이블!$G:$J,2,0)*H2184</f>
        <v/>
      </c>
      <c r="M2184" s="36">
        <f>L2184-L2184*VLOOKUP($P2184,매칭테이블!$G:$J,3,0)</f>
        <v/>
      </c>
      <c r="N2184" s="36">
        <f>VLOOKUP($P2184,매칭테이블!$G:$J,4,0)*H2184</f>
        <v/>
      </c>
      <c r="O2184" s="52">
        <f>L2184/1.1</f>
        <v/>
      </c>
      <c r="P2184" s="36">
        <f>F2184&amp;E2184&amp;G2184&amp;J2184</f>
        <v/>
      </c>
    </row>
    <row r="2185">
      <c r="B2185" s="51" t="n">
        <v>44175</v>
      </c>
      <c r="C2185" s="36">
        <f>TEXT(B2185,"aaa")</f>
        <v/>
      </c>
      <c r="E2185" s="36">
        <f>INDEX(매칭테이블!C:C,MATCH(RD!G2185,매칭테이블!D:D,0))</f>
        <v/>
      </c>
      <c r="F2185" s="39" t="inlineStr">
        <is>
          <t>유즈 CS</t>
        </is>
      </c>
      <c r="G2185" s="39" t="inlineStr">
        <is>
          <t>솔리드퍼퓸 스테이포에버 002 30ml</t>
        </is>
      </c>
      <c r="H2185" s="39" t="n">
        <v>2</v>
      </c>
      <c r="I2185" s="36">
        <f>VLOOKUP(G2185,매칭테이블!D:E,2,0)</f>
        <v/>
      </c>
      <c r="J2185" s="39" t="n">
        <v>201210</v>
      </c>
      <c r="L2185" s="36">
        <f>VLOOKUP($P2185,매칭테이블!$G:$J,2,0)*H2185</f>
        <v/>
      </c>
      <c r="M2185" s="36">
        <f>L2185-L2185*VLOOKUP($P2185,매칭테이블!$G:$J,3,0)</f>
        <v/>
      </c>
      <c r="N2185" s="36">
        <f>VLOOKUP($P2185,매칭테이블!$G:$J,4,0)*H2185</f>
        <v/>
      </c>
      <c r="O2185" s="52">
        <f>L2185/1.1</f>
        <v/>
      </c>
      <c r="P2185" s="36">
        <f>F2185&amp;E2185&amp;G2185&amp;J2185</f>
        <v/>
      </c>
    </row>
    <row r="2186">
      <c r="B2186" s="51" t="n">
        <v>44175</v>
      </c>
      <c r="C2186" s="36">
        <f>TEXT(B2186,"aaa")</f>
        <v/>
      </c>
      <c r="E2186" s="36">
        <f>INDEX(매칭테이블!C:C,MATCH(RD!G2186,매칭테이블!D:D,0))</f>
        <v/>
      </c>
      <c r="F2186" s="39" t="inlineStr">
        <is>
          <t>카페24</t>
        </is>
      </c>
      <c r="G2186" s="39" t="inlineStr">
        <is>
          <t>유즈 솔리드퍼퓸 - 30ml (스테이포에버 주문 시 12/15 순차배송)향=스테이포에버, 세트 선택=1 개</t>
        </is>
      </c>
      <c r="H2186" s="39" t="n">
        <v>12</v>
      </c>
      <c r="I2186" s="36">
        <f>VLOOKUP(G2186,매칭테이블!D:E,2,0)</f>
        <v/>
      </c>
      <c r="J2186" s="39" t="n">
        <v>201210</v>
      </c>
      <c r="L2186" s="36">
        <f>VLOOKUP($P2186,매칭테이블!$G:$J,2,0)*H2186</f>
        <v/>
      </c>
      <c r="M2186" s="36">
        <f>L2186-L2186*VLOOKUP($P2186,매칭테이블!$G:$J,3,0)</f>
        <v/>
      </c>
      <c r="N2186" s="36">
        <f>VLOOKUP($P2186,매칭테이블!$G:$J,4,0)*H2186</f>
        <v/>
      </c>
      <c r="O2186" s="52">
        <f>L2186/1.1</f>
        <v/>
      </c>
      <c r="P2186" s="36">
        <f>F2186&amp;E2186&amp;G2186&amp;J2186</f>
        <v/>
      </c>
    </row>
    <row r="2187">
      <c r="B2187" s="51" t="n">
        <v>44175</v>
      </c>
      <c r="C2187" s="36">
        <f>TEXT(B2187,"aaa")</f>
        <v/>
      </c>
      <c r="E2187" s="36">
        <f>INDEX(매칭테이블!C:C,MATCH(RD!G2187,매칭테이블!D:D,0))</f>
        <v/>
      </c>
      <c r="F2187" s="39" t="inlineStr">
        <is>
          <t>카페24</t>
        </is>
      </c>
      <c r="G2187" s="39" t="inlineStr">
        <is>
          <t>유즈 솔리드퍼퓸 - 30ml (스테이포에버 주문 시 12/15 순차배송)향=스테이포에버, 세트 선택=2개 (28% off)</t>
        </is>
      </c>
      <c r="H2187" s="39" t="n">
        <v>4</v>
      </c>
      <c r="I2187" s="36">
        <f>VLOOKUP(G2187,매칭테이블!D:E,2,0)</f>
        <v/>
      </c>
      <c r="J2187" s="39" t="n">
        <v>201210</v>
      </c>
      <c r="L2187" s="36">
        <f>VLOOKUP($P2187,매칭테이블!$G:$J,2,0)*H2187</f>
        <v/>
      </c>
      <c r="M2187" s="36">
        <f>L2187-L2187*VLOOKUP($P2187,매칭테이블!$G:$J,3,0)</f>
        <v/>
      </c>
      <c r="N2187" s="36">
        <f>VLOOKUP($P2187,매칭테이블!$G:$J,4,0)*H2187</f>
        <v/>
      </c>
      <c r="O2187" s="52">
        <f>L2187/1.1</f>
        <v/>
      </c>
      <c r="P2187" s="36">
        <f>F2187&amp;E2187&amp;G2187&amp;J2187</f>
        <v/>
      </c>
    </row>
    <row r="2188">
      <c r="B2188" s="51" t="n">
        <v>44175</v>
      </c>
      <c r="C2188" s="36">
        <f>TEXT(B2188,"aaa")</f>
        <v/>
      </c>
      <c r="E2188" s="36">
        <f>INDEX(매칭테이블!C:C,MATCH(RD!G2188,매칭테이블!D:D,0))</f>
        <v/>
      </c>
      <c r="F2188" s="39" t="inlineStr">
        <is>
          <t>카페24</t>
        </is>
      </c>
      <c r="G2188" s="39" t="inlineStr">
        <is>
          <t>유즈 솔리드퍼퓸 - 30ml (스테이포에버 주문 시 12/15 순차배송)향=이그나이트 + 스테이포에버, 세트 선택=1 SET</t>
        </is>
      </c>
      <c r="H2188" s="39" t="n">
        <v>7</v>
      </c>
      <c r="I2188" s="36">
        <f>VLOOKUP(G2188,매칭테이블!D:E,2,0)</f>
        <v/>
      </c>
      <c r="J2188" s="39" t="n">
        <v>201210</v>
      </c>
      <c r="L2188" s="36">
        <f>VLOOKUP($P2188,매칭테이블!$G:$J,2,0)*H2188</f>
        <v/>
      </c>
      <c r="M2188" s="36">
        <f>L2188-L2188*VLOOKUP($P2188,매칭테이블!$G:$J,3,0)</f>
        <v/>
      </c>
      <c r="N2188" s="36">
        <f>VLOOKUP($P2188,매칭테이블!$G:$J,4,0)*H2188</f>
        <v/>
      </c>
      <c r="O2188" s="52">
        <f>L2188/1.1</f>
        <v/>
      </c>
      <c r="P2188" s="36">
        <f>F2188&amp;E2188&amp;G2188&amp;J2188</f>
        <v/>
      </c>
    </row>
    <row r="2189">
      <c r="B2189" s="51" t="n">
        <v>44175</v>
      </c>
      <c r="C2189" s="36">
        <f>TEXT(B2189,"aaa")</f>
        <v/>
      </c>
      <c r="E2189" s="36">
        <f>INDEX(매칭테이블!C:C,MATCH(RD!G2189,매칭테이블!D:D,0))</f>
        <v/>
      </c>
      <c r="F2189" s="39" t="inlineStr">
        <is>
          <t>카페24</t>
        </is>
      </c>
      <c r="G2189" s="39" t="inlineStr">
        <is>
          <t>유즈 스테이포에버 솔리드퍼퓸 002 (스테이포에버 주문시 12/15 순차배송)제품선택=스테이포에버 솔리드퍼퓸 002[Pre-order 이벤트 17% 할인]</t>
        </is>
      </c>
      <c r="H2189" s="39" t="n">
        <v>170</v>
      </c>
      <c r="I2189" s="36">
        <f>VLOOKUP(G2189,매칭테이블!D:E,2,0)</f>
        <v/>
      </c>
      <c r="J2189" s="39" t="n">
        <v>201210</v>
      </c>
      <c r="L2189" s="36">
        <f>VLOOKUP($P2189,매칭테이블!$G:$J,2,0)*H2189</f>
        <v/>
      </c>
      <c r="M2189" s="36">
        <f>L2189-L2189*VLOOKUP($P2189,매칭테이블!$G:$J,3,0)</f>
        <v/>
      </c>
      <c r="N2189" s="36">
        <f>VLOOKUP($P2189,매칭테이블!$G:$J,4,0)*H2189</f>
        <v/>
      </c>
      <c r="O2189" s="52">
        <f>L2189/1.1</f>
        <v/>
      </c>
      <c r="P2189" s="36">
        <f>F2189&amp;E2189&amp;G2189&amp;J2189</f>
        <v/>
      </c>
    </row>
    <row r="2190">
      <c r="B2190" s="51" t="n">
        <v>44175</v>
      </c>
      <c r="C2190" s="36">
        <f>TEXT(B2190,"aaa")</f>
        <v/>
      </c>
      <c r="E2190" s="36">
        <f>INDEX(매칭테이블!C:C,MATCH(RD!G2190,매칭테이블!D:D,0))</f>
        <v/>
      </c>
      <c r="F2190" s="39" t="inlineStr">
        <is>
          <t>카페24</t>
        </is>
      </c>
      <c r="G2190" s="39" t="inlineStr">
        <is>
          <t>유즈 스테이포에버 솔리드퍼퓸 002 (스테이포에버 주문시 12/15 순차배송)제품선택=스테이포에버 2개 세트[Pre-order 이벤트 28% 할인]</t>
        </is>
      </c>
      <c r="H2190" s="39" t="n">
        <v>41</v>
      </c>
      <c r="I2190" s="36">
        <f>VLOOKUP(G2190,매칭테이블!D:E,2,0)</f>
        <v/>
      </c>
      <c r="J2190" s="39" t="n">
        <v>201210</v>
      </c>
      <c r="L2190" s="36">
        <f>VLOOKUP($P2190,매칭테이블!$G:$J,2,0)*H2190</f>
        <v/>
      </c>
      <c r="M2190" s="36">
        <f>L2190-L2190*VLOOKUP($P2190,매칭테이블!$G:$J,3,0)</f>
        <v/>
      </c>
      <c r="N2190" s="36">
        <f>VLOOKUP($P2190,매칭테이블!$G:$J,4,0)*H2190</f>
        <v/>
      </c>
      <c r="O2190" s="52">
        <f>L2190/1.1</f>
        <v/>
      </c>
      <c r="P2190" s="36">
        <f>F2190&amp;E2190&amp;G2190&amp;J2190</f>
        <v/>
      </c>
    </row>
    <row r="2191">
      <c r="B2191" s="51" t="n">
        <v>44175</v>
      </c>
      <c r="C2191" s="36">
        <f>TEXT(B2191,"aaa")</f>
        <v/>
      </c>
      <c r="E2191" s="36">
        <f>INDEX(매칭테이블!C:C,MATCH(RD!G2191,매칭테이블!D:D,0))</f>
        <v/>
      </c>
      <c r="F2191" s="39" t="inlineStr">
        <is>
          <t>카페24</t>
        </is>
      </c>
      <c r="G2191" s="39" t="inlineStr">
        <is>
          <t>유즈 스테이포에버 솔리드퍼퓸 002 (스테이포에버 주문시 12/15 순차배송)제품선택=스테이포에버 + 이그나이트 세트</t>
        </is>
      </c>
      <c r="H2191" s="39" t="n">
        <v>9</v>
      </c>
      <c r="I2191" s="36">
        <f>VLOOKUP(G2191,매칭테이블!D:E,2,0)</f>
        <v/>
      </c>
      <c r="J2191" s="39" t="n">
        <v>201210</v>
      </c>
      <c r="L2191" s="36">
        <f>VLOOKUP($P2191,매칭테이블!$G:$J,2,0)*H2191</f>
        <v/>
      </c>
      <c r="M2191" s="36">
        <f>L2191-L2191*VLOOKUP($P2191,매칭테이블!$G:$J,3,0)</f>
        <v/>
      </c>
      <c r="N2191" s="36">
        <f>VLOOKUP($P2191,매칭테이블!$G:$J,4,0)*H2191</f>
        <v/>
      </c>
      <c r="O2191" s="52">
        <f>L2191/1.1</f>
        <v/>
      </c>
      <c r="P2191" s="36">
        <f>F2191&amp;E2191&amp;G2191&amp;J2191</f>
        <v/>
      </c>
    </row>
    <row r="2192">
      <c r="B2192" s="51" t="n">
        <v>44175</v>
      </c>
      <c r="C2192" s="36">
        <f>TEXT(B2192,"aaa")</f>
        <v/>
      </c>
      <c r="E2192" s="36">
        <f>INDEX(매칭테이블!C:C,MATCH(RD!G2192,매칭테이블!D:D,0))</f>
        <v/>
      </c>
      <c r="F2192" s="39" t="inlineStr">
        <is>
          <t>카페24</t>
        </is>
      </c>
      <c r="G2192" s="39" t="inlineStr">
        <is>
          <t>유즈 스테이포에버 솔리드퍼퓸 002 (스테이포에버 주문시 12/15 순차배송)쇼핑백=선물용 쇼핑백</t>
        </is>
      </c>
      <c r="H2192" s="39" t="n">
        <v>5</v>
      </c>
      <c r="I2192" s="36">
        <f>VLOOKUP(G2192,매칭테이블!D:E,2,0)</f>
        <v/>
      </c>
      <c r="J2192" s="39" t="n">
        <v>201210</v>
      </c>
      <c r="L2192" s="36">
        <f>VLOOKUP($P2192,매칭테이블!$G:$J,2,0)*H2192</f>
        <v/>
      </c>
      <c r="M2192" s="36">
        <f>L2192-L2192*VLOOKUP($P2192,매칭테이블!$G:$J,3,0)</f>
        <v/>
      </c>
      <c r="N2192" s="36">
        <f>VLOOKUP($P2192,매칭테이블!$G:$J,4,0)*H2192</f>
        <v/>
      </c>
      <c r="O2192" s="52">
        <f>L2192/1.1</f>
        <v/>
      </c>
      <c r="P2192" s="36">
        <f>F2192&amp;E2192&amp;G2192&amp;J2192</f>
        <v/>
      </c>
    </row>
    <row r="2193">
      <c r="B2193" s="51" t="n">
        <v>44175</v>
      </c>
      <c r="C2193" s="36">
        <f>TEXT(B2193,"aaa")</f>
        <v/>
      </c>
      <c r="E2193" s="36">
        <f>INDEX(매칭테이블!C:C,MATCH(RD!G2193,매칭테이블!D:D,0))</f>
        <v/>
      </c>
      <c r="F2193" s="39" t="inlineStr">
        <is>
          <t>카페24</t>
        </is>
      </c>
      <c r="G2193" s="39" t="inlineStr">
        <is>
          <t>유즈 이그나이트 솔리드퍼퓸 001제품선택=이그나이트 솔리드퍼퓸 - 30ml</t>
        </is>
      </c>
      <c r="H2193" s="39" t="n">
        <v>1</v>
      </c>
      <c r="I2193" s="36">
        <f>VLOOKUP(G2193,매칭테이블!D:E,2,0)</f>
        <v/>
      </c>
      <c r="J2193" s="39" t="n">
        <v>201210</v>
      </c>
      <c r="L2193" s="36">
        <f>VLOOKUP($P2193,매칭테이블!$G:$J,2,0)*H2193</f>
        <v/>
      </c>
      <c r="M2193" s="36">
        <f>L2193-L2193*VLOOKUP($P2193,매칭테이블!$G:$J,3,0)</f>
        <v/>
      </c>
      <c r="N2193" s="36">
        <f>VLOOKUP($P2193,매칭테이블!$G:$J,4,0)*H2193</f>
        <v/>
      </c>
      <c r="O2193" s="52">
        <f>L2193/1.1</f>
        <v/>
      </c>
      <c r="P2193" s="36">
        <f>F2193&amp;E2193&amp;G2193&amp;J2193</f>
        <v/>
      </c>
    </row>
    <row r="2194">
      <c r="B2194" s="51" t="n">
        <v>44175</v>
      </c>
      <c r="C2194" s="36">
        <f>TEXT(B2194,"aaa")</f>
        <v/>
      </c>
      <c r="E2194" s="36">
        <f>INDEX(매칭테이블!C:C,MATCH(RD!G2194,매칭테이블!D:D,0))</f>
        <v/>
      </c>
      <c r="F2194" s="39" t="inlineStr">
        <is>
          <t>카페24</t>
        </is>
      </c>
      <c r="G2194" s="39" t="inlineStr">
        <is>
          <t>유즈 이그나이트 솔리드퍼퓸 001제품선택=이그나이트 2개 세트</t>
        </is>
      </c>
      <c r="H2194" s="39" t="n">
        <v>1</v>
      </c>
      <c r="I2194" s="36">
        <f>VLOOKUP(G2194,매칭테이블!D:E,2,0)</f>
        <v/>
      </c>
      <c r="J2194" s="39" t="n">
        <v>201210</v>
      </c>
      <c r="L2194" s="36">
        <f>VLOOKUP($P2194,매칭테이블!$G:$J,2,0)*H2194</f>
        <v/>
      </c>
      <c r="M2194" s="36">
        <f>L2194-L2194*VLOOKUP($P2194,매칭테이블!$G:$J,3,0)</f>
        <v/>
      </c>
      <c r="N2194" s="36">
        <f>VLOOKUP($P2194,매칭테이블!$G:$J,4,0)*H2194</f>
        <v/>
      </c>
      <c r="O2194" s="52">
        <f>L2194/1.1</f>
        <v/>
      </c>
      <c r="P2194" s="36">
        <f>F2194&amp;E2194&amp;G2194&amp;J2194</f>
        <v/>
      </c>
    </row>
    <row r="2195">
      <c r="B2195" s="51" t="n">
        <v>44176</v>
      </c>
      <c r="C2195" s="36">
        <f>TEXT(B2195,"aaa")</f>
        <v/>
      </c>
      <c r="E2195" s="36">
        <f>INDEX(매칭테이블!C:C,MATCH(RD!G2195,매칭테이블!D:D,0))</f>
        <v/>
      </c>
      <c r="F2195" s="39" t="inlineStr">
        <is>
          <t>카페24</t>
        </is>
      </c>
      <c r="G2195" s="39" t="inlineStr">
        <is>
          <t>솔리드퍼퓸 스테이포에버 002 30ml</t>
        </is>
      </c>
      <c r="H2195" s="39" t="n">
        <v>1</v>
      </c>
      <c r="I2195" s="36">
        <f>VLOOKUP(G2195,매칭테이블!D:E,2,0)</f>
        <v/>
      </c>
      <c r="J2195" s="39" t="n">
        <v>201210</v>
      </c>
      <c r="L2195" s="36">
        <f>VLOOKUP($P2195,매칭테이블!$G:$J,2,0)*H2195</f>
        <v/>
      </c>
      <c r="M2195" s="36">
        <f>L2195-L2195*VLOOKUP($P2195,매칭테이블!$G:$J,3,0)</f>
        <v/>
      </c>
      <c r="N2195" s="36">
        <f>VLOOKUP($P2195,매칭테이블!$G:$J,4,0)*H2195</f>
        <v/>
      </c>
      <c r="O2195" s="52">
        <f>L2195/1.1</f>
        <v/>
      </c>
      <c r="P2195" s="36">
        <f>F2195&amp;E2195&amp;G2195&amp;J2195</f>
        <v/>
      </c>
    </row>
    <row r="2196">
      <c r="B2196" s="51" t="n">
        <v>44176</v>
      </c>
      <c r="C2196" s="36">
        <f>TEXT(B2196,"aaa")</f>
        <v/>
      </c>
      <c r="E2196" s="36">
        <f>INDEX(매칭테이블!C:C,MATCH(RD!G2196,매칭테이블!D:D,0))</f>
        <v/>
      </c>
      <c r="F2196" s="39" t="inlineStr">
        <is>
          <t>카페24</t>
        </is>
      </c>
      <c r="G2196" s="39" t="inlineStr">
        <is>
          <t>유즈 솔리드퍼퓸 - 30ml (스테이포에버 주문 시 12/15 순차배송)향=스테이포에버 002 SOLID PERFUME, 세트 선택=1</t>
        </is>
      </c>
      <c r="H2196" s="39" t="n">
        <v>1</v>
      </c>
      <c r="I2196" s="36">
        <f>VLOOKUP(G2196,매칭테이블!D:E,2,0)</f>
        <v/>
      </c>
      <c r="J2196" s="39" t="n">
        <v>201210</v>
      </c>
      <c r="L2196" s="36">
        <f>VLOOKUP($P2196,매칭테이블!$G:$J,2,0)*H2196</f>
        <v/>
      </c>
      <c r="M2196" s="36">
        <f>L2196-L2196*VLOOKUP($P2196,매칭테이블!$G:$J,3,0)</f>
        <v/>
      </c>
      <c r="N2196" s="36">
        <f>VLOOKUP($P2196,매칭테이블!$G:$J,4,0)*H2196</f>
        <v/>
      </c>
      <c r="O2196" s="52">
        <f>L2196/1.1</f>
        <v/>
      </c>
      <c r="P2196" s="36">
        <f>F2196&amp;E2196&amp;G2196&amp;J2196</f>
        <v/>
      </c>
    </row>
    <row r="2197">
      <c r="B2197" s="51" t="n">
        <v>44176</v>
      </c>
      <c r="C2197" s="36">
        <f>TEXT(B2197,"aaa")</f>
        <v/>
      </c>
      <c r="E2197" s="36">
        <f>INDEX(매칭테이블!C:C,MATCH(RD!G2197,매칭테이블!D:D,0))</f>
        <v/>
      </c>
      <c r="F2197" s="39" t="inlineStr">
        <is>
          <t>카페24</t>
        </is>
      </c>
      <c r="G2197" s="39" t="inlineStr">
        <is>
          <t>유즈 솔리드퍼퓸 - 30ml (스테이포에버 주문 시 12/15 순차배송)향=스테이포에버 002 SOLID PERFUME, 세트 선택=1 개(17% 할인)</t>
        </is>
      </c>
      <c r="H2197" s="39" t="n">
        <v>2</v>
      </c>
      <c r="I2197" s="36">
        <f>VLOOKUP(G2197,매칭테이블!D:E,2,0)</f>
        <v/>
      </c>
      <c r="J2197" s="39" t="n">
        <v>201210</v>
      </c>
      <c r="L2197" s="36">
        <f>VLOOKUP($P2197,매칭테이블!$G:$J,2,0)*H2197</f>
        <v/>
      </c>
      <c r="M2197" s="36">
        <f>L2197-L2197*VLOOKUP($P2197,매칭테이블!$G:$J,3,0)</f>
        <v/>
      </c>
      <c r="N2197" s="36">
        <f>VLOOKUP($P2197,매칭테이블!$G:$J,4,0)*H2197</f>
        <v/>
      </c>
      <c r="O2197" s="52">
        <f>L2197/1.1</f>
        <v/>
      </c>
      <c r="P2197" s="36">
        <f>F2197&amp;E2197&amp;G2197&amp;J2197</f>
        <v/>
      </c>
    </row>
    <row r="2198">
      <c r="B2198" s="51" t="n">
        <v>44176</v>
      </c>
      <c r="C2198" s="36">
        <f>TEXT(B2198,"aaa")</f>
        <v/>
      </c>
      <c r="E2198" s="36">
        <f>INDEX(매칭테이블!C:C,MATCH(RD!G2198,매칭테이블!D:D,0))</f>
        <v/>
      </c>
      <c r="F2198" s="39" t="inlineStr">
        <is>
          <t>카페24</t>
        </is>
      </c>
      <c r="G2198" s="39" t="inlineStr">
        <is>
          <t>유즈 솔리드퍼퓸 - 30ml (스테이포에버 주문 시 12/15 순차배송)향=스테이포에버, 세트 선택=1 개</t>
        </is>
      </c>
      <c r="H2198" s="39" t="n">
        <v>3</v>
      </c>
      <c r="I2198" s="36">
        <f>VLOOKUP(G2198,매칭테이블!D:E,2,0)</f>
        <v/>
      </c>
      <c r="J2198" s="39" t="n">
        <v>201210</v>
      </c>
      <c r="L2198" s="36">
        <f>VLOOKUP($P2198,매칭테이블!$G:$J,2,0)*H2198</f>
        <v/>
      </c>
      <c r="M2198" s="36">
        <f>L2198-L2198*VLOOKUP($P2198,매칭테이블!$G:$J,3,0)</f>
        <v/>
      </c>
      <c r="N2198" s="36">
        <f>VLOOKUP($P2198,매칭테이블!$G:$J,4,0)*H2198</f>
        <v/>
      </c>
      <c r="O2198" s="52">
        <f>L2198/1.1</f>
        <v/>
      </c>
      <c r="P2198" s="36">
        <f>F2198&amp;E2198&amp;G2198&amp;J2198</f>
        <v/>
      </c>
    </row>
    <row r="2199">
      <c r="B2199" s="51" t="n">
        <v>44176</v>
      </c>
      <c r="C2199" s="36">
        <f>TEXT(B2199,"aaa")</f>
        <v/>
      </c>
      <c r="E2199" s="36">
        <f>INDEX(매칭테이블!C:C,MATCH(RD!G2199,매칭테이블!D:D,0))</f>
        <v/>
      </c>
      <c r="F2199" s="39" t="inlineStr">
        <is>
          <t>카페24</t>
        </is>
      </c>
      <c r="G2199" s="39" t="inlineStr">
        <is>
          <t>유즈 솔리드퍼퓸 - 30ml (스테이포에버 주문 시 12/15 순차배송)향=스테이포에버 002 SOLID PERFUME, 세트 선택=best</t>
        </is>
      </c>
      <c r="H2199" s="39" t="n">
        <v>2</v>
      </c>
      <c r="I2199" s="36">
        <f>VLOOKUP(G2199,매칭테이블!D:E,2,0)</f>
        <v/>
      </c>
      <c r="J2199" s="39" t="n">
        <v>201210</v>
      </c>
      <c r="L2199" s="36">
        <f>VLOOKUP($P2199,매칭테이블!$G:$J,2,0)*H2199</f>
        <v/>
      </c>
      <c r="M2199" s="36">
        <f>L2199-L2199*VLOOKUP($P2199,매칭테이블!$G:$J,3,0)</f>
        <v/>
      </c>
      <c r="N2199" s="36">
        <f>VLOOKUP($P2199,매칭테이블!$G:$J,4,0)*H2199</f>
        <v/>
      </c>
      <c r="O2199" s="52">
        <f>L2199/1.1</f>
        <v/>
      </c>
      <c r="P2199" s="36">
        <f>F2199&amp;E2199&amp;G2199&amp;J2199</f>
        <v/>
      </c>
    </row>
    <row r="2200">
      <c r="B2200" s="51" t="n">
        <v>44176</v>
      </c>
      <c r="C2200" s="36">
        <f>TEXT(B2200,"aaa")</f>
        <v/>
      </c>
      <c r="E2200" s="36">
        <f>INDEX(매칭테이블!C:C,MATCH(RD!G2200,매칭테이블!D:D,0))</f>
        <v/>
      </c>
      <c r="F2200" s="39" t="inlineStr">
        <is>
          <t>카페24</t>
        </is>
      </c>
      <c r="G2200" s="39" t="inlineStr">
        <is>
          <t>유즈 솔리드퍼퓸 - 30ml (스테이포에버 주문 시 12/15 순차배송)향=스테이포에버 002 SOLID PERFUME, 세트 선택=best(28% 할인)2개</t>
        </is>
      </c>
      <c r="H2200" s="39" t="n">
        <v>1</v>
      </c>
      <c r="I2200" s="36">
        <f>VLOOKUP(G2200,매칭테이블!D:E,2,0)</f>
        <v/>
      </c>
      <c r="J2200" s="39" t="n">
        <v>201210</v>
      </c>
      <c r="L2200" s="36">
        <f>VLOOKUP($P2200,매칭테이블!$G:$J,2,0)*H2200</f>
        <v/>
      </c>
      <c r="M2200" s="36">
        <f>L2200-L2200*VLOOKUP($P2200,매칭테이블!$G:$J,3,0)</f>
        <v/>
      </c>
      <c r="N2200" s="36">
        <f>VLOOKUP($P2200,매칭테이블!$G:$J,4,0)*H2200</f>
        <v/>
      </c>
      <c r="O2200" s="52">
        <f>L2200/1.1</f>
        <v/>
      </c>
      <c r="P2200" s="36">
        <f>F2200&amp;E2200&amp;G2200&amp;J2200</f>
        <v/>
      </c>
    </row>
    <row r="2201">
      <c r="B2201" s="51" t="n">
        <v>44176</v>
      </c>
      <c r="C2201" s="36">
        <f>TEXT(B2201,"aaa")</f>
        <v/>
      </c>
      <c r="E2201" s="36">
        <f>INDEX(매칭테이블!C:C,MATCH(RD!G2201,매칭테이블!D:D,0))</f>
        <v/>
      </c>
      <c r="F2201" s="39" t="inlineStr">
        <is>
          <t>카페24</t>
        </is>
      </c>
      <c r="G2201" s="39" t="inlineStr">
        <is>
          <t>유즈 솔리드퍼퓸 - 30ml (스테이포에버 주문 시 12/15 순차배송)향=스테이포에버, 세트 선택=2개 (28% off)</t>
        </is>
      </c>
      <c r="H2201" s="39" t="n">
        <v>2</v>
      </c>
      <c r="I2201" s="36">
        <f>VLOOKUP(G2201,매칭테이블!D:E,2,0)</f>
        <v/>
      </c>
      <c r="J2201" s="39" t="n">
        <v>201210</v>
      </c>
      <c r="L2201" s="36">
        <f>VLOOKUP($P2201,매칭테이블!$G:$J,2,0)*H2201</f>
        <v/>
      </c>
      <c r="M2201" s="36">
        <f>L2201-L2201*VLOOKUP($P2201,매칭테이블!$G:$J,3,0)</f>
        <v/>
      </c>
      <c r="N2201" s="36">
        <f>VLOOKUP($P2201,매칭테이블!$G:$J,4,0)*H2201</f>
        <v/>
      </c>
      <c r="O2201" s="52">
        <f>L2201/1.1</f>
        <v/>
      </c>
      <c r="P2201" s="36">
        <f>F2201&amp;E2201&amp;G2201&amp;J2201</f>
        <v/>
      </c>
    </row>
    <row r="2202">
      <c r="B2202" s="51" t="n">
        <v>44176</v>
      </c>
      <c r="C2202" s="36">
        <f>TEXT(B2202,"aaa")</f>
        <v/>
      </c>
      <c r="E2202" s="36">
        <f>INDEX(매칭테이블!C:C,MATCH(RD!G2202,매칭테이블!D:D,0))</f>
        <v/>
      </c>
      <c r="F2202" s="39" t="inlineStr">
        <is>
          <t>카페24</t>
        </is>
      </c>
      <c r="G2202" s="39" t="inlineStr">
        <is>
          <t>유즈 솔리드퍼퓸 - 30ml (스테이포에버 주문 시 12/15 순차배송)향=이그나이트 + 스테이포에버, 세트 선택=1 SET</t>
        </is>
      </c>
      <c r="H2202" s="39" t="n">
        <v>1</v>
      </c>
      <c r="I2202" s="36">
        <f>VLOOKUP(G2202,매칭테이블!D:E,2,0)</f>
        <v/>
      </c>
      <c r="J2202" s="39" t="n">
        <v>201210</v>
      </c>
      <c r="L2202" s="36">
        <f>VLOOKUP($P2202,매칭테이블!$G:$J,2,0)*H2202</f>
        <v/>
      </c>
      <c r="M2202" s="36">
        <f>L2202-L2202*VLOOKUP($P2202,매칭테이블!$G:$J,3,0)</f>
        <v/>
      </c>
      <c r="N2202" s="36">
        <f>VLOOKUP($P2202,매칭테이블!$G:$J,4,0)*H2202</f>
        <v/>
      </c>
      <c r="O2202" s="52">
        <f>L2202/1.1</f>
        <v/>
      </c>
      <c r="P2202" s="36">
        <f>F2202&amp;E2202&amp;G2202&amp;J2202</f>
        <v/>
      </c>
    </row>
    <row r="2203">
      <c r="B2203" s="51" t="n">
        <v>44176</v>
      </c>
      <c r="C2203" s="36">
        <f>TEXT(B2203,"aaa")</f>
        <v/>
      </c>
      <c r="E2203" s="36">
        <f>INDEX(매칭테이블!C:C,MATCH(RD!G2203,매칭테이블!D:D,0))</f>
        <v/>
      </c>
      <c r="F2203" s="39" t="inlineStr">
        <is>
          <t>카페24</t>
        </is>
      </c>
      <c r="G2203" s="39" t="inlineStr">
        <is>
          <t>유즈 솔리드퍼퓸 - 30ml (스테이포에버 주문 시 12/15 순차배송)향=커플세트</t>
        </is>
      </c>
      <c r="H2203" s="39" t="n">
        <v>1</v>
      </c>
      <c r="I2203" s="36">
        <f>VLOOKUP(G2203,매칭테이블!D:E,2,0)</f>
        <v/>
      </c>
      <c r="J2203" s="39" t="n">
        <v>201210</v>
      </c>
      <c r="L2203" s="36">
        <f>VLOOKUP($P2203,매칭테이블!$G:$J,2,0)*H2203</f>
        <v/>
      </c>
      <c r="M2203" s="36">
        <f>L2203-L2203*VLOOKUP($P2203,매칭테이블!$G:$J,3,0)</f>
        <v/>
      </c>
      <c r="N2203" s="36">
        <f>VLOOKUP($P2203,매칭테이블!$G:$J,4,0)*H2203</f>
        <v/>
      </c>
      <c r="O2203" s="52">
        <f>L2203/1.1</f>
        <v/>
      </c>
      <c r="P2203" s="36">
        <f>F2203&amp;E2203&amp;G2203&amp;J2203</f>
        <v/>
      </c>
    </row>
    <row r="2204">
      <c r="B2204" s="51" t="n">
        <v>44176</v>
      </c>
      <c r="C2204" s="36">
        <f>TEXT(B2204,"aaa")</f>
        <v/>
      </c>
      <c r="E2204" s="36">
        <f>INDEX(매칭테이블!C:C,MATCH(RD!G2204,매칭테이블!D:D,0))</f>
        <v/>
      </c>
      <c r="F2204" s="39" t="inlineStr">
        <is>
          <t>카페24</t>
        </is>
      </c>
      <c r="G2204" s="39" t="inlineStr">
        <is>
          <t>유즈 솔리드퍼퓸 - 30ml (스테이포에버 주문 시 12/15 순차배송)향=커플세트(이그나이트 + 스테이포에버), 세트 선택=1 SET</t>
        </is>
      </c>
      <c r="H2204" s="39" t="n">
        <v>4</v>
      </c>
      <c r="I2204" s="36">
        <f>VLOOKUP(G2204,매칭테이블!D:E,2,0)</f>
        <v/>
      </c>
      <c r="J2204" s="39" t="n">
        <v>201210</v>
      </c>
      <c r="L2204" s="36">
        <f>VLOOKUP($P2204,매칭테이블!$G:$J,2,0)*H2204</f>
        <v/>
      </c>
      <c r="M2204" s="36">
        <f>L2204-L2204*VLOOKUP($P2204,매칭테이블!$G:$J,3,0)</f>
        <v/>
      </c>
      <c r="N2204" s="36">
        <f>VLOOKUP($P2204,매칭테이블!$G:$J,4,0)*H2204</f>
        <v/>
      </c>
      <c r="O2204" s="52">
        <f>L2204/1.1</f>
        <v/>
      </c>
      <c r="P2204" s="36">
        <f>F2204&amp;E2204&amp;G2204&amp;J2204</f>
        <v/>
      </c>
    </row>
    <row r="2205">
      <c r="B2205" s="51" t="n">
        <v>44176</v>
      </c>
      <c r="C2205" s="36">
        <f>TEXT(B2205,"aaa")</f>
        <v/>
      </c>
      <c r="E2205" s="36">
        <f>INDEX(매칭테이블!C:C,MATCH(RD!G2205,매칭테이블!D:D,0))</f>
        <v/>
      </c>
      <c r="F2205" s="39" t="inlineStr">
        <is>
          <t>카페24</t>
        </is>
      </c>
      <c r="G2205" s="39" t="inlineStr">
        <is>
          <t>유즈 솔리드퍼퓸 - 30ml (스테이포에버 주문 시 12/15 순차배송)향=이그나이트 + 스테이포에버, 세트 선택=2 SET (42% off)</t>
        </is>
      </c>
      <c r="H2205" s="39" t="n">
        <v>1</v>
      </c>
      <c r="I2205" s="36">
        <f>VLOOKUP(G2205,매칭테이블!D:E,2,0)</f>
        <v/>
      </c>
      <c r="J2205" s="39" t="n">
        <v>201210</v>
      </c>
      <c r="L2205" s="36">
        <f>VLOOKUP($P2205,매칭테이블!$G:$J,2,0)*H2205</f>
        <v/>
      </c>
      <c r="M2205" s="36">
        <f>L2205-L2205*VLOOKUP($P2205,매칭테이블!$G:$J,3,0)</f>
        <v/>
      </c>
      <c r="N2205" s="36">
        <f>VLOOKUP($P2205,매칭테이블!$G:$J,4,0)*H2205</f>
        <v/>
      </c>
      <c r="O2205" s="52">
        <f>L2205/1.1</f>
        <v/>
      </c>
      <c r="P2205" s="36">
        <f>F2205&amp;E2205&amp;G2205&amp;J2205</f>
        <v/>
      </c>
    </row>
    <row r="2206">
      <c r="B2206" s="51" t="n">
        <v>44176</v>
      </c>
      <c r="C2206" s="36">
        <f>TEXT(B2206,"aaa")</f>
        <v/>
      </c>
      <c r="E2206" s="36">
        <f>INDEX(매칭테이블!C:C,MATCH(RD!G2206,매칭테이블!D:D,0))</f>
        <v/>
      </c>
      <c r="F2206" s="39" t="inlineStr">
        <is>
          <t>카페24</t>
        </is>
      </c>
      <c r="G2206" s="39" t="inlineStr">
        <is>
          <t>유즈 솔리드퍼퓸 - 30ml (스테이포에버 주문 시 12/15 순차배송)향=커플세트</t>
        </is>
      </c>
      <c r="H2206" s="39" t="n">
        <v>1</v>
      </c>
      <c r="I2206" s="36">
        <f>VLOOKUP(G2206,매칭테이블!D:E,2,0)</f>
        <v/>
      </c>
      <c r="J2206" s="39" t="n">
        <v>201210</v>
      </c>
      <c r="L2206" s="36">
        <f>VLOOKUP($P2206,매칭테이블!$G:$J,2,0)*H2206</f>
        <v/>
      </c>
      <c r="M2206" s="36">
        <f>L2206-L2206*VLOOKUP($P2206,매칭테이블!$G:$J,3,0)</f>
        <v/>
      </c>
      <c r="N2206" s="36">
        <f>VLOOKUP($P2206,매칭테이블!$G:$J,4,0)*H2206</f>
        <v/>
      </c>
      <c r="O2206" s="52">
        <f>L2206/1.1</f>
        <v/>
      </c>
      <c r="P2206" s="36">
        <f>F2206&amp;E2206&amp;G2206&amp;J2206</f>
        <v/>
      </c>
    </row>
    <row r="2207">
      <c r="B2207" s="51" t="n">
        <v>44176</v>
      </c>
      <c r="C2207" s="36">
        <f>TEXT(B2207,"aaa")</f>
        <v/>
      </c>
      <c r="E2207" s="36">
        <f>INDEX(매칭테이블!C:C,MATCH(RD!G2207,매칭테이블!D:D,0))</f>
        <v/>
      </c>
      <c r="F2207" s="39" t="inlineStr">
        <is>
          <t>카페24</t>
        </is>
      </c>
      <c r="G2207" s="39" t="inlineStr">
        <is>
          <t>유즈 스테이포에버 솔리드퍼퓸 002 (12/4 부터 순차배송)제품선택=스테이포에버 솔리드퍼퓸 002[Pre-order 이벤트 17% 할인]</t>
        </is>
      </c>
      <c r="H2207" s="39" t="n">
        <v>1</v>
      </c>
      <c r="I2207" s="36">
        <f>VLOOKUP(G2207,매칭테이블!D:E,2,0)</f>
        <v/>
      </c>
      <c r="J2207" s="39" t="n">
        <v>201210</v>
      </c>
      <c r="L2207" s="36">
        <f>VLOOKUP($P2207,매칭테이블!$G:$J,2,0)*H2207</f>
        <v/>
      </c>
      <c r="M2207" s="36">
        <f>L2207-L2207*VLOOKUP($P2207,매칭테이블!$G:$J,3,0)</f>
        <v/>
      </c>
      <c r="N2207" s="36">
        <f>VLOOKUP($P2207,매칭테이블!$G:$J,4,0)*H2207</f>
        <v/>
      </c>
      <c r="O2207" s="52">
        <f>L2207/1.1</f>
        <v/>
      </c>
      <c r="P2207" s="36">
        <f>F2207&amp;E2207&amp;G2207&amp;J2207</f>
        <v/>
      </c>
    </row>
    <row r="2208">
      <c r="B2208" s="51" t="n">
        <v>44176</v>
      </c>
      <c r="C2208" s="36">
        <f>TEXT(B2208,"aaa")</f>
        <v/>
      </c>
      <c r="E2208" s="36">
        <f>INDEX(매칭테이블!C:C,MATCH(RD!G2208,매칭테이블!D:D,0))</f>
        <v/>
      </c>
      <c r="F2208" s="39" t="inlineStr">
        <is>
          <t>카페24</t>
        </is>
      </c>
      <c r="G2208" s="39" t="inlineStr">
        <is>
          <t>유즈 스테이포에버 솔리드퍼퓸 002 (스테이포에버 주문시 12/14 순차배송)제품선택=스테이포에버 솔리드퍼퓸 002[Pre-order 이벤트 17% 할인]</t>
        </is>
      </c>
      <c r="H2208" s="39" t="n">
        <v>2</v>
      </c>
      <c r="I2208" s="36">
        <f>VLOOKUP(G2208,매칭테이블!D:E,2,0)</f>
        <v/>
      </c>
      <c r="J2208" s="39" t="n">
        <v>201210</v>
      </c>
      <c r="L2208" s="36">
        <f>VLOOKUP($P2208,매칭테이블!$G:$J,2,0)*H2208</f>
        <v/>
      </c>
      <c r="M2208" s="36">
        <f>L2208-L2208*VLOOKUP($P2208,매칭테이블!$G:$J,3,0)</f>
        <v/>
      </c>
      <c r="N2208" s="36">
        <f>VLOOKUP($P2208,매칭테이블!$G:$J,4,0)*H2208</f>
        <v/>
      </c>
      <c r="O2208" s="52">
        <f>L2208/1.1</f>
        <v/>
      </c>
      <c r="P2208" s="36">
        <f>F2208&amp;E2208&amp;G2208&amp;J2208</f>
        <v/>
      </c>
    </row>
    <row r="2209">
      <c r="B2209" s="51" t="n">
        <v>44176</v>
      </c>
      <c r="C2209" s="36">
        <f>TEXT(B2209,"aaa")</f>
        <v/>
      </c>
      <c r="E2209" s="36">
        <f>INDEX(매칭테이블!C:C,MATCH(RD!G2209,매칭테이블!D:D,0))</f>
        <v/>
      </c>
      <c r="F2209" s="39" t="inlineStr">
        <is>
          <t>카페24</t>
        </is>
      </c>
      <c r="G2209" s="39" t="inlineStr">
        <is>
          <t>유즈 스테이포에버 솔리드퍼퓸 002 (스테이포에버 주문시 12/15 순차배송)제품선택=스테이포에버 1개</t>
        </is>
      </c>
      <c r="H2209" s="39" t="n">
        <v>28</v>
      </c>
      <c r="I2209" s="36">
        <f>VLOOKUP(G2209,매칭테이블!D:E,2,0)</f>
        <v/>
      </c>
      <c r="J2209" s="39" t="n">
        <v>201210</v>
      </c>
      <c r="L2209" s="36">
        <f>VLOOKUP($P2209,매칭테이블!$G:$J,2,0)*H2209</f>
        <v/>
      </c>
      <c r="M2209" s="36">
        <f>L2209-L2209*VLOOKUP($P2209,매칭테이블!$G:$J,3,0)</f>
        <v/>
      </c>
      <c r="N2209" s="36">
        <f>VLOOKUP($P2209,매칭테이블!$G:$J,4,0)*H2209</f>
        <v/>
      </c>
      <c r="O2209" s="52">
        <f>L2209/1.1</f>
        <v/>
      </c>
      <c r="P2209" s="36">
        <f>F2209&amp;E2209&amp;G2209&amp;J2209</f>
        <v/>
      </c>
    </row>
    <row r="2210">
      <c r="B2210" s="51" t="n">
        <v>44176</v>
      </c>
      <c r="C2210" s="36">
        <f>TEXT(B2210,"aaa")</f>
        <v/>
      </c>
      <c r="E2210" s="36">
        <f>INDEX(매칭테이블!C:C,MATCH(RD!G2210,매칭테이블!D:D,0))</f>
        <v/>
      </c>
      <c r="F2210" s="39" t="inlineStr">
        <is>
          <t>카페24</t>
        </is>
      </c>
      <c r="G2210" s="39" t="inlineStr">
        <is>
          <t>유즈 스테이포에버 솔리드퍼퓸 002 (스테이포에버 주문시 12/15 순차배송)제품선택=스테이포에버 1개 [17% 할인]</t>
        </is>
      </c>
      <c r="H2210" s="39" t="n">
        <v>35</v>
      </c>
      <c r="I2210" s="36">
        <f>VLOOKUP(G2210,매칭테이블!D:E,2,0)</f>
        <v/>
      </c>
      <c r="J2210" s="39" t="n">
        <v>201210</v>
      </c>
      <c r="L2210" s="36">
        <f>VLOOKUP($P2210,매칭테이블!$G:$J,2,0)*H2210</f>
        <v/>
      </c>
      <c r="M2210" s="36">
        <f>L2210-L2210*VLOOKUP($P2210,매칭테이블!$G:$J,3,0)</f>
        <v/>
      </c>
      <c r="N2210" s="36">
        <f>VLOOKUP($P2210,매칭테이블!$G:$J,4,0)*H2210</f>
        <v/>
      </c>
      <c r="O2210" s="52">
        <f>L2210/1.1</f>
        <v/>
      </c>
      <c r="P2210" s="36">
        <f>F2210&amp;E2210&amp;G2210&amp;J2210</f>
        <v/>
      </c>
    </row>
    <row r="2211">
      <c r="B2211" s="51" t="n">
        <v>44176</v>
      </c>
      <c r="C2211" s="36">
        <f>TEXT(B2211,"aaa")</f>
        <v/>
      </c>
      <c r="E2211" s="36">
        <f>INDEX(매칭테이블!C:C,MATCH(RD!G2211,매칭테이블!D:D,0))</f>
        <v/>
      </c>
      <c r="F2211" s="39" t="inlineStr">
        <is>
          <t>카페24</t>
        </is>
      </c>
      <c r="G2211" s="39" t="inlineStr">
        <is>
          <t>유즈 스테이포에버 솔리드퍼퓸 002 (스테이포에버 주문시 12/15 순차배송)제품선택=스테이포에버 [17% 할인]</t>
        </is>
      </c>
      <c r="H2211" s="39" t="n">
        <v>36</v>
      </c>
      <c r="I2211" s="36">
        <f>VLOOKUP(G2211,매칭테이블!D:E,2,0)</f>
        <v/>
      </c>
      <c r="J2211" s="39" t="n">
        <v>201210</v>
      </c>
      <c r="L2211" s="36">
        <f>VLOOKUP($P2211,매칭테이블!$G:$J,2,0)*H2211</f>
        <v/>
      </c>
      <c r="M2211" s="36">
        <f>L2211-L2211*VLOOKUP($P2211,매칭테이블!$G:$J,3,0)</f>
        <v/>
      </c>
      <c r="N2211" s="36">
        <f>VLOOKUP($P2211,매칭테이블!$G:$J,4,0)*H2211</f>
        <v/>
      </c>
      <c r="O2211" s="52">
        <f>L2211/1.1</f>
        <v/>
      </c>
      <c r="P2211" s="36">
        <f>F2211&amp;E2211&amp;G2211&amp;J2211</f>
        <v/>
      </c>
    </row>
    <row r="2212">
      <c r="B2212" s="51" t="n">
        <v>44176</v>
      </c>
      <c r="C2212" s="36">
        <f>TEXT(B2212,"aaa")</f>
        <v/>
      </c>
      <c r="E2212" s="36">
        <f>INDEX(매칭테이블!C:C,MATCH(RD!G2212,매칭테이블!D:D,0))</f>
        <v/>
      </c>
      <c r="F2212" s="39" t="inlineStr">
        <is>
          <t>카페24</t>
        </is>
      </c>
      <c r="G2212" s="39" t="inlineStr">
        <is>
          <t>유즈 스테이포에버 솔리드퍼퓸 002 (스테이포에버 주문시 12/15 순차배송)제품선택=스테이포에버 솔리드퍼퓸 002[Pre-order 이벤트 17% 할인]</t>
        </is>
      </c>
      <c r="H2212" s="39" t="n">
        <v>56</v>
      </c>
      <c r="I2212" s="36">
        <f>VLOOKUP(G2212,매칭테이블!D:E,2,0)</f>
        <v/>
      </c>
      <c r="J2212" s="39" t="n">
        <v>201210</v>
      </c>
      <c r="L2212" s="36">
        <f>VLOOKUP($P2212,매칭테이블!$G:$J,2,0)*H2212</f>
        <v/>
      </c>
      <c r="M2212" s="36">
        <f>L2212-L2212*VLOOKUP($P2212,매칭테이블!$G:$J,3,0)</f>
        <v/>
      </c>
      <c r="N2212" s="36">
        <f>VLOOKUP($P2212,매칭테이블!$G:$J,4,0)*H2212</f>
        <v/>
      </c>
      <c r="O2212" s="52">
        <f>L2212/1.1</f>
        <v/>
      </c>
      <c r="P2212" s="36">
        <f>F2212&amp;E2212&amp;G2212&amp;J2212</f>
        <v/>
      </c>
    </row>
    <row r="2213">
      <c r="B2213" s="51" t="n">
        <v>44176</v>
      </c>
      <c r="C2213" s="36">
        <f>TEXT(B2213,"aaa")</f>
        <v/>
      </c>
      <c r="E2213" s="36">
        <f>INDEX(매칭테이블!C:C,MATCH(RD!G2213,매칭테이블!D:D,0))</f>
        <v/>
      </c>
      <c r="F2213" s="39" t="inlineStr">
        <is>
          <t>카페24</t>
        </is>
      </c>
      <c r="G2213" s="39" t="inlineStr">
        <is>
          <t>유즈 스테이포에버 솔리드퍼퓸 002 (스테이포에버 주문시 12/15 순차배송)제품선택=best</t>
        </is>
      </c>
      <c r="H2213" s="39" t="n">
        <v>17</v>
      </c>
      <c r="I2213" s="36">
        <f>VLOOKUP(G2213,매칭테이블!D:E,2,0)</f>
        <v/>
      </c>
      <c r="J2213" s="39" t="n">
        <v>201210</v>
      </c>
      <c r="L2213" s="36">
        <f>VLOOKUP($P2213,매칭테이블!$G:$J,2,0)*H2213</f>
        <v/>
      </c>
      <c r="M2213" s="36">
        <f>L2213-L2213*VLOOKUP($P2213,매칭테이블!$G:$J,3,0)</f>
        <v/>
      </c>
      <c r="N2213" s="36">
        <f>VLOOKUP($P2213,매칭테이블!$G:$J,4,0)*H2213</f>
        <v/>
      </c>
      <c r="O2213" s="52">
        <f>L2213/1.1</f>
        <v/>
      </c>
      <c r="P2213" s="36">
        <f>F2213&amp;E2213&amp;G2213&amp;J2213</f>
        <v/>
      </c>
    </row>
    <row r="2214">
      <c r="B2214" s="51" t="n">
        <v>44176</v>
      </c>
      <c r="C2214" s="36">
        <f>TEXT(B2214,"aaa")</f>
        <v/>
      </c>
      <c r="E2214" s="36">
        <f>INDEX(매칭테이블!C:C,MATCH(RD!G2214,매칭테이블!D:D,0))</f>
        <v/>
      </c>
      <c r="F2214" s="39" t="inlineStr">
        <is>
          <t>카페24</t>
        </is>
      </c>
      <c r="G2214" s="39" t="inlineStr">
        <is>
          <t>유즈 스테이포에버 솔리드퍼퓸 002 (스테이포에버 주문시 12/15 순차배송)제품선택=best스테이포에버 2개[28% 할인]</t>
        </is>
      </c>
      <c r="H2214" s="39" t="n">
        <v>30</v>
      </c>
      <c r="I2214" s="36">
        <f>VLOOKUP(G2214,매칭테이블!D:E,2,0)</f>
        <v/>
      </c>
      <c r="J2214" s="39" t="n">
        <v>201210</v>
      </c>
      <c r="L2214" s="36">
        <f>VLOOKUP($P2214,매칭테이블!$G:$J,2,0)*H2214</f>
        <v/>
      </c>
      <c r="M2214" s="36">
        <f>L2214-L2214*VLOOKUP($P2214,매칭테이블!$G:$J,3,0)</f>
        <v/>
      </c>
      <c r="N2214" s="36">
        <f>VLOOKUP($P2214,매칭테이블!$G:$J,4,0)*H2214</f>
        <v/>
      </c>
      <c r="O2214" s="52">
        <f>L2214/1.1</f>
        <v/>
      </c>
      <c r="P2214" s="36">
        <f>F2214&amp;E2214&amp;G2214&amp;J2214</f>
        <v/>
      </c>
    </row>
    <row r="2215">
      <c r="B2215" s="51" t="n">
        <v>44176</v>
      </c>
      <c r="C2215" s="36">
        <f>TEXT(B2215,"aaa")</f>
        <v/>
      </c>
      <c r="E2215" s="36">
        <f>INDEX(매칭테이블!C:C,MATCH(RD!G2215,매칭테이블!D:D,0))</f>
        <v/>
      </c>
      <c r="F2215" s="39" t="inlineStr">
        <is>
          <t>카페24</t>
        </is>
      </c>
      <c r="G2215" s="39" t="inlineStr">
        <is>
          <t>유즈 스테이포에버 솔리드퍼퓸 002 (스테이포에버 주문시 12/15 순차배송)제품선택=스테이포에버 2개 세트[Pre-order 이벤트 28% 할인]</t>
        </is>
      </c>
      <c r="H2215" s="39" t="n">
        <v>22</v>
      </c>
      <c r="I2215" s="36">
        <f>VLOOKUP(G2215,매칭테이블!D:E,2,0)</f>
        <v/>
      </c>
      <c r="J2215" s="39" t="n">
        <v>201210</v>
      </c>
      <c r="L2215" s="36">
        <f>VLOOKUP($P2215,매칭테이블!$G:$J,2,0)*H2215</f>
        <v/>
      </c>
      <c r="M2215" s="36">
        <f>L2215-L2215*VLOOKUP($P2215,매칭테이블!$G:$J,3,0)</f>
        <v/>
      </c>
      <c r="N2215" s="36">
        <f>VLOOKUP($P2215,매칭테이블!$G:$J,4,0)*H2215</f>
        <v/>
      </c>
      <c r="O2215" s="52">
        <f>L2215/1.1</f>
        <v/>
      </c>
      <c r="P2215" s="36">
        <f>F2215&amp;E2215&amp;G2215&amp;J2215</f>
        <v/>
      </c>
    </row>
    <row r="2216">
      <c r="B2216" s="51" t="n">
        <v>44176</v>
      </c>
      <c r="C2216" s="36">
        <f>TEXT(B2216,"aaa")</f>
        <v/>
      </c>
      <c r="E2216" s="36">
        <f>INDEX(매칭테이블!C:C,MATCH(RD!G2216,매칭테이블!D:D,0))</f>
        <v/>
      </c>
      <c r="F2216" s="39" t="inlineStr">
        <is>
          <t>카페24</t>
        </is>
      </c>
      <c r="G2216" s="39" t="inlineStr">
        <is>
          <t>유즈 스테이포에버 솔리드퍼퓸 002 (스테이포에버 주문시 12/15 순차배송)제품선택=스테이포에버 + 이그나이트 세트</t>
        </is>
      </c>
      <c r="H2216" s="39" t="n">
        <v>2</v>
      </c>
      <c r="I2216" s="36">
        <f>VLOOKUP(G2216,매칭테이블!D:E,2,0)</f>
        <v/>
      </c>
      <c r="J2216" s="39" t="n">
        <v>201210</v>
      </c>
      <c r="L2216" s="36">
        <f>VLOOKUP($P2216,매칭테이블!$G:$J,2,0)*H2216</f>
        <v/>
      </c>
      <c r="M2216" s="36">
        <f>L2216-L2216*VLOOKUP($P2216,매칭테이블!$G:$J,3,0)</f>
        <v/>
      </c>
      <c r="N2216" s="36">
        <f>VLOOKUP($P2216,매칭테이블!$G:$J,4,0)*H2216</f>
        <v/>
      </c>
      <c r="O2216" s="52">
        <f>L2216/1.1</f>
        <v/>
      </c>
      <c r="P2216" s="36">
        <f>F2216&amp;E2216&amp;G2216&amp;J2216</f>
        <v/>
      </c>
    </row>
    <row r="2217">
      <c r="B2217" s="51" t="n">
        <v>44176</v>
      </c>
      <c r="C2217" s="36">
        <f>TEXT(B2217,"aaa")</f>
        <v/>
      </c>
      <c r="E2217" s="36">
        <f>INDEX(매칭테이블!C:C,MATCH(RD!G2217,매칭테이블!D:D,0))</f>
        <v/>
      </c>
      <c r="F2217" s="39" t="inlineStr">
        <is>
          <t>카페24</t>
        </is>
      </c>
      <c r="G2217" s="39" t="inlineStr">
        <is>
          <t>유즈 스테이포에버 솔리드퍼퓸 002 (스테이포에버 주문시 12/15 순차배송)제품선택=커플추천</t>
        </is>
      </c>
      <c r="H2217" s="39" t="n">
        <v>3</v>
      </c>
      <c r="I2217" s="36">
        <f>VLOOKUP(G2217,매칭테이블!D:E,2,0)</f>
        <v/>
      </c>
      <c r="J2217" s="39" t="n">
        <v>201210</v>
      </c>
      <c r="L2217" s="36">
        <f>VLOOKUP($P2217,매칭테이블!$G:$J,2,0)*H2217</f>
        <v/>
      </c>
      <c r="M2217" s="36">
        <f>L2217-L2217*VLOOKUP($P2217,매칭테이블!$G:$J,3,0)</f>
        <v/>
      </c>
      <c r="N2217" s="36">
        <f>VLOOKUP($P2217,매칭테이블!$G:$J,4,0)*H2217</f>
        <v/>
      </c>
      <c r="O2217" s="52">
        <f>L2217/1.1</f>
        <v/>
      </c>
      <c r="P2217" s="36">
        <f>F2217&amp;E2217&amp;G2217&amp;J2217</f>
        <v/>
      </c>
    </row>
    <row r="2218">
      <c r="B2218" s="51" t="n">
        <v>44176</v>
      </c>
      <c r="C2218" s="36">
        <f>TEXT(B2218,"aaa")</f>
        <v/>
      </c>
      <c r="E2218" s="36">
        <f>INDEX(매칭테이블!C:C,MATCH(RD!G2218,매칭테이블!D:D,0))</f>
        <v/>
      </c>
      <c r="F2218" s="39" t="inlineStr">
        <is>
          <t>카페24</t>
        </is>
      </c>
      <c r="G2218" s="39" t="inlineStr">
        <is>
          <t>유즈 스테이포에버 솔리드퍼퓸 002 (스테이포에버 주문시 12/15 순차배송)쇼핑백=선물용 쇼핑백</t>
        </is>
      </c>
      <c r="H2218" s="39" t="n">
        <v>6</v>
      </c>
      <c r="I2218" s="36">
        <f>VLOOKUP(G2218,매칭테이블!D:E,2,0)</f>
        <v/>
      </c>
      <c r="J2218" s="39" t="n">
        <v>201210</v>
      </c>
      <c r="L2218" s="36">
        <f>VLOOKUP($P2218,매칭테이블!$G:$J,2,0)*H2218</f>
        <v/>
      </c>
      <c r="M2218" s="36">
        <f>L2218-L2218*VLOOKUP($P2218,매칭테이블!$G:$J,3,0)</f>
        <v/>
      </c>
      <c r="N2218" s="36">
        <f>VLOOKUP($P2218,매칭테이블!$G:$J,4,0)*H2218</f>
        <v/>
      </c>
      <c r="O2218" s="52">
        <f>L2218/1.1</f>
        <v/>
      </c>
      <c r="P2218" s="36">
        <f>F2218&amp;E2218&amp;G2218&amp;J2218</f>
        <v/>
      </c>
    </row>
    <row r="2219">
      <c r="B2219" s="51" t="n">
        <v>44176</v>
      </c>
      <c r="C2219" s="36">
        <f>TEXT(B2219,"aaa")</f>
        <v/>
      </c>
      <c r="E2219" s="36">
        <f>INDEX(매칭테이블!C:C,MATCH(RD!G2219,매칭테이블!D:D,0))</f>
        <v/>
      </c>
      <c r="F2219" s="39" t="inlineStr">
        <is>
          <t>카페24</t>
        </is>
      </c>
      <c r="G2219" s="39" t="inlineStr">
        <is>
          <t>유즈 이그나이트 솔리드퍼퓸 001제품선택=이그나이트 솔리드퍼퓸 - 30ml</t>
        </is>
      </c>
      <c r="H2219" s="39" t="n">
        <v>3</v>
      </c>
      <c r="I2219" s="36">
        <f>VLOOKUP(G2219,매칭테이블!D:E,2,0)</f>
        <v/>
      </c>
      <c r="J2219" s="39" t="n">
        <v>201210</v>
      </c>
      <c r="L2219" s="36">
        <f>VLOOKUP($P2219,매칭테이블!$G:$J,2,0)*H2219</f>
        <v/>
      </c>
      <c r="M2219" s="36">
        <f>L2219-L2219*VLOOKUP($P2219,매칭테이블!$G:$J,3,0)</f>
        <v/>
      </c>
      <c r="N2219" s="36">
        <f>VLOOKUP($P2219,매칭테이블!$G:$J,4,0)*H2219</f>
        <v/>
      </c>
      <c r="O2219" s="52">
        <f>L2219/1.1</f>
        <v/>
      </c>
      <c r="P2219" s="36">
        <f>F2219&amp;E2219&amp;G2219&amp;J2219</f>
        <v/>
      </c>
    </row>
    <row r="2220">
      <c r="B2220" s="51" t="n">
        <v>44176</v>
      </c>
      <c r="C2220" s="36">
        <f>TEXT(B2220,"aaa")</f>
        <v/>
      </c>
      <c r="E2220" s="36">
        <f>INDEX(매칭테이블!C:C,MATCH(RD!G2220,매칭테이블!D:D,0))</f>
        <v/>
      </c>
      <c r="F2220" s="39" t="inlineStr">
        <is>
          <t>카페24</t>
        </is>
      </c>
      <c r="G2220" s="39" t="inlineStr">
        <is>
          <t>유즈 이그나이트 솔리드퍼퓸 001제품선택=이그나이트 2개 세트</t>
        </is>
      </c>
      <c r="H2220" s="39" t="n">
        <v>2</v>
      </c>
      <c r="I2220" s="36">
        <f>VLOOKUP(G2220,매칭테이블!D:E,2,0)</f>
        <v/>
      </c>
      <c r="J2220" s="39" t="n">
        <v>201210</v>
      </c>
      <c r="L2220" s="36">
        <f>VLOOKUP($P2220,매칭테이블!$G:$J,2,0)*H2220</f>
        <v/>
      </c>
      <c r="M2220" s="36">
        <f>L2220-L2220*VLOOKUP($P2220,매칭테이블!$G:$J,3,0)</f>
        <v/>
      </c>
      <c r="N2220" s="36">
        <f>VLOOKUP($P2220,매칭테이블!$G:$J,4,0)*H2220</f>
        <v/>
      </c>
      <c r="O2220" s="52">
        <f>L2220/1.1</f>
        <v/>
      </c>
      <c r="P2220" s="36">
        <f>F2220&amp;E2220&amp;G2220&amp;J2220</f>
        <v/>
      </c>
    </row>
    <row r="2221">
      <c r="B2221" s="51" t="n">
        <v>44177</v>
      </c>
      <c r="C2221" s="36">
        <f>TEXT(B2221,"aaa")</f>
        <v/>
      </c>
      <c r="E2221" s="36">
        <f>INDEX(매칭테이블!C:C,MATCH(RD!G2221,매칭테이블!D:D,0))</f>
        <v/>
      </c>
      <c r="F2221" s="39" t="inlineStr">
        <is>
          <t>카페24</t>
        </is>
      </c>
      <c r="G2221" s="39" t="inlineStr">
        <is>
          <t>유즈 솔리드퍼퓸 - 30ml (스테이포에버 주문 시 12/15 순차배송)향=이그나이트 001 SOLID PERFUME, 세트 선택=1</t>
        </is>
      </c>
      <c r="H2221" s="39" t="n">
        <v>1</v>
      </c>
      <c r="I2221" s="36">
        <f>VLOOKUP(G2221,매칭테이블!D:E,2,0)</f>
        <v/>
      </c>
      <c r="J2221" s="39" t="n">
        <v>201210</v>
      </c>
      <c r="L2221" s="36">
        <f>VLOOKUP($P2221,매칭테이블!$G:$J,2,0)*H2221</f>
        <v/>
      </c>
      <c r="M2221" s="36">
        <f>L2221-L2221*VLOOKUP($P2221,매칭테이블!$G:$J,3,0)</f>
        <v/>
      </c>
      <c r="N2221" s="36">
        <f>VLOOKUP($P2221,매칭테이블!$G:$J,4,0)*H2221</f>
        <v/>
      </c>
      <c r="O2221" s="52">
        <f>L2221/1.1</f>
        <v/>
      </c>
      <c r="P2221" s="36">
        <f>F2221&amp;E2221&amp;G2221&amp;J2221</f>
        <v/>
      </c>
    </row>
    <row r="2222">
      <c r="B2222" s="51" t="n">
        <v>44177</v>
      </c>
      <c r="C2222" s="36">
        <f>TEXT(B2222,"aaa")</f>
        <v/>
      </c>
      <c r="E2222" s="36">
        <f>INDEX(매칭테이블!C:C,MATCH(RD!G2222,매칭테이블!D:D,0))</f>
        <v/>
      </c>
      <c r="F2222" s="39" t="inlineStr">
        <is>
          <t>카페24</t>
        </is>
      </c>
      <c r="G2222" s="39" t="inlineStr">
        <is>
          <t>유즈 솔리드퍼퓸 - 30ml (스테이포에버 주문 시 12/15 순차배송)향=스테이포에버 002 SOLID PERFUME, 세트 선택=1</t>
        </is>
      </c>
      <c r="H2222" s="39" t="n">
        <v>14</v>
      </c>
      <c r="I2222" s="36">
        <f>VLOOKUP(G2222,매칭테이블!D:E,2,0)</f>
        <v/>
      </c>
      <c r="J2222" s="39" t="n">
        <v>201210</v>
      </c>
      <c r="L2222" s="36">
        <f>VLOOKUP($P2222,매칭테이블!$G:$J,2,0)*H2222</f>
        <v/>
      </c>
      <c r="M2222" s="36">
        <f>L2222-L2222*VLOOKUP($P2222,매칭테이블!$G:$J,3,0)</f>
        <v/>
      </c>
      <c r="N2222" s="36">
        <f>VLOOKUP($P2222,매칭테이블!$G:$J,4,0)*H2222</f>
        <v/>
      </c>
      <c r="O2222" s="52">
        <f>L2222/1.1</f>
        <v/>
      </c>
      <c r="P2222" s="36">
        <f>F2222&amp;E2222&amp;G2222&amp;J2222</f>
        <v/>
      </c>
    </row>
    <row r="2223">
      <c r="B2223" s="51" t="n">
        <v>44177</v>
      </c>
      <c r="C2223" s="36">
        <f>TEXT(B2223,"aaa")</f>
        <v/>
      </c>
      <c r="E2223" s="36">
        <f>INDEX(매칭테이블!C:C,MATCH(RD!G2223,매칭테이블!D:D,0))</f>
        <v/>
      </c>
      <c r="F2223" s="39" t="inlineStr">
        <is>
          <t>카페24</t>
        </is>
      </c>
      <c r="G2223" s="39" t="inlineStr">
        <is>
          <t>유즈 솔리드퍼퓸 - 30ml (스테이포에버 주문 시 12/15 순차배송)향=스테이포에버 002 SOLID PERFUME, 세트 선택=best</t>
        </is>
      </c>
      <c r="H2223" s="39" t="n">
        <v>5</v>
      </c>
      <c r="I2223" s="36">
        <f>VLOOKUP(G2223,매칭테이블!D:E,2,0)</f>
        <v/>
      </c>
      <c r="J2223" s="39" t="n">
        <v>201210</v>
      </c>
      <c r="L2223" s="36">
        <f>VLOOKUP($P2223,매칭테이블!$G:$J,2,0)*H2223</f>
        <v/>
      </c>
      <c r="M2223" s="36">
        <f>L2223-L2223*VLOOKUP($P2223,매칭테이블!$G:$J,3,0)</f>
        <v/>
      </c>
      <c r="N2223" s="36">
        <f>VLOOKUP($P2223,매칭테이블!$G:$J,4,0)*H2223</f>
        <v/>
      </c>
      <c r="O2223" s="52">
        <f>L2223/1.1</f>
        <v/>
      </c>
      <c r="P2223" s="36">
        <f>F2223&amp;E2223&amp;G2223&amp;J2223</f>
        <v/>
      </c>
    </row>
    <row r="2224">
      <c r="B2224" s="51" t="n">
        <v>44177</v>
      </c>
      <c r="C2224" s="36">
        <f>TEXT(B2224,"aaa")</f>
        <v/>
      </c>
      <c r="E2224" s="36">
        <f>INDEX(매칭테이블!C:C,MATCH(RD!G2224,매칭테이블!D:D,0))</f>
        <v/>
      </c>
      <c r="F2224" s="39" t="inlineStr">
        <is>
          <t>카페24</t>
        </is>
      </c>
      <c r="G2224" s="39" t="inlineStr">
        <is>
          <t>유즈 솔리드퍼퓸 - 30ml (스테이포에버 주문 시 12/15 순차배송)향=스테이포에버 002 SOLID PERFUME, 세트 선택=best(28% 할인)2개</t>
        </is>
      </c>
      <c r="H2224" s="39" t="n">
        <v>5</v>
      </c>
      <c r="I2224" s="36">
        <f>VLOOKUP(G2224,매칭테이블!D:E,2,0)</f>
        <v/>
      </c>
      <c r="J2224" s="39" t="n">
        <v>201210</v>
      </c>
      <c r="L2224" s="36">
        <f>VLOOKUP($P2224,매칭테이블!$G:$J,2,0)*H2224</f>
        <v/>
      </c>
      <c r="M2224" s="36">
        <f>L2224-L2224*VLOOKUP($P2224,매칭테이블!$G:$J,3,0)</f>
        <v/>
      </c>
      <c r="N2224" s="36">
        <f>VLOOKUP($P2224,매칭테이블!$G:$J,4,0)*H2224</f>
        <v/>
      </c>
      <c r="O2224" s="52">
        <f>L2224/1.1</f>
        <v/>
      </c>
      <c r="P2224" s="36">
        <f>F2224&amp;E2224&amp;G2224&amp;J2224</f>
        <v/>
      </c>
    </row>
    <row r="2225">
      <c r="B2225" s="51" t="n">
        <v>44177</v>
      </c>
      <c r="C2225" s="36">
        <f>TEXT(B2225,"aaa")</f>
        <v/>
      </c>
      <c r="E2225" s="36">
        <f>INDEX(매칭테이블!C:C,MATCH(RD!G2225,매칭테이블!D:D,0))</f>
        <v/>
      </c>
      <c r="F2225" s="39" t="inlineStr">
        <is>
          <t>카페24</t>
        </is>
      </c>
      <c r="G2225" s="39" t="inlineStr">
        <is>
          <t>유즈 솔리드퍼퓸 - 30ml (스테이포에버 주문 시 12/15 순차배송)향=커플세트</t>
        </is>
      </c>
      <c r="H2225" s="39" t="n">
        <v>6</v>
      </c>
      <c r="I2225" s="36">
        <f>VLOOKUP(G2225,매칭테이블!D:E,2,0)</f>
        <v/>
      </c>
      <c r="J2225" s="39" t="n">
        <v>201210</v>
      </c>
      <c r="L2225" s="36">
        <f>VLOOKUP($P2225,매칭테이블!$G:$J,2,0)*H2225</f>
        <v/>
      </c>
      <c r="M2225" s="36">
        <f>L2225-L2225*VLOOKUP($P2225,매칭테이블!$G:$J,3,0)</f>
        <v/>
      </c>
      <c r="N2225" s="36">
        <f>VLOOKUP($P2225,매칭테이블!$G:$J,4,0)*H2225</f>
        <v/>
      </c>
      <c r="O2225" s="52">
        <f>L2225/1.1</f>
        <v/>
      </c>
      <c r="P2225" s="36">
        <f>F2225&amp;E2225&amp;G2225&amp;J2225</f>
        <v/>
      </c>
    </row>
    <row r="2226">
      <c r="B2226" s="51" t="n">
        <v>44177</v>
      </c>
      <c r="C2226" s="36">
        <f>TEXT(B2226,"aaa")</f>
        <v/>
      </c>
      <c r="E2226" s="36">
        <f>INDEX(매칭테이블!C:C,MATCH(RD!G2226,매칭테이블!D:D,0))</f>
        <v/>
      </c>
      <c r="F2226" s="39" t="inlineStr">
        <is>
          <t>카페24</t>
        </is>
      </c>
      <c r="G2226" s="39" t="inlineStr">
        <is>
          <t>유즈 솔리드퍼퓸 - 30ml (스테이포에버 주문 시 12/15 순차배송)향=커플세트(이그나이트 + 스테이포에버), 세트 선택=1 SET</t>
        </is>
      </c>
      <c r="H2226" s="39" t="n">
        <v>5</v>
      </c>
      <c r="I2226" s="36">
        <f>VLOOKUP(G2226,매칭테이블!D:E,2,0)</f>
        <v/>
      </c>
      <c r="J2226" s="39" t="n">
        <v>201210</v>
      </c>
      <c r="L2226" s="36">
        <f>VLOOKUP($P2226,매칭테이블!$G:$J,2,0)*H2226</f>
        <v/>
      </c>
      <c r="M2226" s="36">
        <f>L2226-L2226*VLOOKUP($P2226,매칭테이블!$G:$J,3,0)</f>
        <v/>
      </c>
      <c r="N2226" s="36">
        <f>VLOOKUP($P2226,매칭테이블!$G:$J,4,0)*H2226</f>
        <v/>
      </c>
      <c r="O2226" s="52">
        <f>L2226/1.1</f>
        <v/>
      </c>
      <c r="P2226" s="36">
        <f>F2226&amp;E2226&amp;G2226&amp;J2226</f>
        <v/>
      </c>
    </row>
    <row r="2227">
      <c r="B2227" s="51" t="n">
        <v>44177</v>
      </c>
      <c r="C2227" s="36">
        <f>TEXT(B2227,"aaa")</f>
        <v/>
      </c>
      <c r="E2227" s="36">
        <f>INDEX(매칭테이블!C:C,MATCH(RD!G2227,매칭테이블!D:D,0))</f>
        <v/>
      </c>
      <c r="F2227" s="39" t="inlineStr">
        <is>
          <t>카페24</t>
        </is>
      </c>
      <c r="G2227" s="39" t="inlineStr">
        <is>
          <t>유즈 솔리드퍼퓸 - 30ml (스테이포에버 주문 시 12/15 순차배송)향=커플세트</t>
        </is>
      </c>
      <c r="H2227" s="39" t="n">
        <v>1</v>
      </c>
      <c r="I2227" s="36">
        <f>VLOOKUP(G2227,매칭테이블!D:E,2,0)</f>
        <v/>
      </c>
      <c r="J2227" s="39" t="n">
        <v>201210</v>
      </c>
      <c r="L2227" s="36">
        <f>VLOOKUP($P2227,매칭테이블!$G:$J,2,0)*H2227</f>
        <v/>
      </c>
      <c r="M2227" s="36">
        <f>L2227-L2227*VLOOKUP($P2227,매칭테이블!$G:$J,3,0)</f>
        <v/>
      </c>
      <c r="N2227" s="36">
        <f>VLOOKUP($P2227,매칭테이블!$G:$J,4,0)*H2227</f>
        <v/>
      </c>
      <c r="O2227" s="52">
        <f>L2227/1.1</f>
        <v/>
      </c>
      <c r="P2227" s="36">
        <f>F2227&amp;E2227&amp;G2227&amp;J2227</f>
        <v/>
      </c>
    </row>
    <row r="2228">
      <c r="B2228" s="51" t="n">
        <v>44177</v>
      </c>
      <c r="C2228" s="36">
        <f>TEXT(B2228,"aaa")</f>
        <v/>
      </c>
      <c r="E2228" s="36">
        <f>INDEX(매칭테이블!C:C,MATCH(RD!G2228,매칭테이블!D:D,0))</f>
        <v/>
      </c>
      <c r="F2228" s="39" t="inlineStr">
        <is>
          <t>카페24</t>
        </is>
      </c>
      <c r="G2228" s="39" t="inlineStr">
        <is>
          <t>유즈 솔리드퍼퓸 - 30ml (스테이포에버 주문 시 12/15 순차배송)향=커플세트(이그나이트 + 스테이포에버), 세트 선택=2 SET (42% 할인)</t>
        </is>
      </c>
      <c r="H2228" s="39" t="n">
        <v>2</v>
      </c>
      <c r="I2228" s="36">
        <f>VLOOKUP(G2228,매칭테이블!D:E,2,0)</f>
        <v/>
      </c>
      <c r="J2228" s="39" t="n">
        <v>201210</v>
      </c>
      <c r="L2228" s="36">
        <f>VLOOKUP($P2228,매칭테이블!$G:$J,2,0)*H2228</f>
        <v/>
      </c>
      <c r="M2228" s="36">
        <f>L2228-L2228*VLOOKUP($P2228,매칭테이블!$G:$J,3,0)</f>
        <v/>
      </c>
      <c r="N2228" s="36">
        <f>VLOOKUP($P2228,매칭테이블!$G:$J,4,0)*H2228</f>
        <v/>
      </c>
      <c r="O2228" s="52">
        <f>L2228/1.1</f>
        <v/>
      </c>
      <c r="P2228" s="36">
        <f>F2228&amp;E2228&amp;G2228&amp;J2228</f>
        <v/>
      </c>
    </row>
    <row r="2229">
      <c r="B2229" s="51" t="n">
        <v>44177</v>
      </c>
      <c r="C2229" s="36">
        <f>TEXT(B2229,"aaa")</f>
        <v/>
      </c>
      <c r="E2229" s="36">
        <f>INDEX(매칭테이블!C:C,MATCH(RD!G2229,매칭테이블!D:D,0))</f>
        <v/>
      </c>
      <c r="F2229" s="39" t="inlineStr">
        <is>
          <t>카페24</t>
        </is>
      </c>
      <c r="G2229" s="39" t="inlineStr">
        <is>
          <t>유즈 스테이포에버 솔리드퍼퓸 002 (스테이포에버 주문시 12/14 순차배송)제품선택=스테이포에버 2개 세트[Pre-order 이벤트 28% 할인]</t>
        </is>
      </c>
      <c r="H2229" s="39" t="n">
        <v>1</v>
      </c>
      <c r="I2229" s="36">
        <f>VLOOKUP(G2229,매칭테이블!D:E,2,0)</f>
        <v/>
      </c>
      <c r="J2229" s="39" t="n">
        <v>201210</v>
      </c>
      <c r="L2229" s="36">
        <f>VLOOKUP($P2229,매칭테이블!$G:$J,2,0)*H2229</f>
        <v/>
      </c>
      <c r="M2229" s="36">
        <f>L2229-L2229*VLOOKUP($P2229,매칭테이블!$G:$J,3,0)</f>
        <v/>
      </c>
      <c r="N2229" s="36">
        <f>VLOOKUP($P2229,매칭테이블!$G:$J,4,0)*H2229</f>
        <v/>
      </c>
      <c r="O2229" s="52">
        <f>L2229/1.1</f>
        <v/>
      </c>
      <c r="P2229" s="36">
        <f>F2229&amp;E2229&amp;G2229&amp;J2229</f>
        <v/>
      </c>
    </row>
    <row r="2230">
      <c r="B2230" s="51" t="n">
        <v>44177</v>
      </c>
      <c r="C2230" s="36">
        <f>TEXT(B2230,"aaa")</f>
        <v/>
      </c>
      <c r="E2230" s="36">
        <f>INDEX(매칭테이블!C:C,MATCH(RD!G2230,매칭테이블!D:D,0))</f>
        <v/>
      </c>
      <c r="F2230" s="39" t="inlineStr">
        <is>
          <t>카페24</t>
        </is>
      </c>
      <c r="G2230" s="39" t="inlineStr">
        <is>
          <t>유즈 스테이포에버 솔리드퍼퓸 002 (스테이포에버 주문시 12/15 순차배송)제품선택=스테이포에버 1개</t>
        </is>
      </c>
      <c r="H2230" s="39" t="n">
        <v>190</v>
      </c>
      <c r="I2230" s="36">
        <f>VLOOKUP(G2230,매칭테이블!D:E,2,0)</f>
        <v/>
      </c>
      <c r="J2230" s="39" t="n">
        <v>201210</v>
      </c>
      <c r="L2230" s="36">
        <f>VLOOKUP($P2230,매칭테이블!$G:$J,2,0)*H2230</f>
        <v/>
      </c>
      <c r="M2230" s="36">
        <f>L2230-L2230*VLOOKUP($P2230,매칭테이블!$G:$J,3,0)</f>
        <v/>
      </c>
      <c r="N2230" s="36">
        <f>VLOOKUP($P2230,매칭테이블!$G:$J,4,0)*H2230</f>
        <v/>
      </c>
      <c r="O2230" s="52">
        <f>L2230/1.1</f>
        <v/>
      </c>
      <c r="P2230" s="36">
        <f>F2230&amp;E2230&amp;G2230&amp;J2230</f>
        <v/>
      </c>
    </row>
    <row r="2231">
      <c r="B2231" s="51" t="n">
        <v>44177</v>
      </c>
      <c r="C2231" s="36">
        <f>TEXT(B2231,"aaa")</f>
        <v/>
      </c>
      <c r="E2231" s="36">
        <f>INDEX(매칭테이블!C:C,MATCH(RD!G2231,매칭테이블!D:D,0))</f>
        <v/>
      </c>
      <c r="F2231" s="39" t="inlineStr">
        <is>
          <t>카페24</t>
        </is>
      </c>
      <c r="G2231" s="39" t="inlineStr">
        <is>
          <t>유즈 스테이포에버 솔리드퍼퓸 002 (스테이포에버 주문시 12/15 순차배송)제품선택=스테이포에버 [17% 할인]</t>
        </is>
      </c>
      <c r="H2231" s="39" t="n">
        <v>1</v>
      </c>
      <c r="I2231" s="36">
        <f>VLOOKUP(G2231,매칭테이블!D:E,2,0)</f>
        <v/>
      </c>
      <c r="J2231" s="39" t="n">
        <v>201210</v>
      </c>
      <c r="L2231" s="36">
        <f>VLOOKUP($P2231,매칭테이블!$G:$J,2,0)*H2231</f>
        <v/>
      </c>
      <c r="M2231" s="36">
        <f>L2231-L2231*VLOOKUP($P2231,매칭테이블!$G:$J,3,0)</f>
        <v/>
      </c>
      <c r="N2231" s="36">
        <f>VLOOKUP($P2231,매칭테이블!$G:$J,4,0)*H2231</f>
        <v/>
      </c>
      <c r="O2231" s="52">
        <f>L2231/1.1</f>
        <v/>
      </c>
      <c r="P2231" s="36">
        <f>F2231&amp;E2231&amp;G2231&amp;J2231</f>
        <v/>
      </c>
    </row>
    <row r="2232">
      <c r="B2232" s="51" t="n">
        <v>44177</v>
      </c>
      <c r="C2232" s="36">
        <f>TEXT(B2232,"aaa")</f>
        <v/>
      </c>
      <c r="E2232" s="36">
        <f>INDEX(매칭테이블!C:C,MATCH(RD!G2232,매칭테이블!D:D,0))</f>
        <v/>
      </c>
      <c r="F2232" s="39" t="inlineStr">
        <is>
          <t>카페24</t>
        </is>
      </c>
      <c r="G2232" s="39" t="inlineStr">
        <is>
          <t>유즈 스테이포에버 솔리드퍼퓸 002 (스테이포에버 주문시 12/15 순차배송)제품선택=best</t>
        </is>
      </c>
      <c r="H2232" s="39" t="n">
        <v>45</v>
      </c>
      <c r="I2232" s="36">
        <f>VLOOKUP(G2232,매칭테이블!D:E,2,0)</f>
        <v/>
      </c>
      <c r="J2232" s="39" t="n">
        <v>201210</v>
      </c>
      <c r="L2232" s="36">
        <f>VLOOKUP($P2232,매칭테이블!$G:$J,2,0)*H2232</f>
        <v/>
      </c>
      <c r="M2232" s="36">
        <f>L2232-L2232*VLOOKUP($P2232,매칭테이블!$G:$J,3,0)</f>
        <v/>
      </c>
      <c r="N2232" s="36">
        <f>VLOOKUP($P2232,매칭테이블!$G:$J,4,0)*H2232</f>
        <v/>
      </c>
      <c r="O2232" s="52">
        <f>L2232/1.1</f>
        <v/>
      </c>
      <c r="P2232" s="36">
        <f>F2232&amp;E2232&amp;G2232&amp;J2232</f>
        <v/>
      </c>
    </row>
    <row r="2233">
      <c r="B2233" s="51" t="n">
        <v>44177</v>
      </c>
      <c r="C2233" s="36">
        <f>TEXT(B2233,"aaa")</f>
        <v/>
      </c>
      <c r="E2233" s="36">
        <f>INDEX(매칭테이블!C:C,MATCH(RD!G2233,매칭테이블!D:D,0))</f>
        <v/>
      </c>
      <c r="F2233" s="39" t="inlineStr">
        <is>
          <t>카페24</t>
        </is>
      </c>
      <c r="G2233" s="39" t="inlineStr">
        <is>
          <t>유즈 스테이포에버 솔리드퍼퓸 002 (스테이포에버 주문시 12/15 순차배송)제품선택=best스테이포에버 2개[28% 할인]</t>
        </is>
      </c>
      <c r="H2233" s="39" t="n">
        <v>55</v>
      </c>
      <c r="I2233" s="36">
        <f>VLOOKUP(G2233,매칭테이블!D:E,2,0)</f>
        <v/>
      </c>
      <c r="J2233" s="39" t="n">
        <v>201210</v>
      </c>
      <c r="L2233" s="36">
        <f>VLOOKUP($P2233,매칭테이블!$G:$J,2,0)*H2233</f>
        <v/>
      </c>
      <c r="M2233" s="36">
        <f>L2233-L2233*VLOOKUP($P2233,매칭테이블!$G:$J,3,0)</f>
        <v/>
      </c>
      <c r="N2233" s="36">
        <f>VLOOKUP($P2233,매칭테이블!$G:$J,4,0)*H2233</f>
        <v/>
      </c>
      <c r="O2233" s="52">
        <f>L2233/1.1</f>
        <v/>
      </c>
      <c r="P2233" s="36">
        <f>F2233&amp;E2233&amp;G2233&amp;J2233</f>
        <v/>
      </c>
    </row>
    <row r="2234">
      <c r="B2234" s="51" t="n">
        <v>44177</v>
      </c>
      <c r="C2234" s="36">
        <f>TEXT(B2234,"aaa")</f>
        <v/>
      </c>
      <c r="E2234" s="36">
        <f>INDEX(매칭테이블!C:C,MATCH(RD!G2234,매칭테이블!D:D,0))</f>
        <v/>
      </c>
      <c r="F2234" s="39" t="inlineStr">
        <is>
          <t>카페24</t>
        </is>
      </c>
      <c r="G2234" s="39" t="inlineStr">
        <is>
          <t>유즈 스테이포에버 솔리드퍼퓸 002 (스테이포에버 주문시 12/15 순차배송)제품선택=스테이포에버 2개 세트[Pre-order 이벤트 28% 할인]</t>
        </is>
      </c>
      <c r="H2234" s="39" t="n">
        <v>1</v>
      </c>
      <c r="I2234" s="36">
        <f>VLOOKUP(G2234,매칭테이블!D:E,2,0)</f>
        <v/>
      </c>
      <c r="J2234" s="39" t="n">
        <v>201210</v>
      </c>
      <c r="L2234" s="36">
        <f>VLOOKUP($P2234,매칭테이블!$G:$J,2,0)*H2234</f>
        <v/>
      </c>
      <c r="M2234" s="36">
        <f>L2234-L2234*VLOOKUP($P2234,매칭테이블!$G:$J,3,0)</f>
        <v/>
      </c>
      <c r="N2234" s="36">
        <f>VLOOKUP($P2234,매칭테이블!$G:$J,4,0)*H2234</f>
        <v/>
      </c>
      <c r="O2234" s="52">
        <f>L2234/1.1</f>
        <v/>
      </c>
      <c r="P2234" s="36">
        <f>F2234&amp;E2234&amp;G2234&amp;J2234</f>
        <v/>
      </c>
    </row>
    <row r="2235">
      <c r="B2235" s="51" t="n">
        <v>44177</v>
      </c>
      <c r="C2235" s="36">
        <f>TEXT(B2235,"aaa")</f>
        <v/>
      </c>
      <c r="E2235" s="36">
        <f>INDEX(매칭테이블!C:C,MATCH(RD!G2235,매칭테이블!D:D,0))</f>
        <v/>
      </c>
      <c r="F2235" s="39" t="inlineStr">
        <is>
          <t>카페24</t>
        </is>
      </c>
      <c r="G2235" s="39" t="inlineStr">
        <is>
          <t>유즈 스테이포에버 솔리드퍼퓸 002 (스테이포에버 주문시 12/15 순차배송)제품선택=커플추천</t>
        </is>
      </c>
      <c r="H2235" s="39" t="n">
        <v>6</v>
      </c>
      <c r="I2235" s="36">
        <f>VLOOKUP(G2235,매칭테이블!D:E,2,0)</f>
        <v/>
      </c>
      <c r="J2235" s="39" t="n">
        <v>201210</v>
      </c>
      <c r="L2235" s="36">
        <f>VLOOKUP($P2235,매칭테이블!$G:$J,2,0)*H2235</f>
        <v/>
      </c>
      <c r="M2235" s="36">
        <f>L2235-L2235*VLOOKUP($P2235,매칭테이블!$G:$J,3,0)</f>
        <v/>
      </c>
      <c r="N2235" s="36">
        <f>VLOOKUP($P2235,매칭테이블!$G:$J,4,0)*H2235</f>
        <v/>
      </c>
      <c r="O2235" s="52">
        <f>L2235/1.1</f>
        <v/>
      </c>
      <c r="P2235" s="36">
        <f>F2235&amp;E2235&amp;G2235&amp;J2235</f>
        <v/>
      </c>
    </row>
    <row r="2236">
      <c r="B2236" s="51" t="n">
        <v>44177</v>
      </c>
      <c r="C2236" s="36">
        <f>TEXT(B2236,"aaa")</f>
        <v/>
      </c>
      <c r="E2236" s="36">
        <f>INDEX(매칭테이블!C:C,MATCH(RD!G2236,매칭테이블!D:D,0))</f>
        <v/>
      </c>
      <c r="F2236" s="39" t="inlineStr">
        <is>
          <t>카페24</t>
        </is>
      </c>
      <c r="G2236" s="39" t="inlineStr">
        <is>
          <t>유즈 스테이포에버 솔리드퍼퓸 002 (스테이포에버 주문시 12/15 순차배송)제품선택=커플추천스테이포에버 + 이그나이트 세트</t>
        </is>
      </c>
      <c r="H2236" s="39" t="n">
        <v>7</v>
      </c>
      <c r="I2236" s="36">
        <f>VLOOKUP(G2236,매칭테이블!D:E,2,0)</f>
        <v/>
      </c>
      <c r="J2236" s="39" t="n">
        <v>201210</v>
      </c>
      <c r="L2236" s="36">
        <f>VLOOKUP($P2236,매칭테이블!$G:$J,2,0)*H2236</f>
        <v/>
      </c>
      <c r="M2236" s="36">
        <f>L2236-L2236*VLOOKUP($P2236,매칭테이블!$G:$J,3,0)</f>
        <v/>
      </c>
      <c r="N2236" s="36">
        <f>VLOOKUP($P2236,매칭테이블!$G:$J,4,0)*H2236</f>
        <v/>
      </c>
      <c r="O2236" s="52">
        <f>L2236/1.1</f>
        <v/>
      </c>
      <c r="P2236" s="36">
        <f>F2236&amp;E2236&amp;G2236&amp;J2236</f>
        <v/>
      </c>
    </row>
    <row r="2237">
      <c r="B2237" s="51" t="n">
        <v>44177</v>
      </c>
      <c r="C2237" s="36">
        <f>TEXT(B2237,"aaa")</f>
        <v/>
      </c>
      <c r="E2237" s="36">
        <f>INDEX(매칭테이블!C:C,MATCH(RD!G2237,매칭테이블!D:D,0))</f>
        <v/>
      </c>
      <c r="F2237" s="39" t="inlineStr">
        <is>
          <t>카페24</t>
        </is>
      </c>
      <c r="G2237" s="39" t="inlineStr">
        <is>
          <t>유즈 스테이포에버 솔리드퍼퓸 002 (스테이포에버 주문시 12/15 순차배송)쇼핑백=선물용 쇼핑백</t>
        </is>
      </c>
      <c r="H2237" s="39" t="n">
        <v>8</v>
      </c>
      <c r="I2237" s="36">
        <f>VLOOKUP(G2237,매칭테이블!D:E,2,0)</f>
        <v/>
      </c>
      <c r="J2237" s="39" t="n">
        <v>201210</v>
      </c>
      <c r="L2237" s="36">
        <f>VLOOKUP($P2237,매칭테이블!$G:$J,2,0)*H2237</f>
        <v/>
      </c>
      <c r="M2237" s="36">
        <f>L2237-L2237*VLOOKUP($P2237,매칭테이블!$G:$J,3,0)</f>
        <v/>
      </c>
      <c r="N2237" s="36">
        <f>VLOOKUP($P2237,매칭테이블!$G:$J,4,0)*H2237</f>
        <v/>
      </c>
      <c r="O2237" s="52">
        <f>L2237/1.1</f>
        <v/>
      </c>
      <c r="P2237" s="36">
        <f>F2237&amp;E2237&amp;G2237&amp;J2237</f>
        <v/>
      </c>
    </row>
    <row r="2238">
      <c r="B2238" s="51" t="n">
        <v>44177</v>
      </c>
      <c r="C2238" s="36">
        <f>TEXT(B2238,"aaa")</f>
        <v/>
      </c>
      <c r="E2238" s="36">
        <f>INDEX(매칭테이블!C:C,MATCH(RD!G2238,매칭테이블!D:D,0))</f>
        <v/>
      </c>
      <c r="F2238" s="39" t="inlineStr">
        <is>
          <t>카페24</t>
        </is>
      </c>
      <c r="G2238" s="39" t="inlineStr">
        <is>
          <t>유즈 이그나이트 솔리드퍼퓸 001제품선택=이그나이트 솔리드퍼퓸 - 30ml</t>
        </is>
      </c>
      <c r="H2238" s="39" t="n">
        <v>4</v>
      </c>
      <c r="I2238" s="36">
        <f>VLOOKUP(G2238,매칭테이블!D:E,2,0)</f>
        <v/>
      </c>
      <c r="J2238" s="39" t="n">
        <v>201210</v>
      </c>
      <c r="L2238" s="36">
        <f>VLOOKUP($P2238,매칭테이블!$G:$J,2,0)*H2238</f>
        <v/>
      </c>
      <c r="M2238" s="36">
        <f>L2238-L2238*VLOOKUP($P2238,매칭테이블!$G:$J,3,0)</f>
        <v/>
      </c>
      <c r="N2238" s="36">
        <f>VLOOKUP($P2238,매칭테이블!$G:$J,4,0)*H2238</f>
        <v/>
      </c>
      <c r="O2238" s="52">
        <f>L2238/1.1</f>
        <v/>
      </c>
      <c r="P2238" s="36">
        <f>F2238&amp;E2238&amp;G2238&amp;J2238</f>
        <v/>
      </c>
    </row>
    <row r="2239">
      <c r="B2239" s="51" t="n">
        <v>44177</v>
      </c>
      <c r="C2239" s="36">
        <f>TEXT(B2239,"aaa")</f>
        <v/>
      </c>
      <c r="E2239" s="36">
        <f>INDEX(매칭테이블!C:C,MATCH(RD!G2239,매칭테이블!D:D,0))</f>
        <v/>
      </c>
      <c r="F2239" s="39" t="inlineStr">
        <is>
          <t>카페24</t>
        </is>
      </c>
      <c r="G2239" s="39" t="inlineStr">
        <is>
          <t>유즈 이그나이트 솔리드퍼퓸 001제품선택=이그나이트 2개 세트</t>
        </is>
      </c>
      <c r="H2239" s="39" t="n">
        <v>1</v>
      </c>
      <c r="I2239" s="36">
        <f>VLOOKUP(G2239,매칭테이블!D:E,2,0)</f>
        <v/>
      </c>
      <c r="J2239" s="39" t="n">
        <v>201210</v>
      </c>
      <c r="L2239" s="36">
        <f>VLOOKUP($P2239,매칭테이블!$G:$J,2,0)*H2239</f>
        <v/>
      </c>
      <c r="M2239" s="36">
        <f>L2239-L2239*VLOOKUP($P2239,매칭테이블!$G:$J,3,0)</f>
        <v/>
      </c>
      <c r="N2239" s="36">
        <f>VLOOKUP($P2239,매칭테이블!$G:$J,4,0)*H2239</f>
        <v/>
      </c>
      <c r="O2239" s="52">
        <f>L2239/1.1</f>
        <v/>
      </c>
      <c r="P2239" s="36">
        <f>F2239&amp;E2239&amp;G2239&amp;J2239</f>
        <v/>
      </c>
    </row>
    <row r="2240">
      <c r="B2240" s="51" t="n">
        <v>44178</v>
      </c>
      <c r="C2240" s="36">
        <f>TEXT(B2240,"aaa")</f>
        <v/>
      </c>
      <c r="E2240" s="36">
        <f>INDEX(매칭테이블!C:C,MATCH(RD!G2240,매칭테이블!D:D,0))</f>
        <v/>
      </c>
      <c r="F2240" s="39" t="inlineStr">
        <is>
          <t>카페24</t>
        </is>
      </c>
      <c r="G2240" s="39" t="inlineStr">
        <is>
          <t>유즈 솔리드퍼퓸 - 30ml (스테이포에버 주문 시 12/15 순차배송)향=이그나이트 001 SOLID PERFUME, 세트 선택=1</t>
        </is>
      </c>
      <c r="H2240" s="39" t="n">
        <v>1</v>
      </c>
      <c r="I2240" s="36">
        <f>VLOOKUP(G2240,매칭테이블!D:E,2,0)</f>
        <v/>
      </c>
      <c r="J2240" s="39" t="n">
        <v>201210</v>
      </c>
      <c r="L2240" s="36">
        <f>VLOOKUP($P2240,매칭테이블!$G:$J,2,0)*H2240</f>
        <v/>
      </c>
      <c r="M2240" s="36">
        <f>L2240-L2240*VLOOKUP($P2240,매칭테이블!$G:$J,3,0)</f>
        <v/>
      </c>
      <c r="N2240" s="36">
        <f>VLOOKUP($P2240,매칭테이블!$G:$J,4,0)*H2240</f>
        <v/>
      </c>
      <c r="O2240" s="52">
        <f>L2240/1.1</f>
        <v/>
      </c>
      <c r="P2240" s="36">
        <f>F2240&amp;E2240&amp;G2240&amp;J2240</f>
        <v/>
      </c>
    </row>
    <row r="2241">
      <c r="B2241" s="51" t="n">
        <v>44178</v>
      </c>
      <c r="C2241" s="36">
        <f>TEXT(B2241,"aaa")</f>
        <v/>
      </c>
      <c r="E2241" s="36">
        <f>INDEX(매칭테이블!C:C,MATCH(RD!G2241,매칭테이블!D:D,0))</f>
        <v/>
      </c>
      <c r="F2241" s="39" t="inlineStr">
        <is>
          <t>카페24</t>
        </is>
      </c>
      <c r="G2241" s="39" t="inlineStr">
        <is>
          <t>유즈 솔리드퍼퓸 - 30ml (스테이포에버 주문 시 12/15 순차배송)향=스테이포에버 002 SOLID PERFUME, 세트 선택=1</t>
        </is>
      </c>
      <c r="H2241" s="39" t="n">
        <v>19</v>
      </c>
      <c r="I2241" s="36">
        <f>VLOOKUP(G2241,매칭테이블!D:E,2,0)</f>
        <v/>
      </c>
      <c r="J2241" s="39" t="n">
        <v>201210</v>
      </c>
      <c r="L2241" s="36">
        <f>VLOOKUP($P2241,매칭테이블!$G:$J,2,0)*H2241</f>
        <v/>
      </c>
      <c r="M2241" s="36">
        <f>L2241-L2241*VLOOKUP($P2241,매칭테이블!$G:$J,3,0)</f>
        <v/>
      </c>
      <c r="N2241" s="36">
        <f>VLOOKUP($P2241,매칭테이블!$G:$J,4,0)*H2241</f>
        <v/>
      </c>
      <c r="O2241" s="52">
        <f>L2241/1.1</f>
        <v/>
      </c>
      <c r="P2241" s="36">
        <f>F2241&amp;E2241&amp;G2241&amp;J2241</f>
        <v/>
      </c>
    </row>
    <row r="2242">
      <c r="B2242" s="51" t="n">
        <v>44178</v>
      </c>
      <c r="C2242" s="36">
        <f>TEXT(B2242,"aaa")</f>
        <v/>
      </c>
      <c r="E2242" s="36">
        <f>INDEX(매칭테이블!C:C,MATCH(RD!G2242,매칭테이블!D:D,0))</f>
        <v/>
      </c>
      <c r="F2242" s="39" t="inlineStr">
        <is>
          <t>카페24</t>
        </is>
      </c>
      <c r="G2242" s="39" t="inlineStr">
        <is>
          <t>유즈 솔리드퍼퓸 - 30ml (스테이포에버 주문 시 12/15 순차배송)향=스테이포에버 002 SOLID PERFUME, 세트 선택=best</t>
        </is>
      </c>
      <c r="H2242" s="39" t="n">
        <v>3</v>
      </c>
      <c r="I2242" s="36">
        <f>VLOOKUP(G2242,매칭테이블!D:E,2,0)</f>
        <v/>
      </c>
      <c r="J2242" s="39" t="n">
        <v>201210</v>
      </c>
      <c r="L2242" s="36">
        <f>VLOOKUP($P2242,매칭테이블!$G:$J,2,0)*H2242</f>
        <v/>
      </c>
      <c r="M2242" s="36">
        <f>L2242-L2242*VLOOKUP($P2242,매칭테이블!$G:$J,3,0)</f>
        <v/>
      </c>
      <c r="N2242" s="36">
        <f>VLOOKUP($P2242,매칭테이블!$G:$J,4,0)*H2242</f>
        <v/>
      </c>
      <c r="O2242" s="52">
        <f>L2242/1.1</f>
        <v/>
      </c>
      <c r="P2242" s="36">
        <f>F2242&amp;E2242&amp;G2242&amp;J2242</f>
        <v/>
      </c>
    </row>
    <row r="2243">
      <c r="B2243" s="51" t="n">
        <v>44178</v>
      </c>
      <c r="C2243" s="36">
        <f>TEXT(B2243,"aaa")</f>
        <v/>
      </c>
      <c r="E2243" s="36">
        <f>INDEX(매칭테이블!C:C,MATCH(RD!G2243,매칭테이블!D:D,0))</f>
        <v/>
      </c>
      <c r="F2243" s="39" t="inlineStr">
        <is>
          <t>카페24</t>
        </is>
      </c>
      <c r="G2243" s="39" t="inlineStr">
        <is>
          <t>유즈 솔리드퍼퓸 - 30ml (스테이포에버 주문 시 12/15 순차배송)향=커플세트</t>
        </is>
      </c>
      <c r="H2243" s="39" t="n">
        <v>5</v>
      </c>
      <c r="I2243" s="36">
        <f>VLOOKUP(G2243,매칭테이블!D:E,2,0)</f>
        <v/>
      </c>
      <c r="J2243" s="39" t="n">
        <v>201210</v>
      </c>
      <c r="L2243" s="36">
        <f>VLOOKUP($P2243,매칭테이블!$G:$J,2,0)*H2243</f>
        <v/>
      </c>
      <c r="M2243" s="36">
        <f>L2243-L2243*VLOOKUP($P2243,매칭테이블!$G:$J,3,0)</f>
        <v/>
      </c>
      <c r="N2243" s="36">
        <f>VLOOKUP($P2243,매칭테이블!$G:$J,4,0)*H2243</f>
        <v/>
      </c>
      <c r="O2243" s="52">
        <f>L2243/1.1</f>
        <v/>
      </c>
      <c r="P2243" s="36">
        <f>F2243&amp;E2243&amp;G2243&amp;J2243</f>
        <v/>
      </c>
    </row>
    <row r="2244">
      <c r="B2244" s="51" t="n">
        <v>44178</v>
      </c>
      <c r="C2244" s="36">
        <f>TEXT(B2244,"aaa")</f>
        <v/>
      </c>
      <c r="E2244" s="36">
        <f>INDEX(매칭테이블!C:C,MATCH(RD!G2244,매칭테이블!D:D,0))</f>
        <v/>
      </c>
      <c r="F2244" s="39" t="inlineStr">
        <is>
          <t>카페24</t>
        </is>
      </c>
      <c r="G2244" s="39" t="inlineStr">
        <is>
          <t>유즈 솔리드퍼퓸 - 30ml (스테이포에버 주문 시 12/15 순차배송)향=커플세트(이그나이트 + 스테이포에버), 세트 선택=1 SET</t>
        </is>
      </c>
      <c r="H2244" s="39" t="n">
        <v>4</v>
      </c>
      <c r="I2244" s="36">
        <f>VLOOKUP(G2244,매칭테이블!D:E,2,0)</f>
        <v/>
      </c>
      <c r="J2244" s="39" t="n">
        <v>201210</v>
      </c>
      <c r="L2244" s="36">
        <f>VLOOKUP($P2244,매칭테이블!$G:$J,2,0)*H2244</f>
        <v/>
      </c>
      <c r="M2244" s="36">
        <f>L2244-L2244*VLOOKUP($P2244,매칭테이블!$G:$J,3,0)</f>
        <v/>
      </c>
      <c r="N2244" s="36">
        <f>VLOOKUP($P2244,매칭테이블!$G:$J,4,0)*H2244</f>
        <v/>
      </c>
      <c r="O2244" s="52">
        <f>L2244/1.1</f>
        <v/>
      </c>
      <c r="P2244" s="36">
        <f>F2244&amp;E2244&amp;G2244&amp;J2244</f>
        <v/>
      </c>
    </row>
    <row r="2245">
      <c r="B2245" s="51" t="n">
        <v>44178</v>
      </c>
      <c r="C2245" s="36">
        <f>TEXT(B2245,"aaa")</f>
        <v/>
      </c>
      <c r="E2245" s="36">
        <f>INDEX(매칭테이블!C:C,MATCH(RD!G2245,매칭테이블!D:D,0))</f>
        <v/>
      </c>
      <c r="F2245" s="39" t="inlineStr">
        <is>
          <t>카페24</t>
        </is>
      </c>
      <c r="G2245" s="39" t="inlineStr">
        <is>
          <t>유즈 솔리드퍼퓸 - 30ml (스테이포에버 주문 시 12/15 순차배송)향=커플세트(이그나이트 + 스테이포에버), 세트 선택=2 SET (42% 할인)</t>
        </is>
      </c>
      <c r="H2245" s="39" t="n">
        <v>1</v>
      </c>
      <c r="I2245" s="36">
        <f>VLOOKUP(G2245,매칭테이블!D:E,2,0)</f>
        <v/>
      </c>
      <c r="J2245" s="39" t="n">
        <v>201210</v>
      </c>
      <c r="L2245" s="36">
        <f>VLOOKUP($P2245,매칭테이블!$G:$J,2,0)*H2245</f>
        <v/>
      </c>
      <c r="M2245" s="36">
        <f>L2245-L2245*VLOOKUP($P2245,매칭테이블!$G:$J,3,0)</f>
        <v/>
      </c>
      <c r="N2245" s="36">
        <f>VLOOKUP($P2245,매칭테이블!$G:$J,4,0)*H2245</f>
        <v/>
      </c>
      <c r="O2245" s="52">
        <f>L2245/1.1</f>
        <v/>
      </c>
      <c r="P2245" s="36">
        <f>F2245&amp;E2245&amp;G2245&amp;J2245</f>
        <v/>
      </c>
    </row>
    <row r="2246">
      <c r="B2246" s="51" t="n">
        <v>44178</v>
      </c>
      <c r="C2246" s="36">
        <f>TEXT(B2246,"aaa")</f>
        <v/>
      </c>
      <c r="E2246" s="36">
        <f>INDEX(매칭테이블!C:C,MATCH(RD!G2246,매칭테이블!D:D,0))</f>
        <v/>
      </c>
      <c r="F2246" s="39" t="inlineStr">
        <is>
          <t>카페24</t>
        </is>
      </c>
      <c r="G2246" s="39" t="inlineStr">
        <is>
          <t>유즈 스테이포에버 솔리드퍼퓸 002 (스테이포에버 주문시 12/15 순차배송)제품선택=스테이포에버 1개</t>
        </is>
      </c>
      <c r="H2246" s="39" t="n">
        <v>197</v>
      </c>
      <c r="I2246" s="36">
        <f>VLOOKUP(G2246,매칭테이블!D:E,2,0)</f>
        <v/>
      </c>
      <c r="J2246" s="39" t="n">
        <v>201210</v>
      </c>
      <c r="L2246" s="36">
        <f>VLOOKUP($P2246,매칭테이블!$G:$J,2,0)*H2246</f>
        <v/>
      </c>
      <c r="M2246" s="36">
        <f>L2246-L2246*VLOOKUP($P2246,매칭테이블!$G:$J,3,0)</f>
        <v/>
      </c>
      <c r="N2246" s="36">
        <f>VLOOKUP($P2246,매칭테이블!$G:$J,4,0)*H2246</f>
        <v/>
      </c>
      <c r="O2246" s="52">
        <f>L2246/1.1</f>
        <v/>
      </c>
      <c r="P2246" s="36">
        <f>F2246&amp;E2246&amp;G2246&amp;J2246</f>
        <v/>
      </c>
    </row>
    <row r="2247">
      <c r="B2247" s="51" t="n">
        <v>44178</v>
      </c>
      <c r="C2247" s="36">
        <f>TEXT(B2247,"aaa")</f>
        <v/>
      </c>
      <c r="E2247" s="36">
        <f>INDEX(매칭테이블!C:C,MATCH(RD!G2247,매칭테이블!D:D,0))</f>
        <v/>
      </c>
      <c r="F2247" s="39" t="inlineStr">
        <is>
          <t>카페24</t>
        </is>
      </c>
      <c r="G2247" s="39" t="inlineStr">
        <is>
          <t>유즈 스테이포에버 솔리드퍼퓸 002 (스테이포에버 주문시 12/15 순차배송)제품선택=스테이포에버 솔리드퍼퓸 002[Pre-order 이벤트 17% 할인]</t>
        </is>
      </c>
      <c r="H2247" s="39" t="n">
        <v>1</v>
      </c>
      <c r="I2247" s="36">
        <f>VLOOKUP(G2247,매칭테이블!D:E,2,0)</f>
        <v/>
      </c>
      <c r="J2247" s="39" t="n">
        <v>201210</v>
      </c>
      <c r="L2247" s="36">
        <f>VLOOKUP($P2247,매칭테이블!$G:$J,2,0)*H2247</f>
        <v/>
      </c>
      <c r="M2247" s="36">
        <f>L2247-L2247*VLOOKUP($P2247,매칭테이블!$G:$J,3,0)</f>
        <v/>
      </c>
      <c r="N2247" s="36">
        <f>VLOOKUP($P2247,매칭테이블!$G:$J,4,0)*H2247</f>
        <v/>
      </c>
      <c r="O2247" s="52">
        <f>L2247/1.1</f>
        <v/>
      </c>
      <c r="P2247" s="36">
        <f>F2247&amp;E2247&amp;G2247&amp;J2247</f>
        <v/>
      </c>
    </row>
    <row r="2248">
      <c r="B2248" s="51" t="n">
        <v>44178</v>
      </c>
      <c r="C2248" s="36">
        <f>TEXT(B2248,"aaa")</f>
        <v/>
      </c>
      <c r="E2248" s="36">
        <f>INDEX(매칭테이블!C:C,MATCH(RD!G2248,매칭테이블!D:D,0))</f>
        <v/>
      </c>
      <c r="F2248" s="39" t="inlineStr">
        <is>
          <t>카페24</t>
        </is>
      </c>
      <c r="G2248" s="39" t="inlineStr">
        <is>
          <t>유즈 스테이포에버 솔리드퍼퓸 002 (스테이포에버 주문시 12/15 순차배송)제품선택=best</t>
        </is>
      </c>
      <c r="H2248" s="39" t="n">
        <v>44</v>
      </c>
      <c r="I2248" s="36">
        <f>VLOOKUP(G2248,매칭테이블!D:E,2,0)</f>
        <v/>
      </c>
      <c r="J2248" s="39" t="n">
        <v>201210</v>
      </c>
      <c r="L2248" s="36">
        <f>VLOOKUP($P2248,매칭테이블!$G:$J,2,0)*H2248</f>
        <v/>
      </c>
      <c r="M2248" s="36">
        <f>L2248-L2248*VLOOKUP($P2248,매칭테이블!$G:$J,3,0)</f>
        <v/>
      </c>
      <c r="N2248" s="36">
        <f>VLOOKUP($P2248,매칭테이블!$G:$J,4,0)*H2248</f>
        <v/>
      </c>
      <c r="O2248" s="52">
        <f>L2248/1.1</f>
        <v/>
      </c>
      <c r="P2248" s="36">
        <f>F2248&amp;E2248&amp;G2248&amp;J2248</f>
        <v/>
      </c>
    </row>
    <row r="2249">
      <c r="B2249" s="51" t="n">
        <v>44178</v>
      </c>
      <c r="C2249" s="36">
        <f>TEXT(B2249,"aaa")</f>
        <v/>
      </c>
      <c r="E2249" s="36">
        <f>INDEX(매칭테이블!C:C,MATCH(RD!G2249,매칭테이블!D:D,0))</f>
        <v/>
      </c>
      <c r="F2249" s="39" t="inlineStr">
        <is>
          <t>카페24</t>
        </is>
      </c>
      <c r="G2249" s="39" t="inlineStr">
        <is>
          <t>유즈 스테이포에버 솔리드퍼퓸 002 (스테이포에버 주문시 12/15 순차배송)제품선택=best스테이포에버 2개[28% 할인]</t>
        </is>
      </c>
      <c r="H2249" s="39" t="n">
        <v>54</v>
      </c>
      <c r="I2249" s="36">
        <f>VLOOKUP(G2249,매칭테이블!D:E,2,0)</f>
        <v/>
      </c>
      <c r="J2249" s="39" t="n">
        <v>201210</v>
      </c>
      <c r="L2249" s="36">
        <f>VLOOKUP($P2249,매칭테이블!$G:$J,2,0)*H2249</f>
        <v/>
      </c>
      <c r="M2249" s="36">
        <f>L2249-L2249*VLOOKUP($P2249,매칭테이블!$G:$J,3,0)</f>
        <v/>
      </c>
      <c r="N2249" s="36">
        <f>VLOOKUP($P2249,매칭테이블!$G:$J,4,0)*H2249</f>
        <v/>
      </c>
      <c r="O2249" s="52">
        <f>L2249/1.1</f>
        <v/>
      </c>
      <c r="P2249" s="36">
        <f>F2249&amp;E2249&amp;G2249&amp;J2249</f>
        <v/>
      </c>
    </row>
    <row r="2250">
      <c r="B2250" s="51" t="n">
        <v>44178</v>
      </c>
      <c r="C2250" s="36">
        <f>TEXT(B2250,"aaa")</f>
        <v/>
      </c>
      <c r="E2250" s="36">
        <f>INDEX(매칭테이블!C:C,MATCH(RD!G2250,매칭테이블!D:D,0))</f>
        <v/>
      </c>
      <c r="F2250" s="39" t="inlineStr">
        <is>
          <t>카페24</t>
        </is>
      </c>
      <c r="G2250" s="39" t="inlineStr">
        <is>
          <t>유즈 스테이포에버 솔리드퍼퓸 002 (스테이포에버 주문시 12/15 순차배송)제품선택=커플추천</t>
        </is>
      </c>
      <c r="H2250" s="39" t="n">
        <v>2</v>
      </c>
      <c r="I2250" s="36">
        <f>VLOOKUP(G2250,매칭테이블!D:E,2,0)</f>
        <v/>
      </c>
      <c r="J2250" s="39" t="n">
        <v>201210</v>
      </c>
      <c r="L2250" s="36">
        <f>VLOOKUP($P2250,매칭테이블!$G:$J,2,0)*H2250</f>
        <v/>
      </c>
      <c r="M2250" s="36">
        <f>L2250-L2250*VLOOKUP($P2250,매칭테이블!$G:$J,3,0)</f>
        <v/>
      </c>
      <c r="N2250" s="36">
        <f>VLOOKUP($P2250,매칭테이블!$G:$J,4,0)*H2250</f>
        <v/>
      </c>
      <c r="O2250" s="52">
        <f>L2250/1.1</f>
        <v/>
      </c>
      <c r="P2250" s="36">
        <f>F2250&amp;E2250&amp;G2250&amp;J2250</f>
        <v/>
      </c>
    </row>
    <row r="2251">
      <c r="B2251" s="51" t="n">
        <v>44178</v>
      </c>
      <c r="C2251" s="36">
        <f>TEXT(B2251,"aaa")</f>
        <v/>
      </c>
      <c r="E2251" s="36">
        <f>INDEX(매칭테이블!C:C,MATCH(RD!G2251,매칭테이블!D:D,0))</f>
        <v/>
      </c>
      <c r="F2251" s="39" t="inlineStr">
        <is>
          <t>카페24</t>
        </is>
      </c>
      <c r="G2251" s="39" t="inlineStr">
        <is>
          <t>유즈 스테이포에버 솔리드퍼퓸 002 (스테이포에버 주문시 12/15 순차배송)제품선택=커플추천스테이포에버 + 이그나이트 세트</t>
        </is>
      </c>
      <c r="H2251" s="39" t="n">
        <v>8</v>
      </c>
      <c r="I2251" s="36">
        <f>VLOOKUP(G2251,매칭테이블!D:E,2,0)</f>
        <v/>
      </c>
      <c r="J2251" s="39" t="n">
        <v>201210</v>
      </c>
      <c r="L2251" s="36">
        <f>VLOOKUP($P2251,매칭테이블!$G:$J,2,0)*H2251</f>
        <v/>
      </c>
      <c r="M2251" s="36">
        <f>L2251-L2251*VLOOKUP($P2251,매칭테이블!$G:$J,3,0)</f>
        <v/>
      </c>
      <c r="N2251" s="36">
        <f>VLOOKUP($P2251,매칭테이블!$G:$J,4,0)*H2251</f>
        <v/>
      </c>
      <c r="O2251" s="52">
        <f>L2251/1.1</f>
        <v/>
      </c>
      <c r="P2251" s="36">
        <f>F2251&amp;E2251&amp;G2251&amp;J2251</f>
        <v/>
      </c>
    </row>
    <row r="2252">
      <c r="B2252" s="51" t="n">
        <v>44178</v>
      </c>
      <c r="C2252" s="36">
        <f>TEXT(B2252,"aaa")</f>
        <v/>
      </c>
      <c r="E2252" s="36">
        <f>INDEX(매칭테이블!C:C,MATCH(RD!G2252,매칭테이블!D:D,0))</f>
        <v/>
      </c>
      <c r="F2252" s="39" t="inlineStr">
        <is>
          <t>카페24</t>
        </is>
      </c>
      <c r="G2252" s="39" t="inlineStr">
        <is>
          <t>유즈 스테이포에버 솔리드퍼퓸 002 (스테이포에버 주문시 12/15 순차배송)쇼핑백=선물용 쇼핑백</t>
        </is>
      </c>
      <c r="H2252" s="39" t="n">
        <v>3</v>
      </c>
      <c r="I2252" s="36">
        <f>VLOOKUP(G2252,매칭테이블!D:E,2,0)</f>
        <v/>
      </c>
      <c r="J2252" s="39" t="n">
        <v>201210</v>
      </c>
      <c r="L2252" s="36">
        <f>VLOOKUP($P2252,매칭테이블!$G:$J,2,0)*H2252</f>
        <v/>
      </c>
      <c r="M2252" s="36">
        <f>L2252-L2252*VLOOKUP($P2252,매칭테이블!$G:$J,3,0)</f>
        <v/>
      </c>
      <c r="N2252" s="36">
        <f>VLOOKUP($P2252,매칭테이블!$G:$J,4,0)*H2252</f>
        <v/>
      </c>
      <c r="O2252" s="52">
        <f>L2252/1.1</f>
        <v/>
      </c>
      <c r="P2252" s="36">
        <f>F2252&amp;E2252&amp;G2252&amp;J2252</f>
        <v/>
      </c>
    </row>
    <row r="2253">
      <c r="B2253" s="51" t="n">
        <v>44178</v>
      </c>
      <c r="C2253" s="36">
        <f>TEXT(B2253,"aaa")</f>
        <v/>
      </c>
      <c r="E2253" s="36">
        <f>INDEX(매칭테이블!C:C,MATCH(RD!G2253,매칭테이블!D:D,0))</f>
        <v/>
      </c>
      <c r="F2253" s="39" t="inlineStr">
        <is>
          <t>카페24</t>
        </is>
      </c>
      <c r="G2253" s="39" t="inlineStr">
        <is>
          <t>유즈 이그나이트 솔리드퍼퓸 001제품선택=이그나이트 솔리드퍼퓸 - 30ml</t>
        </is>
      </c>
      <c r="H2253" s="39" t="n">
        <v>3</v>
      </c>
      <c r="I2253" s="36">
        <f>VLOOKUP(G2253,매칭테이블!D:E,2,0)</f>
        <v/>
      </c>
      <c r="J2253" s="39" t="n">
        <v>201210</v>
      </c>
      <c r="L2253" s="36">
        <f>VLOOKUP($P2253,매칭테이블!$G:$J,2,0)*H2253</f>
        <v/>
      </c>
      <c r="M2253" s="36">
        <f>L2253-L2253*VLOOKUP($P2253,매칭테이블!$G:$J,3,0)</f>
        <v/>
      </c>
      <c r="N2253" s="36">
        <f>VLOOKUP($P2253,매칭테이블!$G:$J,4,0)*H2253</f>
        <v/>
      </c>
      <c r="O2253" s="52">
        <f>L2253/1.1</f>
        <v/>
      </c>
      <c r="P2253" s="36">
        <f>F2253&amp;E2253&amp;G2253&amp;J2253</f>
        <v/>
      </c>
    </row>
    <row r="2254">
      <c r="B2254" s="51" t="n">
        <v>44178</v>
      </c>
      <c r="C2254" s="36">
        <f>TEXT(B2254,"aaa")</f>
        <v/>
      </c>
      <c r="E2254" s="36">
        <f>INDEX(매칭테이블!C:C,MATCH(RD!G2254,매칭테이블!D:D,0))</f>
        <v/>
      </c>
      <c r="F2254" s="39" t="inlineStr">
        <is>
          <t>카페24</t>
        </is>
      </c>
      <c r="G2254" s="39" t="inlineStr">
        <is>
          <t>유즈 이그나이트 솔리드퍼퓸 001제품선택=이그나이트 2개 세트</t>
        </is>
      </c>
      <c r="H2254" s="39" t="n">
        <v>1</v>
      </c>
      <c r="I2254" s="36">
        <f>VLOOKUP(G2254,매칭테이블!D:E,2,0)</f>
        <v/>
      </c>
      <c r="J2254" s="39" t="n">
        <v>201210</v>
      </c>
      <c r="L2254" s="36">
        <f>VLOOKUP($P2254,매칭테이블!$G:$J,2,0)*H2254</f>
        <v/>
      </c>
      <c r="M2254" s="36">
        <f>L2254-L2254*VLOOKUP($P2254,매칭테이블!$G:$J,3,0)</f>
        <v/>
      </c>
      <c r="N2254" s="36">
        <f>VLOOKUP($P2254,매칭테이블!$G:$J,4,0)*H2254</f>
        <v/>
      </c>
      <c r="O2254" s="52">
        <f>L2254/1.1</f>
        <v/>
      </c>
      <c r="P2254" s="36">
        <f>F2254&amp;E2254&amp;G2254&amp;J2254</f>
        <v/>
      </c>
    </row>
    <row r="2255">
      <c r="B2255" s="51" t="n">
        <v>44179</v>
      </c>
      <c r="C2255" s="36">
        <f>TEXT(B2255,"aaa")</f>
        <v/>
      </c>
      <c r="E2255" s="36">
        <f>INDEX(매칭테이블!C:C,MATCH(RD!G2255,매칭테이블!D:D,0))</f>
        <v/>
      </c>
      <c r="F2255" s="39" t="inlineStr">
        <is>
          <t>카페24</t>
        </is>
      </c>
      <c r="G2255" s="39" t="inlineStr">
        <is>
          <t>스테이포에버 솔리드퍼퓸 002 (10차 재입고 완료제품선택=스테이포에버 1개</t>
        </is>
      </c>
      <c r="H2255" s="39" t="n">
        <v>20</v>
      </c>
      <c r="I2255" s="36">
        <f>VLOOKUP(G2255,매칭테이블!D:E,2,0)</f>
        <v/>
      </c>
      <c r="J2255" s="39" t="n">
        <v>201210</v>
      </c>
      <c r="L2255" s="36">
        <f>VLOOKUP($P2255,매칭테이블!$G:$J,2,0)*H2255</f>
        <v/>
      </c>
      <c r="M2255" s="36">
        <f>L2255-L2255*VLOOKUP($P2255,매칭테이블!$G:$J,3,0)</f>
        <v/>
      </c>
      <c r="N2255" s="36">
        <f>VLOOKUP($P2255,매칭테이블!$G:$J,4,0)*H2255</f>
        <v/>
      </c>
      <c r="O2255" s="52">
        <f>L2255/1.1</f>
        <v/>
      </c>
      <c r="P2255" s="36">
        <f>F2255&amp;E2255&amp;G2255&amp;J2255</f>
        <v/>
      </c>
    </row>
    <row r="2256">
      <c r="B2256" s="51" t="n">
        <v>44179</v>
      </c>
      <c r="C2256" s="36">
        <f>TEXT(B2256,"aaa")</f>
        <v/>
      </c>
      <c r="E2256" s="36">
        <f>INDEX(매칭테이블!C:C,MATCH(RD!G2256,매칭테이블!D:D,0))</f>
        <v/>
      </c>
      <c r="F2256" s="39" t="inlineStr">
        <is>
          <t>카페24</t>
        </is>
      </c>
      <c r="G2256" s="39" t="inlineStr">
        <is>
          <t>스테이포에버 솔리드퍼퓸 002 (10차 재입고 완료제품선택=best</t>
        </is>
      </c>
      <c r="H2256" s="39" t="n">
        <v>15</v>
      </c>
      <c r="I2256" s="36">
        <f>VLOOKUP(G2256,매칭테이블!D:E,2,0)</f>
        <v/>
      </c>
      <c r="J2256" s="39" t="n">
        <v>201210</v>
      </c>
      <c r="L2256" s="36">
        <f>VLOOKUP($P2256,매칭테이블!$G:$J,2,0)*H2256</f>
        <v/>
      </c>
      <c r="M2256" s="36">
        <f>L2256-L2256*VLOOKUP($P2256,매칭테이블!$G:$J,3,0)</f>
        <v/>
      </c>
      <c r="N2256" s="36">
        <f>VLOOKUP($P2256,매칭테이블!$G:$J,4,0)*H2256</f>
        <v/>
      </c>
      <c r="O2256" s="52">
        <f>L2256/1.1</f>
        <v/>
      </c>
      <c r="P2256" s="36">
        <f>F2256&amp;E2256&amp;G2256&amp;J2256</f>
        <v/>
      </c>
    </row>
    <row r="2257">
      <c r="B2257" s="51" t="n">
        <v>44179</v>
      </c>
      <c r="C2257" s="36">
        <f>TEXT(B2257,"aaa")</f>
        <v/>
      </c>
      <c r="E2257" s="36">
        <f>INDEX(매칭테이블!C:C,MATCH(RD!G2257,매칭테이블!D:D,0))</f>
        <v/>
      </c>
      <c r="F2257" s="39" t="inlineStr">
        <is>
          <t>카페24</t>
        </is>
      </c>
      <c r="G2257" s="39" t="inlineStr">
        <is>
          <t>스테이포에버 솔리드퍼퓸 002 (10차 재입고 완료제품선택=커플추천</t>
        </is>
      </c>
      <c r="H2257" s="39" t="n">
        <v>2</v>
      </c>
      <c r="I2257" s="36">
        <f>VLOOKUP(G2257,매칭테이블!D:E,2,0)</f>
        <v/>
      </c>
      <c r="J2257" s="39" t="n">
        <v>201210</v>
      </c>
      <c r="L2257" s="36">
        <f>VLOOKUP($P2257,매칭테이블!$G:$J,2,0)*H2257</f>
        <v/>
      </c>
      <c r="M2257" s="36">
        <f>L2257-L2257*VLOOKUP($P2257,매칭테이블!$G:$J,3,0)</f>
        <v/>
      </c>
      <c r="N2257" s="36">
        <f>VLOOKUP($P2257,매칭테이블!$G:$J,4,0)*H2257</f>
        <v/>
      </c>
      <c r="O2257" s="52">
        <f>L2257/1.1</f>
        <v/>
      </c>
      <c r="P2257" s="36">
        <f>F2257&amp;E2257&amp;G2257&amp;J2257</f>
        <v/>
      </c>
    </row>
    <row r="2258">
      <c r="B2258" s="51" t="n">
        <v>44179</v>
      </c>
      <c r="C2258" s="36">
        <f>TEXT(B2258,"aaa")</f>
        <v/>
      </c>
      <c r="E2258" s="36">
        <f>INDEX(매칭테이블!C:C,MATCH(RD!G2258,매칭테이블!D:D,0))</f>
        <v/>
      </c>
      <c r="F2258" s="39" t="inlineStr">
        <is>
          <t>카페24</t>
        </is>
      </c>
      <c r="G2258" s="39" t="inlineStr">
        <is>
          <t>스테이포에버 솔리드퍼퓸 002 (10차 재입고 완료쇼핑백=선물용 쇼핑백</t>
        </is>
      </c>
      <c r="H2258" s="39" t="n">
        <v>1</v>
      </c>
      <c r="I2258" s="36">
        <f>VLOOKUP(G2258,매칭테이블!D:E,2,0)</f>
        <v/>
      </c>
      <c r="J2258" s="39" t="n">
        <v>201210</v>
      </c>
      <c r="L2258" s="36">
        <f>VLOOKUP($P2258,매칭테이블!$G:$J,2,0)*H2258</f>
        <v/>
      </c>
      <c r="M2258" s="36">
        <f>L2258-L2258*VLOOKUP($P2258,매칭테이블!$G:$J,3,0)</f>
        <v/>
      </c>
      <c r="N2258" s="36">
        <f>VLOOKUP($P2258,매칭테이블!$G:$J,4,0)*H2258</f>
        <v/>
      </c>
      <c r="O2258" s="52">
        <f>L2258/1.1</f>
        <v/>
      </c>
      <c r="P2258" s="36">
        <f>F2258&amp;E2258&amp;G2258&amp;J2258</f>
        <v/>
      </c>
    </row>
    <row r="2259">
      <c r="B2259" s="51" t="n">
        <v>44179</v>
      </c>
      <c r="C2259" s="36">
        <f>TEXT(B2259,"aaa")</f>
        <v/>
      </c>
      <c r="E2259" s="36">
        <f>INDEX(매칭테이블!C:C,MATCH(RD!G2259,매칭테이블!D:D,0))</f>
        <v/>
      </c>
      <c r="F2259" s="39" t="inlineStr">
        <is>
          <t>카페24</t>
        </is>
      </c>
      <c r="G2259" s="39" t="inlineStr">
        <is>
          <t>스테이포에버 솔리드퍼퓸 002 (10차 재입고 완료)제품선택=스테이포에버 1개</t>
        </is>
      </c>
      <c r="H2259" s="39" t="n">
        <v>45</v>
      </c>
      <c r="I2259" s="36">
        <f>VLOOKUP(G2259,매칭테이블!D:E,2,0)</f>
        <v/>
      </c>
      <c r="J2259" s="39" t="n">
        <v>201210</v>
      </c>
      <c r="L2259" s="36">
        <f>VLOOKUP($P2259,매칭테이블!$G:$J,2,0)*H2259</f>
        <v/>
      </c>
      <c r="M2259" s="36">
        <f>L2259-L2259*VLOOKUP($P2259,매칭테이블!$G:$J,3,0)</f>
        <v/>
      </c>
      <c r="N2259" s="36">
        <f>VLOOKUP($P2259,매칭테이블!$G:$J,4,0)*H2259</f>
        <v/>
      </c>
      <c r="O2259" s="52">
        <f>L2259/1.1</f>
        <v/>
      </c>
      <c r="P2259" s="36">
        <f>F2259&amp;E2259&amp;G2259&amp;J2259</f>
        <v/>
      </c>
    </row>
    <row r="2260">
      <c r="B2260" s="51" t="n">
        <v>44179</v>
      </c>
      <c r="C2260" s="36">
        <f>TEXT(B2260,"aaa")</f>
        <v/>
      </c>
      <c r="E2260" s="36">
        <f>INDEX(매칭테이블!C:C,MATCH(RD!G2260,매칭테이블!D:D,0))</f>
        <v/>
      </c>
      <c r="F2260" s="39" t="inlineStr">
        <is>
          <t>카페24</t>
        </is>
      </c>
      <c r="G2260" s="39" t="inlineStr">
        <is>
          <t>스테이포에버 솔리드퍼퓸 002 (10차 재입고 완료)제품선택=best스테이포에버 2개[28% 할인]</t>
        </is>
      </c>
      <c r="H2260" s="39" t="n">
        <v>12</v>
      </c>
      <c r="I2260" s="36">
        <f>VLOOKUP(G2260,매칭테이블!D:E,2,0)</f>
        <v/>
      </c>
      <c r="J2260" s="39" t="n">
        <v>201210</v>
      </c>
      <c r="L2260" s="36">
        <f>VLOOKUP($P2260,매칭테이블!$G:$J,2,0)*H2260</f>
        <v/>
      </c>
      <c r="M2260" s="36">
        <f>L2260-L2260*VLOOKUP($P2260,매칭테이블!$G:$J,3,0)</f>
        <v/>
      </c>
      <c r="N2260" s="36">
        <f>VLOOKUP($P2260,매칭테이블!$G:$J,4,0)*H2260</f>
        <v/>
      </c>
      <c r="O2260" s="52">
        <f>L2260/1.1</f>
        <v/>
      </c>
      <c r="P2260" s="36">
        <f>F2260&amp;E2260&amp;G2260&amp;J2260</f>
        <v/>
      </c>
    </row>
    <row r="2261">
      <c r="B2261" s="51" t="n">
        <v>44179</v>
      </c>
      <c r="C2261" s="36">
        <f>TEXT(B2261,"aaa")</f>
        <v/>
      </c>
      <c r="E2261" s="36">
        <f>INDEX(매칭테이블!C:C,MATCH(RD!G2261,매칭테이블!D:D,0))</f>
        <v/>
      </c>
      <c r="F2261" s="39" t="inlineStr">
        <is>
          <t>카페24</t>
        </is>
      </c>
      <c r="G2261" s="39" t="inlineStr">
        <is>
          <t>스테이포에버 솔리드퍼퓸 002 (10차 재입고 완료)제품선택=커플추천스테이포에버 + 이그나이트 세트</t>
        </is>
      </c>
      <c r="H2261" s="39" t="n">
        <v>1</v>
      </c>
      <c r="I2261" s="36">
        <f>VLOOKUP(G2261,매칭테이블!D:E,2,0)</f>
        <v/>
      </c>
      <c r="J2261" s="39" t="n">
        <v>201210</v>
      </c>
      <c r="L2261" s="36">
        <f>VLOOKUP($P2261,매칭테이블!$G:$J,2,0)*H2261</f>
        <v/>
      </c>
      <c r="M2261" s="36">
        <f>L2261-L2261*VLOOKUP($P2261,매칭테이블!$G:$J,3,0)</f>
        <v/>
      </c>
      <c r="N2261" s="36">
        <f>VLOOKUP($P2261,매칭테이블!$G:$J,4,0)*H2261</f>
        <v/>
      </c>
      <c r="O2261" s="52">
        <f>L2261/1.1</f>
        <v/>
      </c>
      <c r="P2261" s="36">
        <f>F2261&amp;E2261&amp;G2261&amp;J2261</f>
        <v/>
      </c>
    </row>
    <row r="2262">
      <c r="B2262" s="51" t="n">
        <v>44179</v>
      </c>
      <c r="C2262" s="36">
        <f>TEXT(B2262,"aaa")</f>
        <v/>
      </c>
      <c r="E2262" s="36">
        <f>INDEX(매칭테이블!C:C,MATCH(RD!G2262,매칭테이블!D:D,0))</f>
        <v/>
      </c>
      <c r="F2262" s="39" t="inlineStr">
        <is>
          <t>카페24</t>
        </is>
      </c>
      <c r="G2262" s="39" t="inlineStr">
        <is>
          <t>스테이포에버 솔리드퍼퓸 002 (10차 재입고 완료)쇼핑백=선물용 쇼핑백</t>
        </is>
      </c>
      <c r="H2262" s="39" t="n">
        <v>4</v>
      </c>
      <c r="I2262" s="36">
        <f>VLOOKUP(G2262,매칭테이블!D:E,2,0)</f>
        <v/>
      </c>
      <c r="J2262" s="39" t="n">
        <v>201210</v>
      </c>
      <c r="L2262" s="36">
        <f>VLOOKUP($P2262,매칭테이블!$G:$J,2,0)*H2262</f>
        <v/>
      </c>
      <c r="M2262" s="36">
        <f>L2262-L2262*VLOOKUP($P2262,매칭테이블!$G:$J,3,0)</f>
        <v/>
      </c>
      <c r="N2262" s="36">
        <f>VLOOKUP($P2262,매칭테이블!$G:$J,4,0)*H2262</f>
        <v/>
      </c>
      <c r="O2262" s="52">
        <f>L2262/1.1</f>
        <v/>
      </c>
      <c r="P2262" s="36">
        <f>F2262&amp;E2262&amp;G2262&amp;J2262</f>
        <v/>
      </c>
    </row>
    <row r="2263">
      <c r="B2263" s="51" t="n">
        <v>44179</v>
      </c>
      <c r="C2263" s="36">
        <f>TEXT(B2263,"aaa")</f>
        <v/>
      </c>
      <c r="E2263" s="36">
        <f>INDEX(매칭테이블!C:C,MATCH(RD!G2263,매칭테이블!D:D,0))</f>
        <v/>
      </c>
      <c r="F2263" s="39" t="inlineStr">
        <is>
          <t>카페24</t>
        </is>
      </c>
      <c r="G2263" s="39" t="inlineStr">
        <is>
          <t>유즈 솔리드퍼퓸 - 30ml (10차 재입고 완료향=스테이포에버 002 SOLID PERFUME, 세트 선택=1개</t>
        </is>
      </c>
      <c r="H2263" s="39" t="n">
        <v>3</v>
      </c>
      <c r="I2263" s="36">
        <f>VLOOKUP(G2263,매칭테이블!D:E,2,0)</f>
        <v/>
      </c>
      <c r="J2263" s="39" t="n">
        <v>201210</v>
      </c>
      <c r="L2263" s="36">
        <f>VLOOKUP($P2263,매칭테이블!$G:$J,2,0)*H2263</f>
        <v/>
      </c>
      <c r="M2263" s="36">
        <f>L2263-L2263*VLOOKUP($P2263,매칭테이블!$G:$J,3,0)</f>
        <v/>
      </c>
      <c r="N2263" s="36">
        <f>VLOOKUP($P2263,매칭테이블!$G:$J,4,0)*H2263</f>
        <v/>
      </c>
      <c r="O2263" s="52">
        <f>L2263/1.1</f>
        <v/>
      </c>
      <c r="P2263" s="36">
        <f>F2263&amp;E2263&amp;G2263&amp;J2263</f>
        <v/>
      </c>
    </row>
    <row r="2264">
      <c r="B2264" s="51" t="n">
        <v>44179</v>
      </c>
      <c r="C2264" s="36">
        <f>TEXT(B2264,"aaa")</f>
        <v/>
      </c>
      <c r="E2264" s="36">
        <f>INDEX(매칭테이블!C:C,MATCH(RD!G2264,매칭테이블!D:D,0))</f>
        <v/>
      </c>
      <c r="F2264" s="39" t="inlineStr">
        <is>
          <t>카페24</t>
        </is>
      </c>
      <c r="G2264" s="39" t="inlineStr">
        <is>
          <t>유즈 솔리드퍼퓸 - 30ml (10차 재입고 완료 )향=스테이포에버 002 SOLID PERFUME, 세트 선택=1개</t>
        </is>
      </c>
      <c r="H2264" s="39" t="n">
        <v>3</v>
      </c>
      <c r="I2264" s="36">
        <f>VLOOKUP(G2264,매칭테이블!D:E,2,0)</f>
        <v/>
      </c>
      <c r="J2264" s="39" t="n">
        <v>201210</v>
      </c>
      <c r="L2264" s="36">
        <f>VLOOKUP($P2264,매칭테이블!$G:$J,2,0)*H2264</f>
        <v/>
      </c>
      <c r="M2264" s="36">
        <f>L2264-L2264*VLOOKUP($P2264,매칭테이블!$G:$J,3,0)</f>
        <v/>
      </c>
      <c r="N2264" s="36">
        <f>VLOOKUP($P2264,매칭테이블!$G:$J,4,0)*H2264</f>
        <v/>
      </c>
      <c r="O2264" s="52">
        <f>L2264/1.1</f>
        <v/>
      </c>
      <c r="P2264" s="36">
        <f>F2264&amp;E2264&amp;G2264&amp;J2264</f>
        <v/>
      </c>
    </row>
    <row r="2265">
      <c r="B2265" s="51" t="n">
        <v>44179</v>
      </c>
      <c r="C2265" s="36">
        <f>TEXT(B2265,"aaa")</f>
        <v/>
      </c>
      <c r="E2265" s="36">
        <f>INDEX(매칭테이블!C:C,MATCH(RD!G2265,매칭테이블!D:D,0))</f>
        <v/>
      </c>
      <c r="F2265" s="39" t="inlineStr">
        <is>
          <t>카페24</t>
        </is>
      </c>
      <c r="G2265" s="39" t="inlineStr">
        <is>
          <t>유즈 솔리드퍼퓸 - 30ml (10차 재입고 완료 )향=스테이포에버 002 SOLID PERFUME, 세트 선택=best 2개 (28% 할인)</t>
        </is>
      </c>
      <c r="H2265" s="39" t="n">
        <v>2</v>
      </c>
      <c r="I2265" s="36">
        <f>VLOOKUP(G2265,매칭테이블!D:E,2,0)</f>
        <v/>
      </c>
      <c r="J2265" s="39" t="n">
        <v>201210</v>
      </c>
      <c r="L2265" s="36">
        <f>VLOOKUP($P2265,매칭테이블!$G:$J,2,0)*H2265</f>
        <v/>
      </c>
      <c r="M2265" s="36">
        <f>L2265-L2265*VLOOKUP($P2265,매칭테이블!$G:$J,3,0)</f>
        <v/>
      </c>
      <c r="N2265" s="36">
        <f>VLOOKUP($P2265,매칭테이블!$G:$J,4,0)*H2265</f>
        <v/>
      </c>
      <c r="O2265" s="52">
        <f>L2265/1.1</f>
        <v/>
      </c>
      <c r="P2265" s="36">
        <f>F2265&amp;E2265&amp;G2265&amp;J2265</f>
        <v/>
      </c>
    </row>
    <row r="2266">
      <c r="B2266" s="51" t="n">
        <v>44179</v>
      </c>
      <c r="C2266" s="36">
        <f>TEXT(B2266,"aaa")</f>
        <v/>
      </c>
      <c r="E2266" s="36">
        <f>INDEX(매칭테이블!C:C,MATCH(RD!G2266,매칭테이블!D:D,0))</f>
        <v/>
      </c>
      <c r="F2266" s="39" t="inlineStr">
        <is>
          <t>카페24</t>
        </is>
      </c>
      <c r="G2266" s="39" t="inlineStr">
        <is>
          <t>유즈 솔리드퍼퓸 - 30ml (스테이포에버 주문 시 12/15 순차배송)향=스테이포에버 002 SOLID PERFUME, 세트 선택=1</t>
        </is>
      </c>
      <c r="H2266" s="39" t="n">
        <v>7</v>
      </c>
      <c r="I2266" s="36">
        <f>VLOOKUP(G2266,매칭테이블!D:E,2,0)</f>
        <v/>
      </c>
      <c r="J2266" s="39" t="n">
        <v>201210</v>
      </c>
      <c r="L2266" s="36">
        <f>VLOOKUP($P2266,매칭테이블!$G:$J,2,0)*H2266</f>
        <v/>
      </c>
      <c r="M2266" s="36">
        <f>L2266-L2266*VLOOKUP($P2266,매칭테이블!$G:$J,3,0)</f>
        <v/>
      </c>
      <c r="N2266" s="36">
        <f>VLOOKUP($P2266,매칭테이블!$G:$J,4,0)*H2266</f>
        <v/>
      </c>
      <c r="O2266" s="52">
        <f>L2266/1.1</f>
        <v/>
      </c>
      <c r="P2266" s="36">
        <f>F2266&amp;E2266&amp;G2266&amp;J2266</f>
        <v/>
      </c>
    </row>
    <row r="2267">
      <c r="B2267" s="51" t="n">
        <v>44179</v>
      </c>
      <c r="C2267" s="36">
        <f>TEXT(B2267,"aaa")</f>
        <v/>
      </c>
      <c r="E2267" s="36">
        <f>INDEX(매칭테이블!C:C,MATCH(RD!G2267,매칭테이블!D:D,0))</f>
        <v/>
      </c>
      <c r="F2267" s="39" t="inlineStr">
        <is>
          <t>카페24</t>
        </is>
      </c>
      <c r="G2267" s="39" t="inlineStr">
        <is>
          <t>유즈 솔리드퍼퓸 - 30ml (스테이포에버 주문 시 12/15 순차배송)향=스테이포에버, 세트 선택=1 개</t>
        </is>
      </c>
      <c r="H2267" s="39" t="n">
        <v>2</v>
      </c>
      <c r="I2267" s="36">
        <f>VLOOKUP(G2267,매칭테이블!D:E,2,0)</f>
        <v/>
      </c>
      <c r="J2267" s="39" t="n">
        <v>201210</v>
      </c>
      <c r="L2267" s="36">
        <f>VLOOKUP($P2267,매칭테이블!$G:$J,2,0)*H2267</f>
        <v/>
      </c>
      <c r="M2267" s="36">
        <f>L2267-L2267*VLOOKUP($P2267,매칭테이블!$G:$J,3,0)</f>
        <v/>
      </c>
      <c r="N2267" s="36">
        <f>VLOOKUP($P2267,매칭테이블!$G:$J,4,0)*H2267</f>
        <v/>
      </c>
      <c r="O2267" s="52">
        <f>L2267/1.1</f>
        <v/>
      </c>
      <c r="P2267" s="36">
        <f>F2267&amp;E2267&amp;G2267&amp;J2267</f>
        <v/>
      </c>
    </row>
    <row r="2268">
      <c r="B2268" s="51" t="n">
        <v>44179</v>
      </c>
      <c r="C2268" s="36">
        <f>TEXT(B2268,"aaa")</f>
        <v/>
      </c>
      <c r="E2268" s="36">
        <f>INDEX(매칭테이블!C:C,MATCH(RD!G2268,매칭테이블!D:D,0))</f>
        <v/>
      </c>
      <c r="F2268" s="39" t="inlineStr">
        <is>
          <t>카페24</t>
        </is>
      </c>
      <c r="G2268" s="39" t="inlineStr">
        <is>
          <t>유즈 솔리드퍼퓸 - 30ml (스테이포에버 주문 시 12/15 순차배송)향=스테이포에버 002 SOLID PERFUME, 세트 선택=best</t>
        </is>
      </c>
      <c r="H2268" s="39" t="n">
        <v>3</v>
      </c>
      <c r="I2268" s="36">
        <f>VLOOKUP(G2268,매칭테이블!D:E,2,0)</f>
        <v/>
      </c>
      <c r="J2268" s="39" t="n">
        <v>201210</v>
      </c>
      <c r="L2268" s="36">
        <f>VLOOKUP($P2268,매칭테이블!$G:$J,2,0)*H2268</f>
        <v/>
      </c>
      <c r="M2268" s="36">
        <f>L2268-L2268*VLOOKUP($P2268,매칭테이블!$G:$J,3,0)</f>
        <v/>
      </c>
      <c r="N2268" s="36">
        <f>VLOOKUP($P2268,매칭테이블!$G:$J,4,0)*H2268</f>
        <v/>
      </c>
      <c r="O2268" s="52">
        <f>L2268/1.1</f>
        <v/>
      </c>
      <c r="P2268" s="36">
        <f>F2268&amp;E2268&amp;G2268&amp;J2268</f>
        <v/>
      </c>
    </row>
    <row r="2269">
      <c r="B2269" s="51" t="n">
        <v>44179</v>
      </c>
      <c r="C2269" s="36">
        <f>TEXT(B2269,"aaa")</f>
        <v/>
      </c>
      <c r="E2269" s="36">
        <f>INDEX(매칭테이블!C:C,MATCH(RD!G2269,매칭테이블!D:D,0))</f>
        <v/>
      </c>
      <c r="F2269" s="39" t="inlineStr">
        <is>
          <t>카페24</t>
        </is>
      </c>
      <c r="G2269" s="39" t="inlineStr">
        <is>
          <t>유즈 솔리드퍼퓸 - 30ml (스테이포에버 주문 시 12/15 순차배송)향=스테이포에버 002 SOLID PERFUME, 세트 선택=best(28% 할인)2개</t>
        </is>
      </c>
      <c r="H2269" s="39" t="n">
        <v>1</v>
      </c>
      <c r="I2269" s="36">
        <f>VLOOKUP(G2269,매칭테이블!D:E,2,0)</f>
        <v/>
      </c>
      <c r="J2269" s="39" t="n">
        <v>201210</v>
      </c>
      <c r="L2269" s="36">
        <f>VLOOKUP($P2269,매칭테이블!$G:$J,2,0)*H2269</f>
        <v/>
      </c>
      <c r="M2269" s="36">
        <f>L2269-L2269*VLOOKUP($P2269,매칭테이블!$G:$J,3,0)</f>
        <v/>
      </c>
      <c r="N2269" s="36">
        <f>VLOOKUP($P2269,매칭테이블!$G:$J,4,0)*H2269</f>
        <v/>
      </c>
      <c r="O2269" s="52">
        <f>L2269/1.1</f>
        <v/>
      </c>
      <c r="P2269" s="36">
        <f>F2269&amp;E2269&amp;G2269&amp;J2269</f>
        <v/>
      </c>
    </row>
    <row r="2270">
      <c r="B2270" s="51" t="n">
        <v>44179</v>
      </c>
      <c r="C2270" s="36">
        <f>TEXT(B2270,"aaa")</f>
        <v/>
      </c>
      <c r="E2270" s="36">
        <f>INDEX(매칭테이블!C:C,MATCH(RD!G2270,매칭테이블!D:D,0))</f>
        <v/>
      </c>
      <c r="F2270" s="39" t="inlineStr">
        <is>
          <t>카페24</t>
        </is>
      </c>
      <c r="G2270" s="39" t="inlineStr">
        <is>
          <t>유즈 솔리드퍼퓸 - 30ml (스테이포에버 주문 시 12/15 순차배송)향=이그나이트 + 스테이포에버, 세트 선택=1 SET</t>
        </is>
      </c>
      <c r="H2270" s="39" t="n">
        <v>3</v>
      </c>
      <c r="I2270" s="36">
        <f>VLOOKUP(G2270,매칭테이블!D:E,2,0)</f>
        <v/>
      </c>
      <c r="J2270" s="39" t="n">
        <v>201210</v>
      </c>
      <c r="L2270" s="36">
        <f>VLOOKUP($P2270,매칭테이블!$G:$J,2,0)*H2270</f>
        <v/>
      </c>
      <c r="M2270" s="36">
        <f>L2270-L2270*VLOOKUP($P2270,매칭테이블!$G:$J,3,0)</f>
        <v/>
      </c>
      <c r="N2270" s="36">
        <f>VLOOKUP($P2270,매칭테이블!$G:$J,4,0)*H2270</f>
        <v/>
      </c>
      <c r="O2270" s="52">
        <f>L2270/1.1</f>
        <v/>
      </c>
      <c r="P2270" s="36">
        <f>F2270&amp;E2270&amp;G2270&amp;J2270</f>
        <v/>
      </c>
    </row>
    <row r="2271">
      <c r="B2271" s="51" t="n">
        <v>44179</v>
      </c>
      <c r="C2271" s="36">
        <f>TEXT(B2271,"aaa")</f>
        <v/>
      </c>
      <c r="E2271" s="36">
        <f>INDEX(매칭테이블!C:C,MATCH(RD!G2271,매칭테이블!D:D,0))</f>
        <v/>
      </c>
      <c r="F2271" s="39" t="inlineStr">
        <is>
          <t>카페24</t>
        </is>
      </c>
      <c r="G2271" s="39" t="inlineStr">
        <is>
          <t>유즈 솔리드퍼퓸 - 30ml (스테이포에버 주문 시 12/15 순차배송)향=커플세트</t>
        </is>
      </c>
      <c r="H2271" s="39" t="n">
        <v>7</v>
      </c>
      <c r="I2271" s="36">
        <f>VLOOKUP(G2271,매칭테이블!D:E,2,0)</f>
        <v/>
      </c>
      <c r="J2271" s="39" t="n">
        <v>201210</v>
      </c>
      <c r="L2271" s="36">
        <f>VLOOKUP($P2271,매칭테이블!$G:$J,2,0)*H2271</f>
        <v/>
      </c>
      <c r="M2271" s="36">
        <f>L2271-L2271*VLOOKUP($P2271,매칭테이블!$G:$J,3,0)</f>
        <v/>
      </c>
      <c r="N2271" s="36">
        <f>VLOOKUP($P2271,매칭테이블!$G:$J,4,0)*H2271</f>
        <v/>
      </c>
      <c r="O2271" s="52">
        <f>L2271/1.1</f>
        <v/>
      </c>
      <c r="P2271" s="36">
        <f>F2271&amp;E2271&amp;G2271&amp;J2271</f>
        <v/>
      </c>
    </row>
    <row r="2272">
      <c r="B2272" s="51" t="n">
        <v>44179</v>
      </c>
      <c r="C2272" s="36">
        <f>TEXT(B2272,"aaa")</f>
        <v/>
      </c>
      <c r="E2272" s="36">
        <f>INDEX(매칭테이블!C:C,MATCH(RD!G2272,매칭테이블!D:D,0))</f>
        <v/>
      </c>
      <c r="F2272" s="39" t="inlineStr">
        <is>
          <t>카페24</t>
        </is>
      </c>
      <c r="G2272" s="39" t="inlineStr">
        <is>
          <t>유즈 솔리드퍼퓸 - 30ml (스테이포에버 주문 시 12/15 순차배송)향=커플세트(이그나이트 + 스테이포에버), 세트 선택=1 SET</t>
        </is>
      </c>
      <c r="H2272" s="39" t="n">
        <v>2</v>
      </c>
      <c r="I2272" s="36">
        <f>VLOOKUP(G2272,매칭테이블!D:E,2,0)</f>
        <v/>
      </c>
      <c r="J2272" s="39" t="n">
        <v>201210</v>
      </c>
      <c r="L2272" s="36">
        <f>VLOOKUP($P2272,매칭테이블!$G:$J,2,0)*H2272</f>
        <v/>
      </c>
      <c r="M2272" s="36">
        <f>L2272-L2272*VLOOKUP($P2272,매칭테이블!$G:$J,3,0)</f>
        <v/>
      </c>
      <c r="N2272" s="36">
        <f>VLOOKUP($P2272,매칭테이블!$G:$J,4,0)*H2272</f>
        <v/>
      </c>
      <c r="O2272" s="52">
        <f>L2272/1.1</f>
        <v/>
      </c>
      <c r="P2272" s="36">
        <f>F2272&amp;E2272&amp;G2272&amp;J2272</f>
        <v/>
      </c>
    </row>
    <row r="2273">
      <c r="B2273" s="51" t="n">
        <v>44179</v>
      </c>
      <c r="C2273" s="36">
        <f>TEXT(B2273,"aaa")</f>
        <v/>
      </c>
      <c r="E2273" s="36">
        <f>INDEX(매칭테이블!C:C,MATCH(RD!G2273,매칭테이블!D:D,0))</f>
        <v/>
      </c>
      <c r="F2273" s="39" t="inlineStr">
        <is>
          <t>카페24</t>
        </is>
      </c>
      <c r="G2273" s="39" t="inlineStr">
        <is>
          <t>유즈 스테이포에버 솔리드퍼퓸 002 (10차 재입고 완료제품선택=커플추천</t>
        </is>
      </c>
      <c r="H2273" s="39" t="n">
        <v>1</v>
      </c>
      <c r="I2273" s="36">
        <f>VLOOKUP(G2273,매칭테이블!D:E,2,0)</f>
        <v/>
      </c>
      <c r="J2273" s="39" t="n">
        <v>201210</v>
      </c>
      <c r="L2273" s="36">
        <f>VLOOKUP($P2273,매칭테이블!$G:$J,2,0)*H2273</f>
        <v/>
      </c>
      <c r="M2273" s="36">
        <f>L2273-L2273*VLOOKUP($P2273,매칭테이블!$G:$J,3,0)</f>
        <v/>
      </c>
      <c r="N2273" s="36">
        <f>VLOOKUP($P2273,매칭테이블!$G:$J,4,0)*H2273</f>
        <v/>
      </c>
      <c r="O2273" s="52">
        <f>L2273/1.1</f>
        <v/>
      </c>
      <c r="P2273" s="36">
        <f>F2273&amp;E2273&amp;G2273&amp;J2273</f>
        <v/>
      </c>
    </row>
    <row r="2274">
      <c r="B2274" s="51" t="n">
        <v>44179</v>
      </c>
      <c r="C2274" s="36">
        <f>TEXT(B2274,"aaa")</f>
        <v/>
      </c>
      <c r="E2274" s="36">
        <f>INDEX(매칭테이블!C:C,MATCH(RD!G2274,매칭테이블!D:D,0))</f>
        <v/>
      </c>
      <c r="F2274" s="39" t="inlineStr">
        <is>
          <t>카페24</t>
        </is>
      </c>
      <c r="G2274" s="39" t="inlineStr">
        <is>
          <t>유즈 스테이포에버 솔리드퍼퓸 002 (10차 재입고 완료)제품선택=스테이포에버 1개</t>
        </is>
      </c>
      <c r="H2274" s="39" t="n">
        <v>1</v>
      </c>
      <c r="I2274" s="36">
        <f>VLOOKUP(G2274,매칭테이블!D:E,2,0)</f>
        <v/>
      </c>
      <c r="J2274" s="39" t="n">
        <v>201210</v>
      </c>
      <c r="L2274" s="36">
        <f>VLOOKUP($P2274,매칭테이블!$G:$J,2,0)*H2274</f>
        <v/>
      </c>
      <c r="M2274" s="36">
        <f>L2274-L2274*VLOOKUP($P2274,매칭테이블!$G:$J,3,0)</f>
        <v/>
      </c>
      <c r="N2274" s="36">
        <f>VLOOKUP($P2274,매칭테이블!$G:$J,4,0)*H2274</f>
        <v/>
      </c>
      <c r="O2274" s="52">
        <f>L2274/1.1</f>
        <v/>
      </c>
      <c r="P2274" s="36">
        <f>F2274&amp;E2274&amp;G2274&amp;J2274</f>
        <v/>
      </c>
    </row>
    <row r="2275">
      <c r="B2275" s="51" t="n">
        <v>44179</v>
      </c>
      <c r="C2275" s="36">
        <f>TEXT(B2275,"aaa")</f>
        <v/>
      </c>
      <c r="E2275" s="36">
        <f>INDEX(매칭테이블!C:C,MATCH(RD!G2275,매칭테이블!D:D,0))</f>
        <v/>
      </c>
      <c r="F2275" s="39" t="inlineStr">
        <is>
          <t>카페24</t>
        </is>
      </c>
      <c r="G2275" s="39" t="inlineStr">
        <is>
          <t>유즈 스테이포에버 솔리드퍼퓸 002 (스테이포에버 주문시 12/14 순차배송)제품선택=스테이포에버 솔리드퍼퓸 002[Pre-order 이벤트 17% 할인]</t>
        </is>
      </c>
      <c r="H2275" s="39" t="n">
        <v>1</v>
      </c>
      <c r="I2275" s="36">
        <f>VLOOKUP(G2275,매칭테이블!D:E,2,0)</f>
        <v/>
      </c>
      <c r="J2275" s="39" t="n">
        <v>201210</v>
      </c>
      <c r="L2275" s="36">
        <f>VLOOKUP($P2275,매칭테이블!$G:$J,2,0)*H2275</f>
        <v/>
      </c>
      <c r="M2275" s="36">
        <f>L2275-L2275*VLOOKUP($P2275,매칭테이블!$G:$J,3,0)</f>
        <v/>
      </c>
      <c r="N2275" s="36">
        <f>VLOOKUP($P2275,매칭테이블!$G:$J,4,0)*H2275</f>
        <v/>
      </c>
      <c r="O2275" s="52">
        <f>L2275/1.1</f>
        <v/>
      </c>
      <c r="P2275" s="36">
        <f>F2275&amp;E2275&amp;G2275&amp;J2275</f>
        <v/>
      </c>
    </row>
    <row r="2276">
      <c r="B2276" s="51" t="n">
        <v>44179</v>
      </c>
      <c r="C2276" s="36">
        <f>TEXT(B2276,"aaa")</f>
        <v/>
      </c>
      <c r="E2276" s="36">
        <f>INDEX(매칭테이블!C:C,MATCH(RD!G2276,매칭테이블!D:D,0))</f>
        <v/>
      </c>
      <c r="F2276" s="39" t="inlineStr">
        <is>
          <t>카페24</t>
        </is>
      </c>
      <c r="G2276" s="39" t="inlineStr">
        <is>
          <t>유즈 스테이포에버 솔리드퍼퓸 002 (스테이포에버 주문시 12/15 순차배송)제품선택=스테이포에버 1개</t>
        </is>
      </c>
      <c r="H2276" s="39" t="n">
        <v>166</v>
      </c>
      <c r="I2276" s="36">
        <f>VLOOKUP(G2276,매칭테이블!D:E,2,0)</f>
        <v/>
      </c>
      <c r="J2276" s="39" t="n">
        <v>201210</v>
      </c>
      <c r="L2276" s="36">
        <f>VLOOKUP($P2276,매칭테이블!$G:$J,2,0)*H2276</f>
        <v/>
      </c>
      <c r="M2276" s="36">
        <f>L2276-L2276*VLOOKUP($P2276,매칭테이블!$G:$J,3,0)</f>
        <v/>
      </c>
      <c r="N2276" s="36">
        <f>VLOOKUP($P2276,매칭테이블!$G:$J,4,0)*H2276</f>
        <v/>
      </c>
      <c r="O2276" s="52">
        <f>L2276/1.1</f>
        <v/>
      </c>
      <c r="P2276" s="36">
        <f>F2276&amp;E2276&amp;G2276&amp;J2276</f>
        <v/>
      </c>
    </row>
    <row r="2277">
      <c r="B2277" s="51" t="n">
        <v>44179</v>
      </c>
      <c r="C2277" s="36">
        <f>TEXT(B2277,"aaa")</f>
        <v/>
      </c>
      <c r="E2277" s="36">
        <f>INDEX(매칭테이블!C:C,MATCH(RD!G2277,매칭테이블!D:D,0))</f>
        <v/>
      </c>
      <c r="F2277" s="39" t="inlineStr">
        <is>
          <t>카페24</t>
        </is>
      </c>
      <c r="G2277" s="39" t="inlineStr">
        <is>
          <t>유즈 스테이포에버 솔리드퍼퓸 002 (스테이포에버 주문시 12/15 순차배송)제품선택=스테이포에버 1개 [17% 할인]</t>
        </is>
      </c>
      <c r="H2277" s="39" t="n">
        <v>3</v>
      </c>
      <c r="I2277" s="36">
        <f>VLOOKUP(G2277,매칭테이블!D:E,2,0)</f>
        <v/>
      </c>
      <c r="J2277" s="39" t="n">
        <v>201210</v>
      </c>
      <c r="L2277" s="36">
        <f>VLOOKUP($P2277,매칭테이블!$G:$J,2,0)*H2277</f>
        <v/>
      </c>
      <c r="M2277" s="36">
        <f>L2277-L2277*VLOOKUP($P2277,매칭테이블!$G:$J,3,0)</f>
        <v/>
      </c>
      <c r="N2277" s="36">
        <f>VLOOKUP($P2277,매칭테이블!$G:$J,4,0)*H2277</f>
        <v/>
      </c>
      <c r="O2277" s="52">
        <f>L2277/1.1</f>
        <v/>
      </c>
      <c r="P2277" s="36">
        <f>F2277&amp;E2277&amp;G2277&amp;J2277</f>
        <v/>
      </c>
    </row>
    <row r="2278">
      <c r="B2278" s="51" t="n">
        <v>44179</v>
      </c>
      <c r="C2278" s="36">
        <f>TEXT(B2278,"aaa")</f>
        <v/>
      </c>
      <c r="E2278" s="36">
        <f>INDEX(매칭테이블!C:C,MATCH(RD!G2278,매칭테이블!D:D,0))</f>
        <v/>
      </c>
      <c r="F2278" s="39" t="inlineStr">
        <is>
          <t>카페24</t>
        </is>
      </c>
      <c r="G2278" s="39" t="inlineStr">
        <is>
          <t>유즈 스테이포에버 솔리드퍼퓸 002 (스테이포에버 주문시 12/15 순차배송)제품선택=스테이포에버 [17% 할인]</t>
        </is>
      </c>
      <c r="H2278" s="39" t="n">
        <v>3</v>
      </c>
      <c r="I2278" s="36">
        <f>VLOOKUP(G2278,매칭테이블!D:E,2,0)</f>
        <v/>
      </c>
      <c r="J2278" s="39" t="n">
        <v>201210</v>
      </c>
      <c r="L2278" s="36">
        <f>VLOOKUP($P2278,매칭테이블!$G:$J,2,0)*H2278</f>
        <v/>
      </c>
      <c r="M2278" s="36">
        <f>L2278-L2278*VLOOKUP($P2278,매칭테이블!$G:$J,3,0)</f>
        <v/>
      </c>
      <c r="N2278" s="36">
        <f>VLOOKUP($P2278,매칭테이블!$G:$J,4,0)*H2278</f>
        <v/>
      </c>
      <c r="O2278" s="52">
        <f>L2278/1.1</f>
        <v/>
      </c>
      <c r="P2278" s="36">
        <f>F2278&amp;E2278&amp;G2278&amp;J2278</f>
        <v/>
      </c>
    </row>
    <row r="2279">
      <c r="B2279" s="51" t="n">
        <v>44179</v>
      </c>
      <c r="C2279" s="36">
        <f>TEXT(B2279,"aaa")</f>
        <v/>
      </c>
      <c r="E2279" s="36">
        <f>INDEX(매칭테이블!C:C,MATCH(RD!G2279,매칭테이블!D:D,0))</f>
        <v/>
      </c>
      <c r="F2279" s="39" t="inlineStr">
        <is>
          <t>카페24</t>
        </is>
      </c>
      <c r="G2279" s="39" t="inlineStr">
        <is>
          <t>유즈 스테이포에버 솔리드퍼퓸 002 (스테이포에버 주문시 12/15 순차배송)제품선택=스테이포에버 솔리드퍼퓸 002[Pre-order 이벤트 17% 할인]</t>
        </is>
      </c>
      <c r="H2279" s="39" t="n">
        <v>20</v>
      </c>
      <c r="I2279" s="36">
        <f>VLOOKUP(G2279,매칭테이블!D:E,2,0)</f>
        <v/>
      </c>
      <c r="J2279" s="39" t="n">
        <v>201210</v>
      </c>
      <c r="L2279" s="36">
        <f>VLOOKUP($P2279,매칭테이블!$G:$J,2,0)*H2279</f>
        <v/>
      </c>
      <c r="M2279" s="36">
        <f>L2279-L2279*VLOOKUP($P2279,매칭테이블!$G:$J,3,0)</f>
        <v/>
      </c>
      <c r="N2279" s="36">
        <f>VLOOKUP($P2279,매칭테이블!$G:$J,4,0)*H2279</f>
        <v/>
      </c>
      <c r="O2279" s="52">
        <f>L2279/1.1</f>
        <v/>
      </c>
      <c r="P2279" s="36">
        <f>F2279&amp;E2279&amp;G2279&amp;J2279</f>
        <v/>
      </c>
    </row>
    <row r="2280">
      <c r="B2280" s="51" t="n">
        <v>44179</v>
      </c>
      <c r="C2280" s="36">
        <f>TEXT(B2280,"aaa")</f>
        <v/>
      </c>
      <c r="E2280" s="36">
        <f>INDEX(매칭테이블!C:C,MATCH(RD!G2280,매칭테이블!D:D,0))</f>
        <v/>
      </c>
      <c r="F2280" s="39" t="inlineStr">
        <is>
          <t>카페24</t>
        </is>
      </c>
      <c r="G2280" s="39" t="inlineStr">
        <is>
          <t>유즈 스테이포에버 솔리드퍼퓸 002 (스테이포에버 주문시 12/15 순차배송)제품선택=best</t>
        </is>
      </c>
      <c r="H2280" s="39" t="n">
        <v>44</v>
      </c>
      <c r="I2280" s="36">
        <f>VLOOKUP(G2280,매칭테이블!D:E,2,0)</f>
        <v/>
      </c>
      <c r="J2280" s="39" t="n">
        <v>201210</v>
      </c>
      <c r="L2280" s="36">
        <f>VLOOKUP($P2280,매칭테이블!$G:$J,2,0)*H2280</f>
        <v/>
      </c>
      <c r="M2280" s="36">
        <f>L2280-L2280*VLOOKUP($P2280,매칭테이블!$G:$J,3,0)</f>
        <v/>
      </c>
      <c r="N2280" s="36">
        <f>VLOOKUP($P2280,매칭테이블!$G:$J,4,0)*H2280</f>
        <v/>
      </c>
      <c r="O2280" s="52">
        <f>L2280/1.1</f>
        <v/>
      </c>
      <c r="P2280" s="36">
        <f>F2280&amp;E2280&amp;G2280&amp;J2280</f>
        <v/>
      </c>
    </row>
    <row r="2281">
      <c r="B2281" s="51" t="n">
        <v>44179</v>
      </c>
      <c r="C2281" s="36">
        <f>TEXT(B2281,"aaa")</f>
        <v/>
      </c>
      <c r="E2281" s="36">
        <f>INDEX(매칭테이블!C:C,MATCH(RD!G2281,매칭테이블!D:D,0))</f>
        <v/>
      </c>
      <c r="F2281" s="39" t="inlineStr">
        <is>
          <t>카페24</t>
        </is>
      </c>
      <c r="G2281" s="39" t="inlineStr">
        <is>
          <t>유즈 스테이포에버 솔리드퍼퓸 002 (스테이포에버 주문시 12/15 순차배송)제품선택=best스테이포에버 2개[28% 할인]</t>
        </is>
      </c>
      <c r="H2281" s="39" t="n">
        <v>33</v>
      </c>
      <c r="I2281" s="36">
        <f>VLOOKUP(G2281,매칭테이블!D:E,2,0)</f>
        <v/>
      </c>
      <c r="J2281" s="39" t="n">
        <v>201210</v>
      </c>
      <c r="L2281" s="36">
        <f>VLOOKUP($P2281,매칭테이블!$G:$J,2,0)*H2281</f>
        <v/>
      </c>
      <c r="M2281" s="36">
        <f>L2281-L2281*VLOOKUP($P2281,매칭테이블!$G:$J,3,0)</f>
        <v/>
      </c>
      <c r="N2281" s="36">
        <f>VLOOKUP($P2281,매칭테이블!$G:$J,4,0)*H2281</f>
        <v/>
      </c>
      <c r="O2281" s="52">
        <f>L2281/1.1</f>
        <v/>
      </c>
      <c r="P2281" s="36">
        <f>F2281&amp;E2281&amp;G2281&amp;J2281</f>
        <v/>
      </c>
    </row>
    <row r="2282">
      <c r="B2282" s="51" t="n">
        <v>44179</v>
      </c>
      <c r="C2282" s="36">
        <f>TEXT(B2282,"aaa")</f>
        <v/>
      </c>
      <c r="E2282" s="36">
        <f>INDEX(매칭테이블!C:C,MATCH(RD!G2282,매칭테이블!D:D,0))</f>
        <v/>
      </c>
      <c r="F2282" s="39" t="inlineStr">
        <is>
          <t>카페24</t>
        </is>
      </c>
      <c r="G2282" s="39" t="inlineStr">
        <is>
          <t>유즈 스테이포에버 솔리드퍼퓸 002 (스테이포에버 주문시 12/15 순차배송)제품선택=스테이포에버 2개 세트[Pre-order 이벤트 28% 할인]</t>
        </is>
      </c>
      <c r="H2282" s="39" t="n">
        <v>7</v>
      </c>
      <c r="I2282" s="36">
        <f>VLOOKUP(G2282,매칭테이블!D:E,2,0)</f>
        <v/>
      </c>
      <c r="J2282" s="39" t="n">
        <v>201210</v>
      </c>
      <c r="L2282" s="36">
        <f>VLOOKUP($P2282,매칭테이블!$G:$J,2,0)*H2282</f>
        <v/>
      </c>
      <c r="M2282" s="36">
        <f>L2282-L2282*VLOOKUP($P2282,매칭테이블!$G:$J,3,0)</f>
        <v/>
      </c>
      <c r="N2282" s="36">
        <f>VLOOKUP($P2282,매칭테이블!$G:$J,4,0)*H2282</f>
        <v/>
      </c>
      <c r="O2282" s="52">
        <f>L2282/1.1</f>
        <v/>
      </c>
      <c r="P2282" s="36">
        <f>F2282&amp;E2282&amp;G2282&amp;J2282</f>
        <v/>
      </c>
    </row>
    <row r="2283">
      <c r="B2283" s="51" t="n">
        <v>44179</v>
      </c>
      <c r="C2283" s="36">
        <f>TEXT(B2283,"aaa")</f>
        <v/>
      </c>
      <c r="E2283" s="36">
        <f>INDEX(매칭테이블!C:C,MATCH(RD!G2283,매칭테이블!D:D,0))</f>
        <v/>
      </c>
      <c r="F2283" s="39" t="inlineStr">
        <is>
          <t>카페24</t>
        </is>
      </c>
      <c r="G2283" s="39" t="inlineStr">
        <is>
          <t>유즈 스테이포에버 솔리드퍼퓸 002 (스테이포에버 주문시 12/15 순차배송)제품선택=스테이포에버 + 이그나이트 세트</t>
        </is>
      </c>
      <c r="H2283" s="39" t="n">
        <v>1</v>
      </c>
      <c r="I2283" s="36">
        <f>VLOOKUP(G2283,매칭테이블!D:E,2,0)</f>
        <v/>
      </c>
      <c r="J2283" s="39" t="n">
        <v>201210</v>
      </c>
      <c r="L2283" s="36">
        <f>VLOOKUP($P2283,매칭테이블!$G:$J,2,0)*H2283</f>
        <v/>
      </c>
      <c r="M2283" s="36">
        <f>L2283-L2283*VLOOKUP($P2283,매칭테이블!$G:$J,3,0)</f>
        <v/>
      </c>
      <c r="N2283" s="36">
        <f>VLOOKUP($P2283,매칭테이블!$G:$J,4,0)*H2283</f>
        <v/>
      </c>
      <c r="O2283" s="52">
        <f>L2283/1.1</f>
        <v/>
      </c>
      <c r="P2283" s="36">
        <f>F2283&amp;E2283&amp;G2283&amp;J2283</f>
        <v/>
      </c>
    </row>
    <row r="2284">
      <c r="B2284" s="51" t="n">
        <v>44179</v>
      </c>
      <c r="C2284" s="36">
        <f>TEXT(B2284,"aaa")</f>
        <v/>
      </c>
      <c r="E2284" s="36">
        <f>INDEX(매칭테이블!C:C,MATCH(RD!G2284,매칭테이블!D:D,0))</f>
        <v/>
      </c>
      <c r="F2284" s="39" t="inlineStr">
        <is>
          <t>카페24</t>
        </is>
      </c>
      <c r="G2284" s="39" t="inlineStr">
        <is>
          <t>유즈 스테이포에버 솔리드퍼퓸 002 (스테이포에버 주문시 12/15 순차배송)제품선택=커플추천</t>
        </is>
      </c>
      <c r="H2284" s="39" t="n">
        <v>4</v>
      </c>
      <c r="I2284" s="36">
        <f>VLOOKUP(G2284,매칭테이블!D:E,2,0)</f>
        <v/>
      </c>
      <c r="J2284" s="39" t="n">
        <v>201210</v>
      </c>
      <c r="L2284" s="36">
        <f>VLOOKUP($P2284,매칭테이블!$G:$J,2,0)*H2284</f>
        <v/>
      </c>
      <c r="M2284" s="36">
        <f>L2284-L2284*VLOOKUP($P2284,매칭테이블!$G:$J,3,0)</f>
        <v/>
      </c>
      <c r="N2284" s="36">
        <f>VLOOKUP($P2284,매칭테이블!$G:$J,4,0)*H2284</f>
        <v/>
      </c>
      <c r="O2284" s="52">
        <f>L2284/1.1</f>
        <v/>
      </c>
      <c r="P2284" s="36">
        <f>F2284&amp;E2284&amp;G2284&amp;J2284</f>
        <v/>
      </c>
    </row>
    <row r="2285">
      <c r="B2285" s="51" t="n">
        <v>44179</v>
      </c>
      <c r="C2285" s="36">
        <f>TEXT(B2285,"aaa")</f>
        <v/>
      </c>
      <c r="E2285" s="36">
        <f>INDEX(매칭테이블!C:C,MATCH(RD!G2285,매칭테이블!D:D,0))</f>
        <v/>
      </c>
      <c r="F2285" s="39" t="inlineStr">
        <is>
          <t>카페24</t>
        </is>
      </c>
      <c r="G2285" s="39" t="inlineStr">
        <is>
          <t>유즈 스테이포에버 솔리드퍼퓸 002 (스테이포에버 주문시 12/15 순차배송)제품선택=커플추천스테이포에버 + 이그나이트 세트</t>
        </is>
      </c>
      <c r="H2285" s="39" t="n">
        <v>6</v>
      </c>
      <c r="I2285" s="36">
        <f>VLOOKUP(G2285,매칭테이블!D:E,2,0)</f>
        <v/>
      </c>
      <c r="J2285" s="39" t="n">
        <v>201210</v>
      </c>
      <c r="L2285" s="36">
        <f>VLOOKUP($P2285,매칭테이블!$G:$J,2,0)*H2285</f>
        <v/>
      </c>
      <c r="M2285" s="36">
        <f>L2285-L2285*VLOOKUP($P2285,매칭테이블!$G:$J,3,0)</f>
        <v/>
      </c>
      <c r="N2285" s="36">
        <f>VLOOKUP($P2285,매칭테이블!$G:$J,4,0)*H2285</f>
        <v/>
      </c>
      <c r="O2285" s="52">
        <f>L2285/1.1</f>
        <v/>
      </c>
      <c r="P2285" s="36">
        <f>F2285&amp;E2285&amp;G2285&amp;J2285</f>
        <v/>
      </c>
    </row>
    <row r="2286">
      <c r="B2286" s="51" t="n">
        <v>44179</v>
      </c>
      <c r="C2286" s="36">
        <f>TEXT(B2286,"aaa")</f>
        <v/>
      </c>
      <c r="E2286" s="36">
        <f>INDEX(매칭테이블!C:C,MATCH(RD!G2286,매칭테이블!D:D,0))</f>
        <v/>
      </c>
      <c r="F2286" s="39" t="inlineStr">
        <is>
          <t>카페24</t>
        </is>
      </c>
      <c r="G2286" s="39" t="inlineStr">
        <is>
          <t>유즈 스테이포에버 솔리드퍼퓸 002 (스테이포에버 주문시 12/15 순차배송)쇼핑백=선물용 쇼핑백</t>
        </is>
      </c>
      <c r="H2286" s="39" t="n">
        <v>4</v>
      </c>
      <c r="I2286" s="36">
        <f>VLOOKUP(G2286,매칭테이블!D:E,2,0)</f>
        <v/>
      </c>
      <c r="J2286" s="39" t="n">
        <v>201210</v>
      </c>
      <c r="L2286" s="36">
        <f>VLOOKUP($P2286,매칭테이블!$G:$J,2,0)*H2286</f>
        <v/>
      </c>
      <c r="M2286" s="36">
        <f>L2286-L2286*VLOOKUP($P2286,매칭테이블!$G:$J,3,0)</f>
        <v/>
      </c>
      <c r="N2286" s="36">
        <f>VLOOKUP($P2286,매칭테이블!$G:$J,4,0)*H2286</f>
        <v/>
      </c>
      <c r="O2286" s="52">
        <f>L2286/1.1</f>
        <v/>
      </c>
      <c r="P2286" s="36">
        <f>F2286&amp;E2286&amp;G2286&amp;J2286</f>
        <v/>
      </c>
    </row>
    <row r="2287">
      <c r="B2287" s="51" t="n">
        <v>44179</v>
      </c>
      <c r="C2287" s="36">
        <f>TEXT(B2287,"aaa")</f>
        <v/>
      </c>
      <c r="E2287" s="36">
        <f>INDEX(매칭테이블!C:C,MATCH(RD!G2287,매칭테이블!D:D,0))</f>
        <v/>
      </c>
      <c r="F2287" s="39" t="inlineStr">
        <is>
          <t>카페24</t>
        </is>
      </c>
      <c r="G2287" s="39" t="inlineStr">
        <is>
          <t>유즈 이그나이트 솔리드퍼퓸 001제품선택=이그나이트 솔리드퍼퓸 - 30ml</t>
        </is>
      </c>
      <c r="H2287" s="39" t="n">
        <v>4</v>
      </c>
      <c r="I2287" s="36">
        <f>VLOOKUP(G2287,매칭테이블!D:E,2,0)</f>
        <v/>
      </c>
      <c r="J2287" s="39" t="n">
        <v>201210</v>
      </c>
      <c r="L2287" s="36">
        <f>VLOOKUP($P2287,매칭테이블!$G:$J,2,0)*H2287</f>
        <v/>
      </c>
      <c r="M2287" s="36">
        <f>L2287-L2287*VLOOKUP($P2287,매칭테이블!$G:$J,3,0)</f>
        <v/>
      </c>
      <c r="N2287" s="36">
        <f>VLOOKUP($P2287,매칭테이블!$G:$J,4,0)*H2287</f>
        <v/>
      </c>
      <c r="O2287" s="52">
        <f>L2287/1.1</f>
        <v/>
      </c>
      <c r="P2287" s="36">
        <f>F2287&amp;E2287&amp;G2287&amp;J2287</f>
        <v/>
      </c>
    </row>
    <row r="2288">
      <c r="B2288" s="51" t="n">
        <v>44179</v>
      </c>
      <c r="C2288" s="36">
        <f>TEXT(B2288,"aaa")</f>
        <v/>
      </c>
      <c r="E2288" s="36">
        <f>INDEX(매칭테이블!C:C,MATCH(RD!G2288,매칭테이블!D:D,0))</f>
        <v/>
      </c>
      <c r="F2288" s="39" t="inlineStr">
        <is>
          <t>카페24</t>
        </is>
      </c>
      <c r="G2288" s="39" t="inlineStr">
        <is>
          <t>유즈 이그나이트 솔리드퍼퓸 001제품선택=이그나이트 2개 세트</t>
        </is>
      </c>
      <c r="H2288" s="39" t="n">
        <v>2</v>
      </c>
      <c r="I2288" s="36">
        <f>VLOOKUP(G2288,매칭테이블!D:E,2,0)</f>
        <v/>
      </c>
      <c r="J2288" s="39" t="n">
        <v>201210</v>
      </c>
      <c r="L2288" s="36">
        <f>VLOOKUP($P2288,매칭테이블!$G:$J,2,0)*H2288</f>
        <v/>
      </c>
      <c r="M2288" s="36">
        <f>L2288-L2288*VLOOKUP($P2288,매칭테이블!$G:$J,3,0)</f>
        <v/>
      </c>
      <c r="N2288" s="36">
        <f>VLOOKUP($P2288,매칭테이블!$G:$J,4,0)*H2288</f>
        <v/>
      </c>
      <c r="O2288" s="52">
        <f>L2288/1.1</f>
        <v/>
      </c>
      <c r="P2288" s="36">
        <f>F2288&amp;E2288&amp;G2288&amp;J2288</f>
        <v/>
      </c>
    </row>
    <row r="2289">
      <c r="B2289" s="51" t="n">
        <v>44180</v>
      </c>
      <c r="C2289" s="36">
        <f>TEXT(B2289,"aaa")</f>
        <v/>
      </c>
      <c r="E2289" s="36">
        <f>INDEX(매칭테이블!C:C,MATCH(RD!G2289,매칭테이블!D:D,0))</f>
        <v/>
      </c>
      <c r="F2289" s="39" t="inlineStr">
        <is>
          <t>유즈 CS</t>
        </is>
      </c>
      <c r="G2289" s="39" t="inlineStr">
        <is>
          <t>솔리드퍼퓸 스테이포에버 002 30ml</t>
        </is>
      </c>
      <c r="H2289" s="39" t="n">
        <v>40</v>
      </c>
      <c r="I2289" s="36">
        <f>VLOOKUP(G2289,매칭테이블!D:E,2,0)</f>
        <v/>
      </c>
      <c r="J2289" s="39" t="n">
        <v>201210</v>
      </c>
      <c r="L2289" s="36">
        <f>VLOOKUP($P2289,매칭테이블!$G:$J,2,0)*H2289</f>
        <v/>
      </c>
      <c r="M2289" s="36">
        <f>L2289-L2289*VLOOKUP($P2289,매칭테이블!$G:$J,3,0)</f>
        <v/>
      </c>
      <c r="N2289" s="36">
        <f>VLOOKUP($P2289,매칭테이블!$G:$J,4,0)*H2289</f>
        <v/>
      </c>
      <c r="O2289" s="52">
        <f>L2289/1.1</f>
        <v/>
      </c>
      <c r="P2289" s="36">
        <f>F2289&amp;E2289&amp;G2289&amp;J2289</f>
        <v/>
      </c>
    </row>
    <row r="2290">
      <c r="B2290" s="51" t="n">
        <v>44180</v>
      </c>
      <c r="C2290" s="36">
        <f>TEXT(B2290,"aaa")</f>
        <v/>
      </c>
      <c r="E2290" s="36">
        <f>INDEX(매칭테이블!C:C,MATCH(RD!G2290,매칭테이블!D:D,0))</f>
        <v/>
      </c>
      <c r="F2290" s="39" t="inlineStr">
        <is>
          <t>카페24</t>
        </is>
      </c>
      <c r="G2290" s="39" t="inlineStr">
        <is>
          <t>스테이포에버 솔리드퍼퓸 002 (10차 재입고 완료제품선택=스테이포에버 1개</t>
        </is>
      </c>
      <c r="H2290" s="39" t="n">
        <v>137</v>
      </c>
      <c r="I2290" s="36">
        <f>VLOOKUP(G2290,매칭테이블!D:E,2,0)</f>
        <v/>
      </c>
      <c r="J2290" s="39" t="n">
        <v>201210</v>
      </c>
      <c r="L2290" s="36">
        <f>VLOOKUP($P2290,매칭테이블!$G:$J,2,0)*H2290</f>
        <v/>
      </c>
      <c r="M2290" s="36">
        <f>L2290-L2290*VLOOKUP($P2290,매칭테이블!$G:$J,3,0)</f>
        <v/>
      </c>
      <c r="N2290" s="36">
        <f>VLOOKUP($P2290,매칭테이블!$G:$J,4,0)*H2290</f>
        <v/>
      </c>
      <c r="O2290" s="52">
        <f>L2290/1.1</f>
        <v/>
      </c>
      <c r="P2290" s="36">
        <f>F2290&amp;E2290&amp;G2290&amp;J2290</f>
        <v/>
      </c>
    </row>
    <row r="2291">
      <c r="B2291" s="51" t="n">
        <v>44180</v>
      </c>
      <c r="C2291" s="36">
        <f>TEXT(B2291,"aaa")</f>
        <v/>
      </c>
      <c r="E2291" s="36">
        <f>INDEX(매칭테이블!C:C,MATCH(RD!G2291,매칭테이블!D:D,0))</f>
        <v/>
      </c>
      <c r="F2291" s="39" t="inlineStr">
        <is>
          <t>카페24</t>
        </is>
      </c>
      <c r="G2291" s="39" t="inlineStr">
        <is>
          <t>스테이포에버 솔리드퍼퓸 002 (10차 재입고 완료제품선택=best</t>
        </is>
      </c>
      <c r="H2291" s="39" t="n">
        <v>65</v>
      </c>
      <c r="I2291" s="36">
        <f>VLOOKUP(G2291,매칭테이블!D:E,2,0)</f>
        <v/>
      </c>
      <c r="J2291" s="39" t="n">
        <v>201210</v>
      </c>
      <c r="L2291" s="36">
        <f>VLOOKUP($P2291,매칭테이블!$G:$J,2,0)*H2291</f>
        <v/>
      </c>
      <c r="M2291" s="36">
        <f>L2291-L2291*VLOOKUP($P2291,매칭테이블!$G:$J,3,0)</f>
        <v/>
      </c>
      <c r="N2291" s="36">
        <f>VLOOKUP($P2291,매칭테이블!$G:$J,4,0)*H2291</f>
        <v/>
      </c>
      <c r="O2291" s="52">
        <f>L2291/1.1</f>
        <v/>
      </c>
      <c r="P2291" s="36">
        <f>F2291&amp;E2291&amp;G2291&amp;J2291</f>
        <v/>
      </c>
    </row>
    <row r="2292">
      <c r="B2292" s="51" t="n">
        <v>44180</v>
      </c>
      <c r="C2292" s="36">
        <f>TEXT(B2292,"aaa")</f>
        <v/>
      </c>
      <c r="E2292" s="36">
        <f>INDEX(매칭테이블!C:C,MATCH(RD!G2292,매칭테이블!D:D,0))</f>
        <v/>
      </c>
      <c r="F2292" s="39" t="inlineStr">
        <is>
          <t>카페24</t>
        </is>
      </c>
      <c r="G2292" s="39" t="inlineStr">
        <is>
          <t>스테이포에버 솔리드퍼퓸 002 (10차 재입고 완료제품선택=커플추천</t>
        </is>
      </c>
      <c r="H2292" s="39" t="n">
        <v>10</v>
      </c>
      <c r="I2292" s="36">
        <f>VLOOKUP(G2292,매칭테이블!D:E,2,0)</f>
        <v/>
      </c>
      <c r="J2292" s="39" t="n">
        <v>201210</v>
      </c>
      <c r="L2292" s="36">
        <f>VLOOKUP($P2292,매칭테이블!$G:$J,2,0)*H2292</f>
        <v/>
      </c>
      <c r="M2292" s="36">
        <f>L2292-L2292*VLOOKUP($P2292,매칭테이블!$G:$J,3,0)</f>
        <v/>
      </c>
      <c r="N2292" s="36">
        <f>VLOOKUP($P2292,매칭테이블!$G:$J,4,0)*H2292</f>
        <v/>
      </c>
      <c r="O2292" s="52">
        <f>L2292/1.1</f>
        <v/>
      </c>
      <c r="P2292" s="36">
        <f>F2292&amp;E2292&amp;G2292&amp;J2292</f>
        <v/>
      </c>
    </row>
    <row r="2293">
      <c r="B2293" s="51" t="n">
        <v>44180</v>
      </c>
      <c r="C2293" s="36">
        <f>TEXT(B2293,"aaa")</f>
        <v/>
      </c>
      <c r="E2293" s="36">
        <f>INDEX(매칭테이블!C:C,MATCH(RD!G2293,매칭테이블!D:D,0))</f>
        <v/>
      </c>
      <c r="F2293" s="39" t="inlineStr">
        <is>
          <t>카페24</t>
        </is>
      </c>
      <c r="G2293" s="39" t="inlineStr">
        <is>
          <t>스테이포에버 솔리드퍼퓸 002 (10차 재입고 완료쇼핑백=선물용 쇼핑백</t>
        </is>
      </c>
      <c r="H2293" s="39" t="n">
        <v>5</v>
      </c>
      <c r="I2293" s="36">
        <f>VLOOKUP(G2293,매칭테이블!D:E,2,0)</f>
        <v/>
      </c>
      <c r="J2293" s="39" t="n">
        <v>201210</v>
      </c>
      <c r="L2293" s="36">
        <f>VLOOKUP($P2293,매칭테이블!$G:$J,2,0)*H2293</f>
        <v/>
      </c>
      <c r="M2293" s="36">
        <f>L2293-L2293*VLOOKUP($P2293,매칭테이블!$G:$J,3,0)</f>
        <v/>
      </c>
      <c r="N2293" s="36">
        <f>VLOOKUP($P2293,매칭테이블!$G:$J,4,0)*H2293</f>
        <v/>
      </c>
      <c r="O2293" s="52">
        <f>L2293/1.1</f>
        <v/>
      </c>
      <c r="P2293" s="36">
        <f>F2293&amp;E2293&amp;G2293&amp;J2293</f>
        <v/>
      </c>
    </row>
    <row r="2294">
      <c r="B2294" s="51" t="n">
        <v>44180</v>
      </c>
      <c r="C2294" s="36">
        <f>TEXT(B2294,"aaa")</f>
        <v/>
      </c>
      <c r="E2294" s="36">
        <f>INDEX(매칭테이블!C:C,MATCH(RD!G2294,매칭테이블!D:D,0))</f>
        <v/>
      </c>
      <c r="F2294" s="39" t="inlineStr">
        <is>
          <t>카페24</t>
        </is>
      </c>
      <c r="G2294" s="39" t="inlineStr">
        <is>
          <t>스테이포에버 솔리드퍼퓸 002 (10차 재입고 완료)제품선택=스테이포에버 1개</t>
        </is>
      </c>
      <c r="H2294" s="39" t="n">
        <v>134</v>
      </c>
      <c r="I2294" s="36">
        <f>VLOOKUP(G2294,매칭테이블!D:E,2,0)</f>
        <v/>
      </c>
      <c r="J2294" s="39" t="n">
        <v>201210</v>
      </c>
      <c r="L2294" s="36">
        <f>VLOOKUP($P2294,매칭테이블!$G:$J,2,0)*H2294</f>
        <v/>
      </c>
      <c r="M2294" s="36">
        <f>L2294-L2294*VLOOKUP($P2294,매칭테이블!$G:$J,3,0)</f>
        <v/>
      </c>
      <c r="N2294" s="36">
        <f>VLOOKUP($P2294,매칭테이블!$G:$J,4,0)*H2294</f>
        <v/>
      </c>
      <c r="O2294" s="52">
        <f>L2294/1.1</f>
        <v/>
      </c>
      <c r="P2294" s="36">
        <f>F2294&amp;E2294&amp;G2294&amp;J2294</f>
        <v/>
      </c>
    </row>
    <row r="2295">
      <c r="B2295" s="51" t="n">
        <v>44180</v>
      </c>
      <c r="C2295" s="36">
        <f>TEXT(B2295,"aaa")</f>
        <v/>
      </c>
      <c r="E2295" s="36">
        <f>INDEX(매칭테이블!C:C,MATCH(RD!G2295,매칭테이블!D:D,0))</f>
        <v/>
      </c>
      <c r="F2295" s="39" t="inlineStr">
        <is>
          <t>카페24</t>
        </is>
      </c>
      <c r="G2295" s="39" t="inlineStr">
        <is>
          <t>스테이포에버 솔리드퍼퓸 002 (10차 재입고 완료)제품선택=best스테이포에버 2개[28% 할인]</t>
        </is>
      </c>
      <c r="H2295" s="39" t="n">
        <v>62</v>
      </c>
      <c r="I2295" s="36">
        <f>VLOOKUP(G2295,매칭테이블!D:E,2,0)</f>
        <v/>
      </c>
      <c r="J2295" s="39" t="n">
        <v>201210</v>
      </c>
      <c r="L2295" s="36">
        <f>VLOOKUP($P2295,매칭테이블!$G:$J,2,0)*H2295</f>
        <v/>
      </c>
      <c r="M2295" s="36">
        <f>L2295-L2295*VLOOKUP($P2295,매칭테이블!$G:$J,3,0)</f>
        <v/>
      </c>
      <c r="N2295" s="36">
        <f>VLOOKUP($P2295,매칭테이블!$G:$J,4,0)*H2295</f>
        <v/>
      </c>
      <c r="O2295" s="52">
        <f>L2295/1.1</f>
        <v/>
      </c>
      <c r="P2295" s="36">
        <f>F2295&amp;E2295&amp;G2295&amp;J2295</f>
        <v/>
      </c>
    </row>
    <row r="2296">
      <c r="B2296" s="51" t="n">
        <v>44180</v>
      </c>
      <c r="C2296" s="36">
        <f>TEXT(B2296,"aaa")</f>
        <v/>
      </c>
      <c r="E2296" s="36">
        <f>INDEX(매칭테이블!C:C,MATCH(RD!G2296,매칭테이블!D:D,0))</f>
        <v/>
      </c>
      <c r="F2296" s="39" t="inlineStr">
        <is>
          <t>카페24</t>
        </is>
      </c>
      <c r="G2296" s="39" t="inlineStr">
        <is>
          <t>스테이포에버 솔리드퍼퓸 002 (10차 재입고 완료)제품선택=커플추천스테이포에버 + 이그나이트 세트</t>
        </is>
      </c>
      <c r="H2296" s="39" t="n">
        <v>8</v>
      </c>
      <c r="I2296" s="36">
        <f>VLOOKUP(G2296,매칭테이블!D:E,2,0)</f>
        <v/>
      </c>
      <c r="J2296" s="39" t="n">
        <v>201210</v>
      </c>
      <c r="L2296" s="36">
        <f>VLOOKUP($P2296,매칭테이블!$G:$J,2,0)*H2296</f>
        <v/>
      </c>
      <c r="M2296" s="36">
        <f>L2296-L2296*VLOOKUP($P2296,매칭테이블!$G:$J,3,0)</f>
        <v/>
      </c>
      <c r="N2296" s="36">
        <f>VLOOKUP($P2296,매칭테이블!$G:$J,4,0)*H2296</f>
        <v/>
      </c>
      <c r="O2296" s="52">
        <f>L2296/1.1</f>
        <v/>
      </c>
      <c r="P2296" s="36">
        <f>F2296&amp;E2296&amp;G2296&amp;J2296</f>
        <v/>
      </c>
    </row>
    <row r="2297">
      <c r="B2297" s="51" t="n">
        <v>44180</v>
      </c>
      <c r="C2297" s="36">
        <f>TEXT(B2297,"aaa")</f>
        <v/>
      </c>
      <c r="E2297" s="36">
        <f>INDEX(매칭테이블!C:C,MATCH(RD!G2297,매칭테이블!D:D,0))</f>
        <v/>
      </c>
      <c r="F2297" s="39" t="inlineStr">
        <is>
          <t>카페24</t>
        </is>
      </c>
      <c r="G2297" s="39" t="inlineStr">
        <is>
          <t>스테이포에버 솔리드퍼퓸 002 (10차 재입고 완료)쇼핑백=선물용 쇼핑백</t>
        </is>
      </c>
      <c r="H2297" s="39" t="n">
        <v>9</v>
      </c>
      <c r="I2297" s="36">
        <f>VLOOKUP(G2297,매칭테이블!D:E,2,0)</f>
        <v/>
      </c>
      <c r="J2297" s="39" t="n">
        <v>201210</v>
      </c>
      <c r="L2297" s="36">
        <f>VLOOKUP($P2297,매칭테이블!$G:$J,2,0)*H2297</f>
        <v/>
      </c>
      <c r="M2297" s="36">
        <f>L2297-L2297*VLOOKUP($P2297,매칭테이블!$G:$J,3,0)</f>
        <v/>
      </c>
      <c r="N2297" s="36">
        <f>VLOOKUP($P2297,매칭테이블!$G:$J,4,0)*H2297</f>
        <v/>
      </c>
      <c r="O2297" s="52">
        <f>L2297/1.1</f>
        <v/>
      </c>
      <c r="P2297" s="36">
        <f>F2297&amp;E2297&amp;G2297&amp;J2297</f>
        <v/>
      </c>
    </row>
    <row r="2298">
      <c r="B2298" s="51" t="n">
        <v>44180</v>
      </c>
      <c r="C2298" s="36">
        <f>TEXT(B2298,"aaa")</f>
        <v/>
      </c>
      <c r="E2298" s="36">
        <f>INDEX(매칭테이블!C:C,MATCH(RD!G2298,매칭테이블!D:D,0))</f>
        <v/>
      </c>
      <c r="F2298" s="39" t="inlineStr">
        <is>
          <t>카페24</t>
        </is>
      </c>
      <c r="G2298" s="39" t="inlineStr">
        <is>
          <t>유즈 솔리드퍼퓸 - 30ml (10차 재입고 완료향=이그나이트 001 SOLID PERFUME, 세트 선택=1개</t>
        </is>
      </c>
      <c r="H2298" s="39" t="n">
        <v>1</v>
      </c>
      <c r="I2298" s="36">
        <f>VLOOKUP(G2298,매칭테이블!D:E,2,0)</f>
        <v/>
      </c>
      <c r="J2298" s="39" t="n">
        <v>201210</v>
      </c>
      <c r="L2298" s="36">
        <f>VLOOKUP($P2298,매칭테이블!$G:$J,2,0)*H2298</f>
        <v/>
      </c>
      <c r="M2298" s="36">
        <f>L2298-L2298*VLOOKUP($P2298,매칭테이블!$G:$J,3,0)</f>
        <v/>
      </c>
      <c r="N2298" s="36">
        <f>VLOOKUP($P2298,매칭테이블!$G:$J,4,0)*H2298</f>
        <v/>
      </c>
      <c r="O2298" s="52">
        <f>L2298/1.1</f>
        <v/>
      </c>
      <c r="P2298" s="36">
        <f>F2298&amp;E2298&amp;G2298&amp;J2298</f>
        <v/>
      </c>
    </row>
    <row r="2299">
      <c r="B2299" s="51" t="n">
        <v>44180</v>
      </c>
      <c r="C2299" s="36">
        <f>TEXT(B2299,"aaa")</f>
        <v/>
      </c>
      <c r="E2299" s="36">
        <f>INDEX(매칭테이블!C:C,MATCH(RD!G2299,매칭테이블!D:D,0))</f>
        <v/>
      </c>
      <c r="F2299" s="39" t="inlineStr">
        <is>
          <t>카페24</t>
        </is>
      </c>
      <c r="G2299" s="39" t="inlineStr">
        <is>
          <t>유즈 솔리드퍼퓸 - 30ml (10차 재입고 완료향=스테이포에버 002 SOLID PERFUME, 세트 선택=1개</t>
        </is>
      </c>
      <c r="H2299" s="39" t="n">
        <v>7</v>
      </c>
      <c r="I2299" s="36">
        <f>VLOOKUP(G2299,매칭테이블!D:E,2,0)</f>
        <v/>
      </c>
      <c r="J2299" s="39" t="n">
        <v>201210</v>
      </c>
      <c r="L2299" s="36">
        <f>VLOOKUP($P2299,매칭테이블!$G:$J,2,0)*H2299</f>
        <v/>
      </c>
      <c r="M2299" s="36">
        <f>L2299-L2299*VLOOKUP($P2299,매칭테이블!$G:$J,3,0)</f>
        <v/>
      </c>
      <c r="N2299" s="36">
        <f>VLOOKUP($P2299,매칭테이블!$G:$J,4,0)*H2299</f>
        <v/>
      </c>
      <c r="O2299" s="52">
        <f>L2299/1.1</f>
        <v/>
      </c>
      <c r="P2299" s="36">
        <f>F2299&amp;E2299&amp;G2299&amp;J2299</f>
        <v/>
      </c>
    </row>
    <row r="2300">
      <c r="B2300" s="51" t="n">
        <v>44180</v>
      </c>
      <c r="C2300" s="36">
        <f>TEXT(B2300,"aaa")</f>
        <v/>
      </c>
      <c r="E2300" s="36">
        <f>INDEX(매칭테이블!C:C,MATCH(RD!G2300,매칭테이블!D:D,0))</f>
        <v/>
      </c>
      <c r="F2300" s="39" t="inlineStr">
        <is>
          <t>카페24</t>
        </is>
      </c>
      <c r="G2300" s="39" t="inlineStr">
        <is>
          <t>유즈 솔리드퍼퓸 - 30ml (10차 재입고 완료향=스테이포에버 002 SOLID PERFUME, 세트 선택=best</t>
        </is>
      </c>
      <c r="H2300" s="39" t="n">
        <v>3</v>
      </c>
      <c r="I2300" s="36">
        <f>VLOOKUP(G2300,매칭테이블!D:E,2,0)</f>
        <v/>
      </c>
      <c r="J2300" s="39" t="n">
        <v>201210</v>
      </c>
      <c r="L2300" s="36">
        <f>VLOOKUP($P2300,매칭테이블!$G:$J,2,0)*H2300</f>
        <v/>
      </c>
      <c r="M2300" s="36">
        <f>L2300-L2300*VLOOKUP($P2300,매칭테이블!$G:$J,3,0)</f>
        <v/>
      </c>
      <c r="N2300" s="36">
        <f>VLOOKUP($P2300,매칭테이블!$G:$J,4,0)*H2300</f>
        <v/>
      </c>
      <c r="O2300" s="52">
        <f>L2300/1.1</f>
        <v/>
      </c>
      <c r="P2300" s="36">
        <f>F2300&amp;E2300&amp;G2300&amp;J2300</f>
        <v/>
      </c>
    </row>
    <row r="2301">
      <c r="B2301" s="51" t="n">
        <v>44180</v>
      </c>
      <c r="C2301" s="36">
        <f>TEXT(B2301,"aaa")</f>
        <v/>
      </c>
      <c r="E2301" s="36">
        <f>INDEX(매칭테이블!C:C,MATCH(RD!G2301,매칭테이블!D:D,0))</f>
        <v/>
      </c>
      <c r="F2301" s="39" t="inlineStr">
        <is>
          <t>카페24</t>
        </is>
      </c>
      <c r="G2301" s="39" t="inlineStr">
        <is>
          <t>유즈 솔리드퍼퓸 - 30ml (10차 재입고 완료향=커플세트</t>
        </is>
      </c>
      <c r="H2301" s="39" t="n">
        <v>3</v>
      </c>
      <c r="I2301" s="36">
        <f>VLOOKUP(G2301,매칭테이블!D:E,2,0)</f>
        <v/>
      </c>
      <c r="J2301" s="39" t="n">
        <v>201210</v>
      </c>
      <c r="L2301" s="36">
        <f>VLOOKUP($P2301,매칭테이블!$G:$J,2,0)*H2301</f>
        <v/>
      </c>
      <c r="M2301" s="36">
        <f>L2301-L2301*VLOOKUP($P2301,매칭테이블!$G:$J,3,0)</f>
        <v/>
      </c>
      <c r="N2301" s="36">
        <f>VLOOKUP($P2301,매칭테이블!$G:$J,4,0)*H2301</f>
        <v/>
      </c>
      <c r="O2301" s="52">
        <f>L2301/1.1</f>
        <v/>
      </c>
      <c r="P2301" s="36">
        <f>F2301&amp;E2301&amp;G2301&amp;J2301</f>
        <v/>
      </c>
    </row>
    <row r="2302">
      <c r="B2302" s="51" t="n">
        <v>44180</v>
      </c>
      <c r="C2302" s="36">
        <f>TEXT(B2302,"aaa")</f>
        <v/>
      </c>
      <c r="E2302" s="36">
        <f>INDEX(매칭테이블!C:C,MATCH(RD!G2302,매칭테이블!D:D,0))</f>
        <v/>
      </c>
      <c r="F2302" s="39" t="inlineStr">
        <is>
          <t>카페24</t>
        </is>
      </c>
      <c r="G2302" s="39" t="inlineStr">
        <is>
          <t>유즈 솔리드퍼퓸 - 30ml (10차 재입고 완료향=커플세트</t>
        </is>
      </c>
      <c r="H2302" s="39" t="n">
        <v>3</v>
      </c>
      <c r="I2302" s="36">
        <f>VLOOKUP(G2302,매칭테이블!D:E,2,0)</f>
        <v/>
      </c>
      <c r="J2302" s="39" t="n">
        <v>201210</v>
      </c>
      <c r="L2302" s="36">
        <f>VLOOKUP($P2302,매칭테이블!$G:$J,2,0)*H2302</f>
        <v/>
      </c>
      <c r="M2302" s="36">
        <f>L2302-L2302*VLOOKUP($P2302,매칭테이블!$G:$J,3,0)</f>
        <v/>
      </c>
      <c r="N2302" s="36">
        <f>VLOOKUP($P2302,매칭테이블!$G:$J,4,0)*H2302</f>
        <v/>
      </c>
      <c r="O2302" s="52">
        <f>L2302/1.1</f>
        <v/>
      </c>
      <c r="P2302" s="36">
        <f>F2302&amp;E2302&amp;G2302&amp;J2302</f>
        <v/>
      </c>
    </row>
    <row r="2303">
      <c r="B2303" s="51" t="n">
        <v>44180</v>
      </c>
      <c r="C2303" s="36">
        <f>TEXT(B2303,"aaa")</f>
        <v/>
      </c>
      <c r="E2303" s="36">
        <f>INDEX(매칭테이블!C:C,MATCH(RD!G2303,매칭테이블!D:D,0))</f>
        <v/>
      </c>
      <c r="F2303" s="39" t="inlineStr">
        <is>
          <t>카페24</t>
        </is>
      </c>
      <c r="G2303" s="39" t="inlineStr">
        <is>
          <t>유즈 솔리드퍼퓸 - 30ml (10차 재입고 완료 )향=이그나이트 001 SOLID PERFUME, 세트 선택=1개</t>
        </is>
      </c>
      <c r="H2303" s="39" t="n">
        <v>1</v>
      </c>
      <c r="I2303" s="36">
        <f>VLOOKUP(G2303,매칭테이블!D:E,2,0)</f>
        <v/>
      </c>
      <c r="J2303" s="39" t="n">
        <v>201210</v>
      </c>
      <c r="L2303" s="36">
        <f>VLOOKUP($P2303,매칭테이블!$G:$J,2,0)*H2303</f>
        <v/>
      </c>
      <c r="M2303" s="36">
        <f>L2303-L2303*VLOOKUP($P2303,매칭테이블!$G:$J,3,0)</f>
        <v/>
      </c>
      <c r="N2303" s="36">
        <f>VLOOKUP($P2303,매칭테이블!$G:$J,4,0)*H2303</f>
        <v/>
      </c>
      <c r="O2303" s="52">
        <f>L2303/1.1</f>
        <v/>
      </c>
      <c r="P2303" s="36">
        <f>F2303&amp;E2303&amp;G2303&amp;J2303</f>
        <v/>
      </c>
    </row>
    <row r="2304">
      <c r="B2304" s="51" t="n">
        <v>44180</v>
      </c>
      <c r="C2304" s="36">
        <f>TEXT(B2304,"aaa")</f>
        <v/>
      </c>
      <c r="E2304" s="36">
        <f>INDEX(매칭테이블!C:C,MATCH(RD!G2304,매칭테이블!D:D,0))</f>
        <v/>
      </c>
      <c r="F2304" s="39" t="inlineStr">
        <is>
          <t>카페24</t>
        </is>
      </c>
      <c r="G2304" s="39" t="inlineStr">
        <is>
          <t>유즈 솔리드퍼퓸 - 30ml (10차 재입고 완료 )향=스테이포에버 002 SOLID PERFUME, 세트 선택=1개</t>
        </is>
      </c>
      <c r="H2304" s="39" t="n">
        <v>5</v>
      </c>
      <c r="I2304" s="36">
        <f>VLOOKUP(G2304,매칭테이블!D:E,2,0)</f>
        <v/>
      </c>
      <c r="J2304" s="39" t="n">
        <v>201210</v>
      </c>
      <c r="L2304" s="36">
        <f>VLOOKUP($P2304,매칭테이블!$G:$J,2,0)*H2304</f>
        <v/>
      </c>
      <c r="M2304" s="36">
        <f>L2304-L2304*VLOOKUP($P2304,매칭테이블!$G:$J,3,0)</f>
        <v/>
      </c>
      <c r="N2304" s="36">
        <f>VLOOKUP($P2304,매칭테이블!$G:$J,4,0)*H2304</f>
        <v/>
      </c>
      <c r="O2304" s="52">
        <f>L2304/1.1</f>
        <v/>
      </c>
      <c r="P2304" s="36">
        <f>F2304&amp;E2304&amp;G2304&amp;J2304</f>
        <v/>
      </c>
    </row>
    <row r="2305">
      <c r="B2305" s="51" t="n">
        <v>44180</v>
      </c>
      <c r="C2305" s="36">
        <f>TEXT(B2305,"aaa")</f>
        <v/>
      </c>
      <c r="E2305" s="36">
        <f>INDEX(매칭테이블!C:C,MATCH(RD!G2305,매칭테이블!D:D,0))</f>
        <v/>
      </c>
      <c r="F2305" s="39" t="inlineStr">
        <is>
          <t>카페24</t>
        </is>
      </c>
      <c r="G2305" s="39" t="inlineStr">
        <is>
          <t>유즈 솔리드퍼퓸 - 30ml (10차 재입고 완료 )향=스테이포에버 002 SOLID PERFUME, 세트 선택=best 2개 (28% 할인)</t>
        </is>
      </c>
      <c r="H2305" s="39" t="n">
        <v>1</v>
      </c>
      <c r="I2305" s="36">
        <f>VLOOKUP(G2305,매칭테이블!D:E,2,0)</f>
        <v/>
      </c>
      <c r="J2305" s="39" t="n">
        <v>201210</v>
      </c>
      <c r="L2305" s="36">
        <f>VLOOKUP($P2305,매칭테이블!$G:$J,2,0)*H2305</f>
        <v/>
      </c>
      <c r="M2305" s="36">
        <f>L2305-L2305*VLOOKUP($P2305,매칭테이블!$G:$J,3,0)</f>
        <v/>
      </c>
      <c r="N2305" s="36">
        <f>VLOOKUP($P2305,매칭테이블!$G:$J,4,0)*H2305</f>
        <v/>
      </c>
      <c r="O2305" s="52">
        <f>L2305/1.1</f>
        <v/>
      </c>
      <c r="P2305" s="36">
        <f>F2305&amp;E2305&amp;G2305&amp;J2305</f>
        <v/>
      </c>
    </row>
    <row r="2306">
      <c r="B2306" s="51" t="n">
        <v>44180</v>
      </c>
      <c r="C2306" s="36">
        <f>TEXT(B2306,"aaa")</f>
        <v/>
      </c>
      <c r="E2306" s="36">
        <f>INDEX(매칭테이블!C:C,MATCH(RD!G2306,매칭테이블!D:D,0))</f>
        <v/>
      </c>
      <c r="F2306" s="39" t="inlineStr">
        <is>
          <t>카페24</t>
        </is>
      </c>
      <c r="G2306" s="39" t="inlineStr">
        <is>
          <t>유즈 솔리드퍼퓸 - 30ml (10차 재입고 완료 )향=커플세트(이그나이트 + 스테이포에버), 세트 선택=1 SET</t>
        </is>
      </c>
      <c r="H2306" s="39" t="n">
        <v>1</v>
      </c>
      <c r="I2306" s="36">
        <f>VLOOKUP(G2306,매칭테이블!D:E,2,0)</f>
        <v/>
      </c>
      <c r="J2306" s="39" t="n">
        <v>201210</v>
      </c>
      <c r="L2306" s="36">
        <f>VLOOKUP($P2306,매칭테이블!$G:$J,2,0)*H2306</f>
        <v/>
      </c>
      <c r="M2306" s="36">
        <f>L2306-L2306*VLOOKUP($P2306,매칭테이블!$G:$J,3,0)</f>
        <v/>
      </c>
      <c r="N2306" s="36">
        <f>VLOOKUP($P2306,매칭테이블!$G:$J,4,0)*H2306</f>
        <v/>
      </c>
      <c r="O2306" s="52">
        <f>L2306/1.1</f>
        <v/>
      </c>
      <c r="P2306" s="36">
        <f>F2306&amp;E2306&amp;G2306&amp;J2306</f>
        <v/>
      </c>
    </row>
    <row r="2307">
      <c r="B2307" s="51" t="n">
        <v>44180</v>
      </c>
      <c r="C2307" s="36">
        <f>TEXT(B2307,"aaa")</f>
        <v/>
      </c>
      <c r="E2307" s="36">
        <f>INDEX(매칭테이블!C:C,MATCH(RD!G2307,매칭테이블!D:D,0))</f>
        <v/>
      </c>
      <c r="F2307" s="39" t="inlineStr">
        <is>
          <t>카페24</t>
        </is>
      </c>
      <c r="G2307" s="39" t="inlineStr">
        <is>
          <t>유즈 솔리드퍼퓸 - 30ml (스테이포에버 주문 시 12/15 순차배송)향=스테이포에버 002 SOLID PERFUME, 세트 선택=1</t>
        </is>
      </c>
      <c r="H2307" s="39" t="n">
        <v>1</v>
      </c>
      <c r="I2307" s="36">
        <f>VLOOKUP(G2307,매칭테이블!D:E,2,0)</f>
        <v/>
      </c>
      <c r="J2307" s="39" t="n">
        <v>201210</v>
      </c>
      <c r="L2307" s="36">
        <f>VLOOKUP($P2307,매칭테이블!$G:$J,2,0)*H2307</f>
        <v/>
      </c>
      <c r="M2307" s="36">
        <f>L2307-L2307*VLOOKUP($P2307,매칭테이블!$G:$J,3,0)</f>
        <v/>
      </c>
      <c r="N2307" s="36">
        <f>VLOOKUP($P2307,매칭테이블!$G:$J,4,0)*H2307</f>
        <v/>
      </c>
      <c r="O2307" s="52">
        <f>L2307/1.1</f>
        <v/>
      </c>
      <c r="P2307" s="36">
        <f>F2307&amp;E2307&amp;G2307&amp;J2307</f>
        <v/>
      </c>
    </row>
    <row r="2308">
      <c r="B2308" s="51" t="n">
        <v>44180</v>
      </c>
      <c r="C2308" s="36">
        <f>TEXT(B2308,"aaa")</f>
        <v/>
      </c>
      <c r="E2308" s="36">
        <f>INDEX(매칭테이블!C:C,MATCH(RD!G2308,매칭테이블!D:D,0))</f>
        <v/>
      </c>
      <c r="F2308" s="39" t="inlineStr">
        <is>
          <t>카페24</t>
        </is>
      </c>
      <c r="G2308" s="39" t="inlineStr">
        <is>
          <t>유즈 스테이포에버 솔리드퍼퓸 002 (스테이포에버 주문시 12/15 순차배송)제품선택=스테이포에버 1개</t>
        </is>
      </c>
      <c r="H2308" s="39" t="n">
        <v>5</v>
      </c>
      <c r="I2308" s="36">
        <f>VLOOKUP(G2308,매칭테이블!D:E,2,0)</f>
        <v/>
      </c>
      <c r="J2308" s="39" t="n">
        <v>201210</v>
      </c>
      <c r="L2308" s="36">
        <f>VLOOKUP($P2308,매칭테이블!$G:$J,2,0)*H2308</f>
        <v/>
      </c>
      <c r="M2308" s="36">
        <f>L2308-L2308*VLOOKUP($P2308,매칭테이블!$G:$J,3,0)</f>
        <v/>
      </c>
      <c r="N2308" s="36">
        <f>VLOOKUP($P2308,매칭테이블!$G:$J,4,0)*H2308</f>
        <v/>
      </c>
      <c r="O2308" s="52">
        <f>L2308/1.1</f>
        <v/>
      </c>
      <c r="P2308" s="36">
        <f>F2308&amp;E2308&amp;G2308&amp;J2308</f>
        <v/>
      </c>
    </row>
    <row r="2309">
      <c r="B2309" s="51" t="n">
        <v>44180</v>
      </c>
      <c r="C2309" s="36">
        <f>TEXT(B2309,"aaa")</f>
        <v/>
      </c>
      <c r="E2309" s="36">
        <f>INDEX(매칭테이블!C:C,MATCH(RD!G2309,매칭테이블!D:D,0))</f>
        <v/>
      </c>
      <c r="F2309" s="39" t="inlineStr">
        <is>
          <t>카페24</t>
        </is>
      </c>
      <c r="G2309" s="39" t="inlineStr">
        <is>
          <t>유즈 스테이포에버 솔리드퍼퓸 002 (스테이포에버 주문시 12/15 순차배송)제품선택=스테이포에버 1개 [17% 할인]</t>
        </is>
      </c>
      <c r="H2309" s="39" t="n">
        <v>1</v>
      </c>
      <c r="I2309" s="36">
        <f>VLOOKUP(G2309,매칭테이블!D:E,2,0)</f>
        <v/>
      </c>
      <c r="J2309" s="39" t="n">
        <v>201210</v>
      </c>
      <c r="L2309" s="36">
        <f>VLOOKUP($P2309,매칭테이블!$G:$J,2,0)*H2309</f>
        <v/>
      </c>
      <c r="M2309" s="36">
        <f>L2309-L2309*VLOOKUP($P2309,매칭테이블!$G:$J,3,0)</f>
        <v/>
      </c>
      <c r="N2309" s="36">
        <f>VLOOKUP($P2309,매칭테이블!$G:$J,4,0)*H2309</f>
        <v/>
      </c>
      <c r="O2309" s="52">
        <f>L2309/1.1</f>
        <v/>
      </c>
      <c r="P2309" s="36">
        <f>F2309&amp;E2309&amp;G2309&amp;J2309</f>
        <v/>
      </c>
    </row>
    <row r="2310">
      <c r="B2310" s="51" t="n">
        <v>44180</v>
      </c>
      <c r="C2310" s="36">
        <f>TEXT(B2310,"aaa")</f>
        <v/>
      </c>
      <c r="E2310" s="36">
        <f>INDEX(매칭테이블!C:C,MATCH(RD!G2310,매칭테이블!D:D,0))</f>
        <v/>
      </c>
      <c r="F2310" s="39" t="inlineStr">
        <is>
          <t>카페24</t>
        </is>
      </c>
      <c r="G2310" s="39" t="inlineStr">
        <is>
          <t>유즈 이그나이트 솔리드퍼퓸 001제품선택=이그나이트 솔리드퍼퓸 - 30ml</t>
        </is>
      </c>
      <c r="H2310" s="39" t="n">
        <v>5</v>
      </c>
      <c r="I2310" s="36">
        <f>VLOOKUP(G2310,매칭테이블!D:E,2,0)</f>
        <v/>
      </c>
      <c r="J2310" s="39" t="n">
        <v>201210</v>
      </c>
      <c r="L2310" s="36">
        <f>VLOOKUP($P2310,매칭테이블!$G:$J,2,0)*H2310</f>
        <v/>
      </c>
      <c r="M2310" s="36">
        <f>L2310-L2310*VLOOKUP($P2310,매칭테이블!$G:$J,3,0)</f>
        <v/>
      </c>
      <c r="N2310" s="36">
        <f>VLOOKUP($P2310,매칭테이블!$G:$J,4,0)*H2310</f>
        <v/>
      </c>
      <c r="O2310" s="52">
        <f>L2310/1.1</f>
        <v/>
      </c>
      <c r="P2310" s="36">
        <f>F2310&amp;E2310&amp;G2310&amp;J2310</f>
        <v/>
      </c>
    </row>
    <row r="2311">
      <c r="B2311" s="51" t="n">
        <v>44181</v>
      </c>
      <c r="C2311" s="36">
        <f>TEXT(B2311,"aaa")</f>
        <v/>
      </c>
      <c r="E2311" s="36">
        <f>INDEX(매칭테이블!C:C,MATCH(RD!G2311,매칭테이블!D:D,0))</f>
        <v/>
      </c>
      <c r="F2311" s="39" t="inlineStr">
        <is>
          <t>유즈 CS</t>
        </is>
      </c>
      <c r="G2311" s="39" t="inlineStr">
        <is>
          <t>솔리드퍼퓸 스테이포에버 002 30ml</t>
        </is>
      </c>
      <c r="H2311" s="39" t="n">
        <v>3</v>
      </c>
      <c r="I2311" s="36">
        <f>VLOOKUP(G2311,매칭테이블!D:E,2,0)</f>
        <v/>
      </c>
      <c r="J2311" s="39" t="n">
        <v>201210</v>
      </c>
      <c r="L2311" s="36">
        <f>VLOOKUP($P2311,매칭테이블!$G:$J,2,0)*H2311</f>
        <v/>
      </c>
      <c r="M2311" s="36">
        <f>L2311-L2311*VLOOKUP($P2311,매칭테이블!$G:$J,3,0)</f>
        <v/>
      </c>
      <c r="N2311" s="36">
        <f>VLOOKUP($P2311,매칭테이블!$G:$J,4,0)*H2311</f>
        <v/>
      </c>
      <c r="O2311" s="52">
        <f>L2311/1.1</f>
        <v/>
      </c>
      <c r="P2311" s="36">
        <f>F2311&amp;E2311&amp;G2311&amp;J2311</f>
        <v/>
      </c>
    </row>
    <row r="2312">
      <c r="B2312" s="51" t="n">
        <v>44181</v>
      </c>
      <c r="C2312" s="36">
        <f>TEXT(B2312,"aaa")</f>
        <v/>
      </c>
      <c r="E2312" s="36">
        <f>INDEX(매칭테이블!C:C,MATCH(RD!G2312,매칭테이블!D:D,0))</f>
        <v/>
      </c>
      <c r="F2312" s="39" t="inlineStr">
        <is>
          <t>카페24</t>
        </is>
      </c>
      <c r="G2312" s="39" t="inlineStr">
        <is>
          <t>스테이포에버 솔리드퍼퓸 002 (10차 재입고 완료제품선택=스테이포에버 1개</t>
        </is>
      </c>
      <c r="H2312" s="39" t="n">
        <v>94</v>
      </c>
      <c r="I2312" s="36">
        <f>VLOOKUP(G2312,매칭테이블!D:E,2,0)</f>
        <v/>
      </c>
      <c r="J2312" s="39" t="n">
        <v>201210</v>
      </c>
      <c r="L2312" s="36">
        <f>VLOOKUP($P2312,매칭테이블!$G:$J,2,0)*H2312</f>
        <v/>
      </c>
      <c r="M2312" s="36">
        <f>L2312-L2312*VLOOKUP($P2312,매칭테이블!$G:$J,3,0)</f>
        <v/>
      </c>
      <c r="N2312" s="36">
        <f>VLOOKUP($P2312,매칭테이블!$G:$J,4,0)*H2312</f>
        <v/>
      </c>
      <c r="O2312" s="52">
        <f>L2312/1.1</f>
        <v/>
      </c>
      <c r="P2312" s="36">
        <f>F2312&amp;E2312&amp;G2312&amp;J2312</f>
        <v/>
      </c>
    </row>
    <row r="2313">
      <c r="B2313" s="51" t="n">
        <v>44181</v>
      </c>
      <c r="C2313" s="36">
        <f>TEXT(B2313,"aaa")</f>
        <v/>
      </c>
      <c r="E2313" s="36">
        <f>INDEX(매칭테이블!C:C,MATCH(RD!G2313,매칭테이블!D:D,0))</f>
        <v/>
      </c>
      <c r="F2313" s="39" t="inlineStr">
        <is>
          <t>카페24</t>
        </is>
      </c>
      <c r="G2313" s="39" t="inlineStr">
        <is>
          <t>스테이포에버 솔리드퍼퓸 002 (10차 재입고 완료제품선택=best</t>
        </is>
      </c>
      <c r="H2313" s="39" t="n">
        <v>44</v>
      </c>
      <c r="I2313" s="36">
        <f>VLOOKUP(G2313,매칭테이블!D:E,2,0)</f>
        <v/>
      </c>
      <c r="J2313" s="39" t="n">
        <v>201210</v>
      </c>
      <c r="L2313" s="36">
        <f>VLOOKUP($P2313,매칭테이블!$G:$J,2,0)*H2313</f>
        <v/>
      </c>
      <c r="M2313" s="36">
        <f>L2313-L2313*VLOOKUP($P2313,매칭테이블!$G:$J,3,0)</f>
        <v/>
      </c>
      <c r="N2313" s="36">
        <f>VLOOKUP($P2313,매칭테이블!$G:$J,4,0)*H2313</f>
        <v/>
      </c>
      <c r="O2313" s="52">
        <f>L2313/1.1</f>
        <v/>
      </c>
      <c r="P2313" s="36">
        <f>F2313&amp;E2313&amp;G2313&amp;J2313</f>
        <v/>
      </c>
    </row>
    <row r="2314">
      <c r="B2314" s="51" t="n">
        <v>44181</v>
      </c>
      <c r="C2314" s="36">
        <f>TEXT(B2314,"aaa")</f>
        <v/>
      </c>
      <c r="E2314" s="36">
        <f>INDEX(매칭테이블!C:C,MATCH(RD!G2314,매칭테이블!D:D,0))</f>
        <v/>
      </c>
      <c r="F2314" s="39" t="inlineStr">
        <is>
          <t>카페24</t>
        </is>
      </c>
      <c r="G2314" s="39" t="inlineStr">
        <is>
          <t>스테이포에버 솔리드퍼퓸 002 (10차 재입고 완료제품선택=커플추천</t>
        </is>
      </c>
      <c r="H2314" s="39" t="n">
        <v>9</v>
      </c>
      <c r="I2314" s="36">
        <f>VLOOKUP(G2314,매칭테이블!D:E,2,0)</f>
        <v/>
      </c>
      <c r="J2314" s="39" t="n">
        <v>201210</v>
      </c>
      <c r="L2314" s="36">
        <f>VLOOKUP($P2314,매칭테이블!$G:$J,2,0)*H2314</f>
        <v/>
      </c>
      <c r="M2314" s="36">
        <f>L2314-L2314*VLOOKUP($P2314,매칭테이블!$G:$J,3,0)</f>
        <v/>
      </c>
      <c r="N2314" s="36">
        <f>VLOOKUP($P2314,매칭테이블!$G:$J,4,0)*H2314</f>
        <v/>
      </c>
      <c r="O2314" s="52">
        <f>L2314/1.1</f>
        <v/>
      </c>
      <c r="P2314" s="36">
        <f>F2314&amp;E2314&amp;G2314&amp;J2314</f>
        <v/>
      </c>
    </row>
    <row r="2315">
      <c r="B2315" s="51" t="n">
        <v>44181</v>
      </c>
      <c r="C2315" s="36">
        <f>TEXT(B2315,"aaa")</f>
        <v/>
      </c>
      <c r="E2315" s="36">
        <f>INDEX(매칭테이블!C:C,MATCH(RD!G2315,매칭테이블!D:D,0))</f>
        <v/>
      </c>
      <c r="F2315" s="39" t="inlineStr">
        <is>
          <t>카페24</t>
        </is>
      </c>
      <c r="G2315" s="39" t="inlineStr">
        <is>
          <t>스테이포에버 솔리드퍼퓸 002 (10차 재입고 완료쇼핑백=선물용 쇼핑백</t>
        </is>
      </c>
      <c r="H2315" s="39" t="n">
        <v>2</v>
      </c>
      <c r="I2315" s="36">
        <f>VLOOKUP(G2315,매칭테이블!D:E,2,0)</f>
        <v/>
      </c>
      <c r="J2315" s="39" t="n">
        <v>201210</v>
      </c>
      <c r="L2315" s="36">
        <f>VLOOKUP($P2315,매칭테이블!$G:$J,2,0)*H2315</f>
        <v/>
      </c>
      <c r="M2315" s="36">
        <f>L2315-L2315*VLOOKUP($P2315,매칭테이블!$G:$J,3,0)</f>
        <v/>
      </c>
      <c r="N2315" s="36">
        <f>VLOOKUP($P2315,매칭테이블!$G:$J,4,0)*H2315</f>
        <v/>
      </c>
      <c r="O2315" s="52">
        <f>L2315/1.1</f>
        <v/>
      </c>
      <c r="P2315" s="36">
        <f>F2315&amp;E2315&amp;G2315&amp;J2315</f>
        <v/>
      </c>
    </row>
    <row r="2316">
      <c r="B2316" s="51" t="n">
        <v>44181</v>
      </c>
      <c r="C2316" s="36">
        <f>TEXT(B2316,"aaa")</f>
        <v/>
      </c>
      <c r="E2316" s="36">
        <f>INDEX(매칭테이블!C:C,MATCH(RD!G2316,매칭테이블!D:D,0))</f>
        <v/>
      </c>
      <c r="F2316" s="39" t="inlineStr">
        <is>
          <t>카페24</t>
        </is>
      </c>
      <c r="G2316" s="39" t="inlineStr">
        <is>
          <t>스테이포에버 솔리드퍼퓸 002 (10차 재입고 완료)제품선택=스테이포에버 1개</t>
        </is>
      </c>
      <c r="H2316" s="39" t="n">
        <v>158</v>
      </c>
      <c r="I2316" s="36">
        <f>VLOOKUP(G2316,매칭테이블!D:E,2,0)</f>
        <v/>
      </c>
      <c r="J2316" s="39" t="n">
        <v>201210</v>
      </c>
      <c r="L2316" s="36">
        <f>VLOOKUP($P2316,매칭테이블!$G:$J,2,0)*H2316</f>
        <v/>
      </c>
      <c r="M2316" s="36">
        <f>L2316-L2316*VLOOKUP($P2316,매칭테이블!$G:$J,3,0)</f>
        <v/>
      </c>
      <c r="N2316" s="36">
        <f>VLOOKUP($P2316,매칭테이블!$G:$J,4,0)*H2316</f>
        <v/>
      </c>
      <c r="O2316" s="52">
        <f>L2316/1.1</f>
        <v/>
      </c>
      <c r="P2316" s="36">
        <f>F2316&amp;E2316&amp;G2316&amp;J2316</f>
        <v/>
      </c>
    </row>
    <row r="2317">
      <c r="B2317" s="51" t="n">
        <v>44181</v>
      </c>
      <c r="C2317" s="36">
        <f>TEXT(B2317,"aaa")</f>
        <v/>
      </c>
      <c r="E2317" s="36">
        <f>INDEX(매칭테이블!C:C,MATCH(RD!G2317,매칭테이블!D:D,0))</f>
        <v/>
      </c>
      <c r="F2317" s="39" t="inlineStr">
        <is>
          <t>카페24</t>
        </is>
      </c>
      <c r="G2317" s="39" t="inlineStr">
        <is>
          <t>스테이포에버 솔리드퍼퓸 002 (10차 재입고 완료)제품선택=best스테이포에버 2개[28% 할인]</t>
        </is>
      </c>
      <c r="H2317" s="39" t="n">
        <v>60</v>
      </c>
      <c r="I2317" s="36">
        <f>VLOOKUP(G2317,매칭테이블!D:E,2,0)</f>
        <v/>
      </c>
      <c r="J2317" s="39" t="n">
        <v>201210</v>
      </c>
      <c r="L2317" s="36">
        <f>VLOOKUP($P2317,매칭테이블!$G:$J,2,0)*H2317</f>
        <v/>
      </c>
      <c r="M2317" s="36">
        <f>L2317-L2317*VLOOKUP($P2317,매칭테이블!$G:$J,3,0)</f>
        <v/>
      </c>
      <c r="N2317" s="36">
        <f>VLOOKUP($P2317,매칭테이블!$G:$J,4,0)*H2317</f>
        <v/>
      </c>
      <c r="O2317" s="52">
        <f>L2317/1.1</f>
        <v/>
      </c>
      <c r="P2317" s="36">
        <f>F2317&amp;E2317&amp;G2317&amp;J2317</f>
        <v/>
      </c>
    </row>
    <row r="2318">
      <c r="B2318" s="51" t="n">
        <v>44181</v>
      </c>
      <c r="C2318" s="36">
        <f>TEXT(B2318,"aaa")</f>
        <v/>
      </c>
      <c r="E2318" s="36">
        <f>INDEX(매칭테이블!C:C,MATCH(RD!G2318,매칭테이블!D:D,0))</f>
        <v/>
      </c>
      <c r="F2318" s="39" t="inlineStr">
        <is>
          <t>카페24</t>
        </is>
      </c>
      <c r="G2318" s="39" t="inlineStr">
        <is>
          <t>스테이포에버 솔리드퍼퓸 002 (10차 재입고 완료)제품선택=커플추천스테이포에버 + 이그나이트 세트</t>
        </is>
      </c>
      <c r="H2318" s="39" t="n">
        <v>9</v>
      </c>
      <c r="I2318" s="36">
        <f>VLOOKUP(G2318,매칭테이블!D:E,2,0)</f>
        <v/>
      </c>
      <c r="J2318" s="39" t="n">
        <v>201210</v>
      </c>
      <c r="L2318" s="36">
        <f>VLOOKUP($P2318,매칭테이블!$G:$J,2,0)*H2318</f>
        <v/>
      </c>
      <c r="M2318" s="36">
        <f>L2318-L2318*VLOOKUP($P2318,매칭테이블!$G:$J,3,0)</f>
        <v/>
      </c>
      <c r="N2318" s="36">
        <f>VLOOKUP($P2318,매칭테이블!$G:$J,4,0)*H2318</f>
        <v/>
      </c>
      <c r="O2318" s="52">
        <f>L2318/1.1</f>
        <v/>
      </c>
      <c r="P2318" s="36">
        <f>F2318&amp;E2318&amp;G2318&amp;J2318</f>
        <v/>
      </c>
    </row>
    <row r="2319">
      <c r="B2319" s="51" t="n">
        <v>44181</v>
      </c>
      <c r="C2319" s="36">
        <f>TEXT(B2319,"aaa")</f>
        <v/>
      </c>
      <c r="E2319" s="36">
        <f>INDEX(매칭테이블!C:C,MATCH(RD!G2319,매칭테이블!D:D,0))</f>
        <v/>
      </c>
      <c r="F2319" s="39" t="inlineStr">
        <is>
          <t>카페24</t>
        </is>
      </c>
      <c r="G2319" s="39" t="inlineStr">
        <is>
          <t>스테이포에버 솔리드퍼퓸 002 (10차 재입고 완료)쇼핑백=선물용 쇼핑백</t>
        </is>
      </c>
      <c r="H2319" s="39" t="n">
        <v>5</v>
      </c>
      <c r="I2319" s="36">
        <f>VLOOKUP(G2319,매칭테이블!D:E,2,0)</f>
        <v/>
      </c>
      <c r="J2319" s="39" t="n">
        <v>201210</v>
      </c>
      <c r="L2319" s="36">
        <f>VLOOKUP($P2319,매칭테이블!$G:$J,2,0)*H2319</f>
        <v/>
      </c>
      <c r="M2319" s="36">
        <f>L2319-L2319*VLOOKUP($P2319,매칭테이블!$G:$J,3,0)</f>
        <v/>
      </c>
      <c r="N2319" s="36">
        <f>VLOOKUP($P2319,매칭테이블!$G:$J,4,0)*H2319</f>
        <v/>
      </c>
      <c r="O2319" s="52">
        <f>L2319/1.1</f>
        <v/>
      </c>
      <c r="P2319" s="36">
        <f>F2319&amp;E2319&amp;G2319&amp;J2319</f>
        <v/>
      </c>
    </row>
    <row r="2320">
      <c r="B2320" s="51" t="n">
        <v>44181</v>
      </c>
      <c r="C2320" s="36">
        <f>TEXT(B2320,"aaa")</f>
        <v/>
      </c>
      <c r="E2320" s="36">
        <f>INDEX(매칭테이블!C:C,MATCH(RD!G2320,매칭테이블!D:D,0))</f>
        <v/>
      </c>
      <c r="F2320" s="39" t="inlineStr">
        <is>
          <t>카페24</t>
        </is>
      </c>
      <c r="G2320" s="39" t="inlineStr">
        <is>
          <t>유즈 솔리드퍼퓸 - 30ml (10차 재입고 완료향=스테이포에버 002 SOLID PERFUME, 세트 선택=1개</t>
        </is>
      </c>
      <c r="H2320" s="39" t="n">
        <v>5</v>
      </c>
      <c r="I2320" s="36">
        <f>VLOOKUP(G2320,매칭테이블!D:E,2,0)</f>
        <v/>
      </c>
      <c r="J2320" s="39" t="n">
        <v>201210</v>
      </c>
      <c r="L2320" s="36">
        <f>VLOOKUP($P2320,매칭테이블!$G:$J,2,0)*H2320</f>
        <v/>
      </c>
      <c r="M2320" s="36">
        <f>L2320-L2320*VLOOKUP($P2320,매칭테이블!$G:$J,3,0)</f>
        <v/>
      </c>
      <c r="N2320" s="36">
        <f>VLOOKUP($P2320,매칭테이블!$G:$J,4,0)*H2320</f>
        <v/>
      </c>
      <c r="O2320" s="52">
        <f>L2320/1.1</f>
        <v/>
      </c>
      <c r="P2320" s="36">
        <f>F2320&amp;E2320&amp;G2320&amp;J2320</f>
        <v/>
      </c>
    </row>
    <row r="2321">
      <c r="B2321" s="51" t="n">
        <v>44181</v>
      </c>
      <c r="C2321" s="36">
        <f>TEXT(B2321,"aaa")</f>
        <v/>
      </c>
      <c r="E2321" s="36">
        <f>INDEX(매칭테이블!C:C,MATCH(RD!G2321,매칭테이블!D:D,0))</f>
        <v/>
      </c>
      <c r="F2321" s="39" t="inlineStr">
        <is>
          <t>카페24</t>
        </is>
      </c>
      <c r="G2321" s="39" t="inlineStr">
        <is>
          <t>유즈 솔리드퍼퓸 - 30ml (10차 재입고 완료향=스테이포에버 002 SOLID PERFUME, 세트 선택=best</t>
        </is>
      </c>
      <c r="H2321" s="39" t="n">
        <v>6</v>
      </c>
      <c r="I2321" s="36">
        <f>VLOOKUP(G2321,매칭테이블!D:E,2,0)</f>
        <v/>
      </c>
      <c r="J2321" s="39" t="n">
        <v>201210</v>
      </c>
      <c r="L2321" s="36">
        <f>VLOOKUP($P2321,매칭테이블!$G:$J,2,0)*H2321</f>
        <v/>
      </c>
      <c r="M2321" s="36">
        <f>L2321-L2321*VLOOKUP($P2321,매칭테이블!$G:$J,3,0)</f>
        <v/>
      </c>
      <c r="N2321" s="36">
        <f>VLOOKUP($P2321,매칭테이블!$G:$J,4,0)*H2321</f>
        <v/>
      </c>
      <c r="O2321" s="52">
        <f>L2321/1.1</f>
        <v/>
      </c>
      <c r="P2321" s="36">
        <f>F2321&amp;E2321&amp;G2321&amp;J2321</f>
        <v/>
      </c>
    </row>
    <row r="2322">
      <c r="B2322" s="51" t="n">
        <v>44181</v>
      </c>
      <c r="C2322" s="36">
        <f>TEXT(B2322,"aaa")</f>
        <v/>
      </c>
      <c r="E2322" s="36">
        <f>INDEX(매칭테이블!C:C,MATCH(RD!G2322,매칭테이블!D:D,0))</f>
        <v/>
      </c>
      <c r="F2322" s="39" t="inlineStr">
        <is>
          <t>카페24</t>
        </is>
      </c>
      <c r="G2322" s="39" t="inlineStr">
        <is>
          <t>유즈 솔리드퍼퓸 - 30ml (10차 재입고 완료향=커플세트</t>
        </is>
      </c>
      <c r="H2322" s="39" t="n">
        <v>7</v>
      </c>
      <c r="I2322" s="36">
        <f>VLOOKUP(G2322,매칭테이블!D:E,2,0)</f>
        <v/>
      </c>
      <c r="J2322" s="39" t="n">
        <v>201210</v>
      </c>
      <c r="L2322" s="36">
        <f>VLOOKUP($P2322,매칭테이블!$G:$J,2,0)*H2322</f>
        <v/>
      </c>
      <c r="M2322" s="36">
        <f>L2322-L2322*VLOOKUP($P2322,매칭테이블!$G:$J,3,0)</f>
        <v/>
      </c>
      <c r="N2322" s="36">
        <f>VLOOKUP($P2322,매칭테이블!$G:$J,4,0)*H2322</f>
        <v/>
      </c>
      <c r="O2322" s="52">
        <f>L2322/1.1</f>
        <v/>
      </c>
      <c r="P2322" s="36">
        <f>F2322&amp;E2322&amp;G2322&amp;J2322</f>
        <v/>
      </c>
    </row>
    <row r="2323">
      <c r="B2323" s="51" t="n">
        <v>44181</v>
      </c>
      <c r="C2323" s="36">
        <f>TEXT(B2323,"aaa")</f>
        <v/>
      </c>
      <c r="E2323" s="36">
        <f>INDEX(매칭테이블!C:C,MATCH(RD!G2323,매칭테이블!D:D,0))</f>
        <v/>
      </c>
      <c r="F2323" s="39" t="inlineStr">
        <is>
          <t>카페24</t>
        </is>
      </c>
      <c r="G2323" s="39" t="inlineStr">
        <is>
          <t>유즈 솔리드퍼퓸 - 30ml (10차 재입고 완료향=커플세트</t>
        </is>
      </c>
      <c r="H2323" s="39" t="n">
        <v>1</v>
      </c>
      <c r="I2323" s="36">
        <f>VLOOKUP(G2323,매칭테이블!D:E,2,0)</f>
        <v/>
      </c>
      <c r="J2323" s="39" t="n">
        <v>201210</v>
      </c>
      <c r="L2323" s="36">
        <f>VLOOKUP($P2323,매칭테이블!$G:$J,2,0)*H2323</f>
        <v/>
      </c>
      <c r="M2323" s="36">
        <f>L2323-L2323*VLOOKUP($P2323,매칭테이블!$G:$J,3,0)</f>
        <v/>
      </c>
      <c r="N2323" s="36">
        <f>VLOOKUP($P2323,매칭테이블!$G:$J,4,0)*H2323</f>
        <v/>
      </c>
      <c r="O2323" s="52">
        <f>L2323/1.1</f>
        <v/>
      </c>
      <c r="P2323" s="36">
        <f>F2323&amp;E2323&amp;G2323&amp;J2323</f>
        <v/>
      </c>
    </row>
    <row r="2324">
      <c r="B2324" s="51" t="n">
        <v>44181</v>
      </c>
      <c r="C2324" s="36">
        <f>TEXT(B2324,"aaa")</f>
        <v/>
      </c>
      <c r="E2324" s="36">
        <f>INDEX(매칭테이블!C:C,MATCH(RD!G2324,매칭테이블!D:D,0))</f>
        <v/>
      </c>
      <c r="F2324" s="39" t="inlineStr">
        <is>
          <t>카페24</t>
        </is>
      </c>
      <c r="G2324" s="39" t="inlineStr">
        <is>
          <t>유즈 솔리드퍼퓸 - 30ml (10차 재입고 완료 )향=이그나이트 001 SOLID PERFUME, 세트 선택=1개</t>
        </is>
      </c>
      <c r="H2324" s="39" t="n">
        <v>2</v>
      </c>
      <c r="I2324" s="36">
        <f>VLOOKUP(G2324,매칭테이블!D:E,2,0)</f>
        <v/>
      </c>
      <c r="J2324" s="39" t="n">
        <v>201210</v>
      </c>
      <c r="L2324" s="36">
        <f>VLOOKUP($P2324,매칭테이블!$G:$J,2,0)*H2324</f>
        <v/>
      </c>
      <c r="M2324" s="36">
        <f>L2324-L2324*VLOOKUP($P2324,매칭테이블!$G:$J,3,0)</f>
        <v/>
      </c>
      <c r="N2324" s="36">
        <f>VLOOKUP($P2324,매칭테이블!$G:$J,4,0)*H2324</f>
        <v/>
      </c>
      <c r="O2324" s="52">
        <f>L2324/1.1</f>
        <v/>
      </c>
      <c r="P2324" s="36">
        <f>F2324&amp;E2324&amp;G2324&amp;J2324</f>
        <v/>
      </c>
    </row>
    <row r="2325">
      <c r="B2325" s="51" t="n">
        <v>44181</v>
      </c>
      <c r="C2325" s="36">
        <f>TEXT(B2325,"aaa")</f>
        <v/>
      </c>
      <c r="E2325" s="36">
        <f>INDEX(매칭테이블!C:C,MATCH(RD!G2325,매칭테이블!D:D,0))</f>
        <v/>
      </c>
      <c r="F2325" s="39" t="inlineStr">
        <is>
          <t>카페24</t>
        </is>
      </c>
      <c r="G2325" s="39" t="inlineStr">
        <is>
          <t>유즈 솔리드퍼퓸 - 30ml (10차 재입고 완료 )향=스테이포에버 002 SOLID PERFUME, 세트 선택=1개</t>
        </is>
      </c>
      <c r="H2325" s="39" t="n">
        <v>6</v>
      </c>
      <c r="I2325" s="36">
        <f>VLOOKUP(G2325,매칭테이블!D:E,2,0)</f>
        <v/>
      </c>
      <c r="J2325" s="39" t="n">
        <v>201210</v>
      </c>
      <c r="L2325" s="36">
        <f>VLOOKUP($P2325,매칭테이블!$G:$J,2,0)*H2325</f>
        <v/>
      </c>
      <c r="M2325" s="36">
        <f>L2325-L2325*VLOOKUP($P2325,매칭테이블!$G:$J,3,0)</f>
        <v/>
      </c>
      <c r="N2325" s="36">
        <f>VLOOKUP($P2325,매칭테이블!$G:$J,4,0)*H2325</f>
        <v/>
      </c>
      <c r="O2325" s="52">
        <f>L2325/1.1</f>
        <v/>
      </c>
      <c r="P2325" s="36">
        <f>F2325&amp;E2325&amp;G2325&amp;J2325</f>
        <v/>
      </c>
    </row>
    <row r="2326">
      <c r="B2326" s="51" t="n">
        <v>44181</v>
      </c>
      <c r="C2326" s="36">
        <f>TEXT(B2326,"aaa")</f>
        <v/>
      </c>
      <c r="E2326" s="36">
        <f>INDEX(매칭테이블!C:C,MATCH(RD!G2326,매칭테이블!D:D,0))</f>
        <v/>
      </c>
      <c r="F2326" s="39" t="inlineStr">
        <is>
          <t>카페24</t>
        </is>
      </c>
      <c r="G2326" s="39" t="inlineStr">
        <is>
          <t>유즈 솔리드퍼퓸 - 30ml (10차 재입고 완료 )향=스테이포에버 002 SOLID PERFUME, 세트 선택=best 2개 (28% 할인)</t>
        </is>
      </c>
      <c r="H2326" s="39" t="n">
        <v>1</v>
      </c>
      <c r="I2326" s="36">
        <f>VLOOKUP(G2326,매칭테이블!D:E,2,0)</f>
        <v/>
      </c>
      <c r="J2326" s="39" t="n">
        <v>201210</v>
      </c>
      <c r="L2326" s="36">
        <f>VLOOKUP($P2326,매칭테이블!$G:$J,2,0)*H2326</f>
        <v/>
      </c>
      <c r="M2326" s="36">
        <f>L2326-L2326*VLOOKUP($P2326,매칭테이블!$G:$J,3,0)</f>
        <v/>
      </c>
      <c r="N2326" s="36">
        <f>VLOOKUP($P2326,매칭테이블!$G:$J,4,0)*H2326</f>
        <v/>
      </c>
      <c r="O2326" s="52">
        <f>L2326/1.1</f>
        <v/>
      </c>
      <c r="P2326" s="36">
        <f>F2326&amp;E2326&amp;G2326&amp;J2326</f>
        <v/>
      </c>
    </row>
    <row r="2327">
      <c r="B2327" s="51" t="n">
        <v>44181</v>
      </c>
      <c r="C2327" s="36">
        <f>TEXT(B2327,"aaa")</f>
        <v/>
      </c>
      <c r="E2327" s="36">
        <f>INDEX(매칭테이블!C:C,MATCH(RD!G2327,매칭테이블!D:D,0))</f>
        <v/>
      </c>
      <c r="F2327" s="39" t="inlineStr">
        <is>
          <t>카페24</t>
        </is>
      </c>
      <c r="G2327" s="39" t="inlineStr">
        <is>
          <t>유즈 솔리드퍼퓸 - 30ml (10차 재입고 완료 )향=커플세트(이그나이트 + 스테이포에버), 세트 선택=1 SET</t>
        </is>
      </c>
      <c r="H2327" s="39" t="n">
        <v>3</v>
      </c>
      <c r="I2327" s="36">
        <f>VLOOKUP(G2327,매칭테이블!D:E,2,0)</f>
        <v/>
      </c>
      <c r="J2327" s="39" t="n">
        <v>201210</v>
      </c>
      <c r="L2327" s="36">
        <f>VLOOKUP($P2327,매칭테이블!$G:$J,2,0)*H2327</f>
        <v/>
      </c>
      <c r="M2327" s="36">
        <f>L2327-L2327*VLOOKUP($P2327,매칭테이블!$G:$J,3,0)</f>
        <v/>
      </c>
      <c r="N2327" s="36">
        <f>VLOOKUP($P2327,매칭테이블!$G:$J,4,0)*H2327</f>
        <v/>
      </c>
      <c r="O2327" s="52">
        <f>L2327/1.1</f>
        <v/>
      </c>
      <c r="P2327" s="36">
        <f>F2327&amp;E2327&amp;G2327&amp;J2327</f>
        <v/>
      </c>
    </row>
    <row r="2328">
      <c r="B2328" s="51" t="n">
        <v>44181</v>
      </c>
      <c r="C2328" s="36">
        <f>TEXT(B2328,"aaa")</f>
        <v/>
      </c>
      <c r="E2328" s="36">
        <f>INDEX(매칭테이블!C:C,MATCH(RD!G2328,매칭테이블!D:D,0))</f>
        <v/>
      </c>
      <c r="F2328" s="39" t="inlineStr">
        <is>
          <t>카페24</t>
        </is>
      </c>
      <c r="G2328" s="39" t="inlineStr">
        <is>
          <t>유즈 스테이포에버 솔리드퍼퓸 002 (스테이포에버 주문시 12/15 순차배송)제품선택=스테이포에버 1개</t>
        </is>
      </c>
      <c r="H2328" s="39" t="n">
        <v>3</v>
      </c>
      <c r="I2328" s="36">
        <f>VLOOKUP(G2328,매칭테이블!D:E,2,0)</f>
        <v/>
      </c>
      <c r="J2328" s="39" t="n">
        <v>201210</v>
      </c>
      <c r="L2328" s="36">
        <f>VLOOKUP($P2328,매칭테이블!$G:$J,2,0)*H2328</f>
        <v/>
      </c>
      <c r="M2328" s="36">
        <f>L2328-L2328*VLOOKUP($P2328,매칭테이블!$G:$J,3,0)</f>
        <v/>
      </c>
      <c r="N2328" s="36">
        <f>VLOOKUP($P2328,매칭테이블!$G:$J,4,0)*H2328</f>
        <v/>
      </c>
      <c r="O2328" s="52">
        <f>L2328/1.1</f>
        <v/>
      </c>
      <c r="P2328" s="36">
        <f>F2328&amp;E2328&amp;G2328&amp;J2328</f>
        <v/>
      </c>
    </row>
    <row r="2329">
      <c r="B2329" s="51" t="n">
        <v>44181</v>
      </c>
      <c r="C2329" s="36">
        <f>TEXT(B2329,"aaa")</f>
        <v/>
      </c>
      <c r="E2329" s="36">
        <f>INDEX(매칭테이블!C:C,MATCH(RD!G2329,매칭테이블!D:D,0))</f>
        <v/>
      </c>
      <c r="F2329" s="39" t="inlineStr">
        <is>
          <t>카페24</t>
        </is>
      </c>
      <c r="G2329" s="39" t="inlineStr">
        <is>
          <t>유즈 스테이포에버 솔리드퍼퓸 002 (스테이포에버 주문시 12/15 순차배송)제품선택=best</t>
        </is>
      </c>
      <c r="H2329" s="39" t="n">
        <v>1</v>
      </c>
      <c r="I2329" s="36">
        <f>VLOOKUP(G2329,매칭테이블!D:E,2,0)</f>
        <v/>
      </c>
      <c r="J2329" s="39" t="n">
        <v>201210</v>
      </c>
      <c r="L2329" s="36">
        <f>VLOOKUP($P2329,매칭테이블!$G:$J,2,0)*H2329</f>
        <v/>
      </c>
      <c r="M2329" s="36">
        <f>L2329-L2329*VLOOKUP($P2329,매칭테이블!$G:$J,3,0)</f>
        <v/>
      </c>
      <c r="N2329" s="36">
        <f>VLOOKUP($P2329,매칭테이블!$G:$J,4,0)*H2329</f>
        <v/>
      </c>
      <c r="O2329" s="52">
        <f>L2329/1.1</f>
        <v/>
      </c>
      <c r="P2329" s="36">
        <f>F2329&amp;E2329&amp;G2329&amp;J2329</f>
        <v/>
      </c>
    </row>
    <row r="2330">
      <c r="B2330" s="51" t="n">
        <v>44181</v>
      </c>
      <c r="C2330" s="36">
        <f>TEXT(B2330,"aaa")</f>
        <v/>
      </c>
      <c r="E2330" s="36">
        <f>INDEX(매칭테이블!C:C,MATCH(RD!G2330,매칭테이블!D:D,0))</f>
        <v/>
      </c>
      <c r="F2330" s="39" t="inlineStr">
        <is>
          <t>카페24</t>
        </is>
      </c>
      <c r="G2330" s="39" t="inlineStr">
        <is>
          <t>유즈 이그나이트 솔리드퍼퓸 001제품선택=이그나이트 솔리드퍼퓸 - 30ml</t>
        </is>
      </c>
      <c r="H2330" s="39" t="n">
        <v>1</v>
      </c>
      <c r="I2330" s="36">
        <f>VLOOKUP(G2330,매칭테이블!D:E,2,0)</f>
        <v/>
      </c>
      <c r="J2330" s="39" t="n">
        <v>201210</v>
      </c>
      <c r="L2330" s="36">
        <f>VLOOKUP($P2330,매칭테이블!$G:$J,2,0)*H2330</f>
        <v/>
      </c>
      <c r="M2330" s="36">
        <f>L2330-L2330*VLOOKUP($P2330,매칭테이블!$G:$J,3,0)</f>
        <v/>
      </c>
      <c r="N2330" s="36">
        <f>VLOOKUP($P2330,매칭테이블!$G:$J,4,0)*H2330</f>
        <v/>
      </c>
      <c r="O2330" s="52">
        <f>L2330/1.1</f>
        <v/>
      </c>
      <c r="P2330" s="36">
        <f>F2330&amp;E2330&amp;G2330&amp;J2330</f>
        <v/>
      </c>
    </row>
    <row r="2331">
      <c r="B2331" s="51" t="n">
        <v>44181</v>
      </c>
      <c r="C2331" s="36">
        <f>TEXT(B2331,"aaa")</f>
        <v/>
      </c>
      <c r="E2331" s="36">
        <f>INDEX(매칭테이블!C:C,MATCH(RD!G2331,매칭테이블!D:D,0))</f>
        <v/>
      </c>
      <c r="F2331" s="39" t="inlineStr">
        <is>
          <t>카페24</t>
        </is>
      </c>
      <c r="G2331" s="39" t="inlineStr">
        <is>
          <t>유즈 이그나이트 솔리드퍼퓸 001제품선택=이그나이트 2개 세트</t>
        </is>
      </c>
      <c r="H2331" s="39" t="n">
        <v>1</v>
      </c>
      <c r="I2331" s="36">
        <f>VLOOKUP(G2331,매칭테이블!D:E,2,0)</f>
        <v/>
      </c>
      <c r="J2331" s="39" t="n">
        <v>201210</v>
      </c>
      <c r="L2331" s="36">
        <f>VLOOKUP($P2331,매칭테이블!$G:$J,2,0)*H2331</f>
        <v/>
      </c>
      <c r="M2331" s="36">
        <f>L2331-L2331*VLOOKUP($P2331,매칭테이블!$G:$J,3,0)</f>
        <v/>
      </c>
      <c r="N2331" s="36">
        <f>VLOOKUP($P2331,매칭테이블!$G:$J,4,0)*H2331</f>
        <v/>
      </c>
      <c r="O2331" s="52">
        <f>L2331/1.1</f>
        <v/>
      </c>
      <c r="P2331" s="36">
        <f>F2331&amp;E2331&amp;G2331&amp;J2331</f>
        <v/>
      </c>
    </row>
    <row r="2332">
      <c r="B2332" s="51" t="n">
        <v>44182</v>
      </c>
      <c r="C2332" s="36">
        <f>TEXT(B2332,"aaa")</f>
        <v/>
      </c>
      <c r="E2332" s="36">
        <f>INDEX(매칭테이블!C:C,MATCH(RD!G2332,매칭테이블!D:D,0))</f>
        <v/>
      </c>
      <c r="F2332" s="39" t="inlineStr">
        <is>
          <t>유즈 CS</t>
        </is>
      </c>
      <c r="G2332" s="39" t="inlineStr">
        <is>
          <t>솔리드퍼퓸 스테이포에버 002 30ml</t>
        </is>
      </c>
      <c r="H2332" s="39" t="n">
        <v>8</v>
      </c>
      <c r="I2332" s="36">
        <f>VLOOKUP(G2332,매칭테이블!D:E,2,0)</f>
        <v/>
      </c>
      <c r="J2332" s="39" t="n">
        <v>201210</v>
      </c>
      <c r="L2332" s="36">
        <f>VLOOKUP($P2332,매칭테이블!$G:$J,2,0)*H2332</f>
        <v/>
      </c>
      <c r="M2332" s="36">
        <f>L2332-L2332*VLOOKUP($P2332,매칭테이블!$G:$J,3,0)</f>
        <v/>
      </c>
      <c r="N2332" s="36">
        <f>VLOOKUP($P2332,매칭테이블!$G:$J,4,0)*H2332</f>
        <v/>
      </c>
      <c r="O2332" s="52">
        <f>L2332/1.1</f>
        <v/>
      </c>
      <c r="P2332" s="36">
        <f>F2332&amp;E2332&amp;G2332&amp;J2332</f>
        <v/>
      </c>
    </row>
    <row r="2333">
      <c r="B2333" s="51" t="n">
        <v>44182</v>
      </c>
      <c r="C2333" s="36">
        <f>TEXT(B2333,"aaa")</f>
        <v/>
      </c>
      <c r="E2333" s="36">
        <f>INDEX(매칭테이블!C:C,MATCH(RD!G2333,매칭테이블!D:D,0))</f>
        <v/>
      </c>
      <c r="F2333" s="39" t="inlineStr">
        <is>
          <t>유즈 CS</t>
        </is>
      </c>
      <c r="G2333" s="39" t="inlineStr">
        <is>
          <t>유즈 솔리드퍼퓸 - 30ml (10차 재입고 완료향=커플세트</t>
        </is>
      </c>
      <c r="H2333" s="39" t="n">
        <v>1</v>
      </c>
      <c r="I2333" s="36">
        <f>VLOOKUP(G2333,매칭테이블!D:E,2,0)</f>
        <v/>
      </c>
      <c r="J2333" s="39" t="n">
        <v>201210</v>
      </c>
      <c r="L2333" s="36">
        <f>VLOOKUP($P2333,매칭테이블!$G:$J,2,0)*H2333</f>
        <v/>
      </c>
      <c r="M2333" s="36">
        <f>L2333-L2333*VLOOKUP($P2333,매칭테이블!$G:$J,3,0)</f>
        <v/>
      </c>
      <c r="N2333" s="36">
        <f>VLOOKUP($P2333,매칭테이블!$G:$J,4,0)*H2333</f>
        <v/>
      </c>
      <c r="O2333" s="52">
        <f>L2333/1.1</f>
        <v/>
      </c>
      <c r="P2333" s="36">
        <f>F2333&amp;E2333&amp;G2333&amp;J2333</f>
        <v/>
      </c>
    </row>
    <row r="2334">
      <c r="B2334" s="51" t="n">
        <v>44182</v>
      </c>
      <c r="C2334" s="36">
        <f>TEXT(B2334,"aaa")</f>
        <v/>
      </c>
      <c r="E2334" s="36">
        <f>INDEX(매칭테이블!C:C,MATCH(RD!G2334,매칭테이블!D:D,0))</f>
        <v/>
      </c>
      <c r="F2334" s="39" t="inlineStr">
        <is>
          <t>카페24</t>
        </is>
      </c>
      <c r="G2334" s="39" t="inlineStr">
        <is>
          <t>유즈 솔리드퍼퓸 - 30ml (10차 재입고 완료향=이그나이트 001 SOLID PERFUME, 세트 선택=best</t>
        </is>
      </c>
      <c r="H2334" s="39" t="n">
        <v>1</v>
      </c>
      <c r="I2334" s="36">
        <f>VLOOKUP(G2334,매칭테이블!D:E,2,0)</f>
        <v/>
      </c>
      <c r="J2334" s="39" t="n">
        <v>201210</v>
      </c>
      <c r="L2334" s="36">
        <f>VLOOKUP($P2334,매칭테이블!$G:$J,2,0)*H2334</f>
        <v/>
      </c>
      <c r="M2334" s="36">
        <f>L2334-L2334*VLOOKUP($P2334,매칭테이블!$G:$J,3,0)</f>
        <v/>
      </c>
      <c r="N2334" s="36">
        <f>VLOOKUP($P2334,매칭테이블!$G:$J,4,0)*H2334</f>
        <v/>
      </c>
      <c r="O2334" s="52">
        <f>L2334/1.1</f>
        <v/>
      </c>
      <c r="P2334" s="36">
        <f>F2334&amp;E2334&amp;G2334&amp;J2334</f>
        <v/>
      </c>
    </row>
    <row r="2335">
      <c r="B2335" s="51" t="n">
        <v>44182</v>
      </c>
      <c r="C2335" s="36">
        <f>TEXT(B2335,"aaa")</f>
        <v/>
      </c>
      <c r="E2335" s="36">
        <f>INDEX(매칭테이블!C:C,MATCH(RD!G2335,매칭테이블!D:D,0))</f>
        <v/>
      </c>
      <c r="F2335" s="39" t="inlineStr">
        <is>
          <t>카페24</t>
        </is>
      </c>
      <c r="G2335" s="39" t="inlineStr">
        <is>
          <t>스테이포에버 솔리드퍼퓸 002 (10차 재입고 완료제품선택=스테이포에버 1개</t>
        </is>
      </c>
      <c r="H2335" s="39" t="n">
        <v>101</v>
      </c>
      <c r="I2335" s="36">
        <f>VLOOKUP(G2335,매칭테이블!D:E,2,0)</f>
        <v/>
      </c>
      <c r="J2335" s="39" t="n">
        <v>201210</v>
      </c>
      <c r="L2335" s="36">
        <f>VLOOKUP($P2335,매칭테이블!$G:$J,2,0)*H2335</f>
        <v/>
      </c>
      <c r="M2335" s="36">
        <f>L2335-L2335*VLOOKUP($P2335,매칭테이블!$G:$J,3,0)</f>
        <v/>
      </c>
      <c r="N2335" s="36">
        <f>VLOOKUP($P2335,매칭테이블!$G:$J,4,0)*H2335</f>
        <v/>
      </c>
      <c r="O2335" s="52">
        <f>L2335/1.1</f>
        <v/>
      </c>
      <c r="P2335" s="36">
        <f>F2335&amp;E2335&amp;G2335&amp;J2335</f>
        <v/>
      </c>
    </row>
    <row r="2336">
      <c r="B2336" s="51" t="n">
        <v>44182</v>
      </c>
      <c r="C2336" s="36">
        <f>TEXT(B2336,"aaa")</f>
        <v/>
      </c>
      <c r="E2336" s="36">
        <f>INDEX(매칭테이블!C:C,MATCH(RD!G2336,매칭테이블!D:D,0))</f>
        <v/>
      </c>
      <c r="F2336" s="39" t="inlineStr">
        <is>
          <t>카페24</t>
        </is>
      </c>
      <c r="G2336" s="39" t="inlineStr">
        <is>
          <t>스테이포에버 솔리드퍼퓸 002 (10차 재입고 완료제품선택=best</t>
        </is>
      </c>
      <c r="H2336" s="39" t="n">
        <v>53</v>
      </c>
      <c r="I2336" s="36">
        <f>VLOOKUP(G2336,매칭테이블!D:E,2,0)</f>
        <v/>
      </c>
      <c r="J2336" s="39" t="n">
        <v>201210</v>
      </c>
      <c r="L2336" s="36">
        <f>VLOOKUP($P2336,매칭테이블!$G:$J,2,0)*H2336</f>
        <v/>
      </c>
      <c r="M2336" s="36">
        <f>L2336-L2336*VLOOKUP($P2336,매칭테이블!$G:$J,3,0)</f>
        <v/>
      </c>
      <c r="N2336" s="36">
        <f>VLOOKUP($P2336,매칭테이블!$G:$J,4,0)*H2336</f>
        <v/>
      </c>
      <c r="O2336" s="52">
        <f>L2336/1.1</f>
        <v/>
      </c>
      <c r="P2336" s="36">
        <f>F2336&amp;E2336&amp;G2336&amp;J2336</f>
        <v/>
      </c>
    </row>
    <row r="2337">
      <c r="B2337" s="51" t="n">
        <v>44182</v>
      </c>
      <c r="C2337" s="36">
        <f>TEXT(B2337,"aaa")</f>
        <v/>
      </c>
      <c r="E2337" s="36">
        <f>INDEX(매칭테이블!C:C,MATCH(RD!G2337,매칭테이블!D:D,0))</f>
        <v/>
      </c>
      <c r="F2337" s="39" t="inlineStr">
        <is>
          <t>카페24</t>
        </is>
      </c>
      <c r="G2337" s="39" t="inlineStr">
        <is>
          <t>스테이포에버 솔리드퍼퓸 002 (10차 재입고 완료제품선택=커플추천</t>
        </is>
      </c>
      <c r="H2337" s="39" t="n">
        <v>6</v>
      </c>
      <c r="I2337" s="36">
        <f>VLOOKUP(G2337,매칭테이블!D:E,2,0)</f>
        <v/>
      </c>
      <c r="J2337" s="39" t="n">
        <v>201210</v>
      </c>
      <c r="L2337" s="36">
        <f>VLOOKUP($P2337,매칭테이블!$G:$J,2,0)*H2337</f>
        <v/>
      </c>
      <c r="M2337" s="36">
        <f>L2337-L2337*VLOOKUP($P2337,매칭테이블!$G:$J,3,0)</f>
        <v/>
      </c>
      <c r="N2337" s="36">
        <f>VLOOKUP($P2337,매칭테이블!$G:$J,4,0)*H2337</f>
        <v/>
      </c>
      <c r="O2337" s="52">
        <f>L2337/1.1</f>
        <v/>
      </c>
      <c r="P2337" s="36">
        <f>F2337&amp;E2337&amp;G2337&amp;J2337</f>
        <v/>
      </c>
    </row>
    <row r="2338">
      <c r="B2338" s="51" t="n">
        <v>44182</v>
      </c>
      <c r="C2338" s="36">
        <f>TEXT(B2338,"aaa")</f>
        <v/>
      </c>
      <c r="E2338" s="36">
        <f>INDEX(매칭테이블!C:C,MATCH(RD!G2338,매칭테이블!D:D,0))</f>
        <v/>
      </c>
      <c r="F2338" s="39" t="inlineStr">
        <is>
          <t>카페24</t>
        </is>
      </c>
      <c r="G2338" s="39" t="inlineStr">
        <is>
          <t>스테이포에버 솔리드퍼퓸 002 (10차 재입고 완료쇼핑백=선물용 쇼핑백</t>
        </is>
      </c>
      <c r="H2338" s="39" t="n">
        <v>4</v>
      </c>
      <c r="I2338" s="36">
        <f>VLOOKUP(G2338,매칭테이블!D:E,2,0)</f>
        <v/>
      </c>
      <c r="J2338" s="39" t="n">
        <v>201210</v>
      </c>
      <c r="L2338" s="36">
        <f>VLOOKUP($P2338,매칭테이블!$G:$J,2,0)*H2338</f>
        <v/>
      </c>
      <c r="M2338" s="36">
        <f>L2338-L2338*VLOOKUP($P2338,매칭테이블!$G:$J,3,0)</f>
        <v/>
      </c>
      <c r="N2338" s="36">
        <f>VLOOKUP($P2338,매칭테이블!$G:$J,4,0)*H2338</f>
        <v/>
      </c>
      <c r="O2338" s="52">
        <f>L2338/1.1</f>
        <v/>
      </c>
      <c r="P2338" s="36">
        <f>F2338&amp;E2338&amp;G2338&amp;J2338</f>
        <v/>
      </c>
    </row>
    <row r="2339">
      <c r="B2339" s="51" t="n">
        <v>44182</v>
      </c>
      <c r="C2339" s="36">
        <f>TEXT(B2339,"aaa")</f>
        <v/>
      </c>
      <c r="E2339" s="36">
        <f>INDEX(매칭테이블!C:C,MATCH(RD!G2339,매칭테이블!D:D,0))</f>
        <v/>
      </c>
      <c r="F2339" s="39" t="inlineStr">
        <is>
          <t>카페24</t>
        </is>
      </c>
      <c r="G2339" s="39" t="inlineStr">
        <is>
          <t>스테이포에버 솔리드퍼퓸 002 (10차 재입고 완료)제품선택=스테이포에버 1개</t>
        </is>
      </c>
      <c r="H2339" s="39" t="n">
        <v>169</v>
      </c>
      <c r="I2339" s="36">
        <f>VLOOKUP(G2339,매칭테이블!D:E,2,0)</f>
        <v/>
      </c>
      <c r="J2339" s="39" t="n">
        <v>201210</v>
      </c>
      <c r="L2339" s="36">
        <f>VLOOKUP($P2339,매칭테이블!$G:$J,2,0)*H2339</f>
        <v/>
      </c>
      <c r="M2339" s="36">
        <f>L2339-L2339*VLOOKUP($P2339,매칭테이블!$G:$J,3,0)</f>
        <v/>
      </c>
      <c r="N2339" s="36">
        <f>VLOOKUP($P2339,매칭테이블!$G:$J,4,0)*H2339</f>
        <v/>
      </c>
      <c r="O2339" s="52">
        <f>L2339/1.1</f>
        <v/>
      </c>
      <c r="P2339" s="36">
        <f>F2339&amp;E2339&amp;G2339&amp;J2339</f>
        <v/>
      </c>
    </row>
    <row r="2340">
      <c r="B2340" s="51" t="n">
        <v>44182</v>
      </c>
      <c r="C2340" s="36">
        <f>TEXT(B2340,"aaa")</f>
        <v/>
      </c>
      <c r="E2340" s="36">
        <f>INDEX(매칭테이블!C:C,MATCH(RD!G2340,매칭테이블!D:D,0))</f>
        <v/>
      </c>
      <c r="F2340" s="39" t="inlineStr">
        <is>
          <t>카페24</t>
        </is>
      </c>
      <c r="G2340" s="39" t="inlineStr">
        <is>
          <t>스테이포에버 솔리드퍼퓸 002 (10차 재입고 완료)제품선택=best스테이포에버 2개[28% 할인]</t>
        </is>
      </c>
      <c r="H2340" s="39" t="n">
        <v>67</v>
      </c>
      <c r="I2340" s="36">
        <f>VLOOKUP(G2340,매칭테이블!D:E,2,0)</f>
        <v/>
      </c>
      <c r="J2340" s="39" t="n">
        <v>201210</v>
      </c>
      <c r="L2340" s="36">
        <f>VLOOKUP($P2340,매칭테이블!$G:$J,2,0)*H2340</f>
        <v/>
      </c>
      <c r="M2340" s="36">
        <f>L2340-L2340*VLOOKUP($P2340,매칭테이블!$G:$J,3,0)</f>
        <v/>
      </c>
      <c r="N2340" s="36">
        <f>VLOOKUP($P2340,매칭테이블!$G:$J,4,0)*H2340</f>
        <v/>
      </c>
      <c r="O2340" s="52">
        <f>L2340/1.1</f>
        <v/>
      </c>
      <c r="P2340" s="36">
        <f>F2340&amp;E2340&amp;G2340&amp;J2340</f>
        <v/>
      </c>
    </row>
    <row r="2341">
      <c r="B2341" s="51" t="n">
        <v>44182</v>
      </c>
      <c r="C2341" s="36">
        <f>TEXT(B2341,"aaa")</f>
        <v/>
      </c>
      <c r="E2341" s="36">
        <f>INDEX(매칭테이블!C:C,MATCH(RD!G2341,매칭테이블!D:D,0))</f>
        <v/>
      </c>
      <c r="F2341" s="39" t="inlineStr">
        <is>
          <t>카페24</t>
        </is>
      </c>
      <c r="G2341" s="39" t="inlineStr">
        <is>
          <t>스테이포에버 솔리드퍼퓸 002 (10차 재입고 완료)제품선택=커플추천스테이포에버 + 이그나이트 세트</t>
        </is>
      </c>
      <c r="H2341" s="39" t="n">
        <v>12</v>
      </c>
      <c r="I2341" s="36">
        <f>VLOOKUP(G2341,매칭테이블!D:E,2,0)</f>
        <v/>
      </c>
      <c r="J2341" s="39" t="n">
        <v>201210</v>
      </c>
      <c r="L2341" s="36">
        <f>VLOOKUP($P2341,매칭테이블!$G:$J,2,0)*H2341</f>
        <v/>
      </c>
      <c r="M2341" s="36">
        <f>L2341-L2341*VLOOKUP($P2341,매칭테이블!$G:$J,3,0)</f>
        <v/>
      </c>
      <c r="N2341" s="36">
        <f>VLOOKUP($P2341,매칭테이블!$G:$J,4,0)*H2341</f>
        <v/>
      </c>
      <c r="O2341" s="52">
        <f>L2341/1.1</f>
        <v/>
      </c>
      <c r="P2341" s="36">
        <f>F2341&amp;E2341&amp;G2341&amp;J2341</f>
        <v/>
      </c>
    </row>
    <row r="2342">
      <c r="B2342" s="51" t="n">
        <v>44182</v>
      </c>
      <c r="C2342" s="36">
        <f>TEXT(B2342,"aaa")</f>
        <v/>
      </c>
      <c r="E2342" s="36">
        <f>INDEX(매칭테이블!C:C,MATCH(RD!G2342,매칭테이블!D:D,0))</f>
        <v/>
      </c>
      <c r="F2342" s="39" t="inlineStr">
        <is>
          <t>카페24</t>
        </is>
      </c>
      <c r="G2342" s="39" t="inlineStr">
        <is>
          <t>스테이포에버 솔리드퍼퓸 002 (10차 재입고 완료)쇼핑백=선물용 쇼핑백</t>
        </is>
      </c>
      <c r="H2342" s="39" t="n">
        <v>7</v>
      </c>
      <c r="I2342" s="36">
        <f>VLOOKUP(G2342,매칭테이블!D:E,2,0)</f>
        <v/>
      </c>
      <c r="J2342" s="39" t="n">
        <v>201210</v>
      </c>
      <c r="L2342" s="36">
        <f>VLOOKUP($P2342,매칭테이블!$G:$J,2,0)*H2342</f>
        <v/>
      </c>
      <c r="M2342" s="36">
        <f>L2342-L2342*VLOOKUP($P2342,매칭테이블!$G:$J,3,0)</f>
        <v/>
      </c>
      <c r="N2342" s="36">
        <f>VLOOKUP($P2342,매칭테이블!$G:$J,4,0)*H2342</f>
        <v/>
      </c>
      <c r="O2342" s="52">
        <f>L2342/1.1</f>
        <v/>
      </c>
      <c r="P2342" s="36">
        <f>F2342&amp;E2342&amp;G2342&amp;J2342</f>
        <v/>
      </c>
    </row>
    <row r="2343">
      <c r="B2343" s="51" t="n">
        <v>44182</v>
      </c>
      <c r="C2343" s="36">
        <f>TEXT(B2343,"aaa")</f>
        <v/>
      </c>
      <c r="E2343" s="36">
        <f>INDEX(매칭테이블!C:C,MATCH(RD!G2343,매칭테이블!D:D,0))</f>
        <v/>
      </c>
      <c r="F2343" s="39" t="inlineStr">
        <is>
          <t>카페24</t>
        </is>
      </c>
      <c r="G2343" s="39" t="inlineStr">
        <is>
          <t>유즈 솔리드퍼퓸 - 30ml (10차 재입고 완료향=스테이포에버 002 SOLID PERFUME, 세트 선택=1개</t>
        </is>
      </c>
      <c r="H2343" s="39" t="n">
        <v>5</v>
      </c>
      <c r="I2343" s="36">
        <f>VLOOKUP(G2343,매칭테이블!D:E,2,0)</f>
        <v/>
      </c>
      <c r="J2343" s="39" t="n">
        <v>201210</v>
      </c>
      <c r="L2343" s="36">
        <f>VLOOKUP($P2343,매칭테이블!$G:$J,2,0)*H2343</f>
        <v/>
      </c>
      <c r="M2343" s="36">
        <f>L2343-L2343*VLOOKUP($P2343,매칭테이블!$G:$J,3,0)</f>
        <v/>
      </c>
      <c r="N2343" s="36">
        <f>VLOOKUP($P2343,매칭테이블!$G:$J,4,0)*H2343</f>
        <v/>
      </c>
      <c r="O2343" s="52">
        <f>L2343/1.1</f>
        <v/>
      </c>
      <c r="P2343" s="36">
        <f>F2343&amp;E2343&amp;G2343&amp;J2343</f>
        <v/>
      </c>
    </row>
    <row r="2344">
      <c r="B2344" s="51" t="n">
        <v>44182</v>
      </c>
      <c r="C2344" s="36">
        <f>TEXT(B2344,"aaa")</f>
        <v/>
      </c>
      <c r="E2344" s="36">
        <f>INDEX(매칭테이블!C:C,MATCH(RD!G2344,매칭테이블!D:D,0))</f>
        <v/>
      </c>
      <c r="F2344" s="39" t="inlineStr">
        <is>
          <t>카페24</t>
        </is>
      </c>
      <c r="G2344" s="39" t="inlineStr">
        <is>
          <t>유즈 솔리드퍼퓸 - 30ml (10차 재입고 완료향=스테이포에버 002 SOLID PERFUME, 세트 선택=best</t>
        </is>
      </c>
      <c r="H2344" s="39" t="n">
        <v>3</v>
      </c>
      <c r="I2344" s="36">
        <f>VLOOKUP(G2344,매칭테이블!D:E,2,0)</f>
        <v/>
      </c>
      <c r="J2344" s="39" t="n">
        <v>201210</v>
      </c>
      <c r="L2344" s="36">
        <f>VLOOKUP($P2344,매칭테이블!$G:$J,2,0)*H2344</f>
        <v/>
      </c>
      <c r="M2344" s="36">
        <f>L2344-L2344*VLOOKUP($P2344,매칭테이블!$G:$J,3,0)</f>
        <v/>
      </c>
      <c r="N2344" s="36">
        <f>VLOOKUP($P2344,매칭테이블!$G:$J,4,0)*H2344</f>
        <v/>
      </c>
      <c r="O2344" s="52">
        <f>L2344/1.1</f>
        <v/>
      </c>
      <c r="P2344" s="36">
        <f>F2344&amp;E2344&amp;G2344&amp;J2344</f>
        <v/>
      </c>
    </row>
    <row r="2345">
      <c r="B2345" s="51" t="n">
        <v>44182</v>
      </c>
      <c r="C2345" s="36">
        <f>TEXT(B2345,"aaa")</f>
        <v/>
      </c>
      <c r="E2345" s="36">
        <f>INDEX(매칭테이블!C:C,MATCH(RD!G2345,매칭테이블!D:D,0))</f>
        <v/>
      </c>
      <c r="F2345" s="39" t="inlineStr">
        <is>
          <t>카페24</t>
        </is>
      </c>
      <c r="G2345" s="39" t="inlineStr">
        <is>
          <t>유즈 솔리드퍼퓸 - 30ml (10차 재입고 완료향=커플세트</t>
        </is>
      </c>
      <c r="H2345" s="39" t="n">
        <v>8</v>
      </c>
      <c r="I2345" s="36">
        <f>VLOOKUP(G2345,매칭테이블!D:E,2,0)</f>
        <v/>
      </c>
      <c r="J2345" s="39" t="n">
        <v>201210</v>
      </c>
      <c r="L2345" s="36">
        <f>VLOOKUP($P2345,매칭테이블!$G:$J,2,0)*H2345</f>
        <v/>
      </c>
      <c r="M2345" s="36">
        <f>L2345-L2345*VLOOKUP($P2345,매칭테이블!$G:$J,3,0)</f>
        <v/>
      </c>
      <c r="N2345" s="36">
        <f>VLOOKUP($P2345,매칭테이블!$G:$J,4,0)*H2345</f>
        <v/>
      </c>
      <c r="O2345" s="52">
        <f>L2345/1.1</f>
        <v/>
      </c>
      <c r="P2345" s="36">
        <f>F2345&amp;E2345&amp;G2345&amp;J2345</f>
        <v/>
      </c>
    </row>
    <row r="2346">
      <c r="B2346" s="51" t="n">
        <v>44182</v>
      </c>
      <c r="C2346" s="36">
        <f>TEXT(B2346,"aaa")</f>
        <v/>
      </c>
      <c r="E2346" s="36">
        <f>INDEX(매칭테이블!C:C,MATCH(RD!G2346,매칭테이블!D:D,0))</f>
        <v/>
      </c>
      <c r="F2346" s="39" t="inlineStr">
        <is>
          <t>카페24</t>
        </is>
      </c>
      <c r="G2346" s="39" t="inlineStr">
        <is>
          <t>유즈 솔리드퍼퓸 - 30ml (10차 재입고 완료향=커플세트</t>
        </is>
      </c>
      <c r="H2346" s="39" t="n">
        <v>1</v>
      </c>
      <c r="I2346" s="36">
        <f>VLOOKUP(G2346,매칭테이블!D:E,2,0)</f>
        <v/>
      </c>
      <c r="J2346" s="39" t="n">
        <v>201210</v>
      </c>
      <c r="L2346" s="36">
        <f>VLOOKUP($P2346,매칭테이블!$G:$J,2,0)*H2346</f>
        <v/>
      </c>
      <c r="M2346" s="36">
        <f>L2346-L2346*VLOOKUP($P2346,매칭테이블!$G:$J,3,0)</f>
        <v/>
      </c>
      <c r="N2346" s="36">
        <f>VLOOKUP($P2346,매칭테이블!$G:$J,4,0)*H2346</f>
        <v/>
      </c>
      <c r="O2346" s="52">
        <f>L2346/1.1</f>
        <v/>
      </c>
      <c r="P2346" s="36">
        <f>F2346&amp;E2346&amp;G2346&amp;J2346</f>
        <v/>
      </c>
    </row>
    <row r="2347">
      <c r="B2347" s="51" t="n">
        <v>44182</v>
      </c>
      <c r="C2347" s="36">
        <f>TEXT(B2347,"aaa")</f>
        <v/>
      </c>
      <c r="E2347" s="36">
        <f>INDEX(매칭테이블!C:C,MATCH(RD!G2347,매칭테이블!D:D,0))</f>
        <v/>
      </c>
      <c r="F2347" s="39" t="inlineStr">
        <is>
          <t>카페24</t>
        </is>
      </c>
      <c r="G2347" s="39" t="inlineStr">
        <is>
          <t>유즈 솔리드퍼퓸 - 30ml (10차 재입고 완료 )향=스테이포에버 002 SOLID PERFUME, 세트 선택=1개</t>
        </is>
      </c>
      <c r="H2347" s="39" t="n">
        <v>7</v>
      </c>
      <c r="I2347" s="36">
        <f>VLOOKUP(G2347,매칭테이블!D:E,2,0)</f>
        <v/>
      </c>
      <c r="J2347" s="39" t="n">
        <v>201210</v>
      </c>
      <c r="L2347" s="36">
        <f>VLOOKUP($P2347,매칭테이블!$G:$J,2,0)*H2347</f>
        <v/>
      </c>
      <c r="M2347" s="36">
        <f>L2347-L2347*VLOOKUP($P2347,매칭테이블!$G:$J,3,0)</f>
        <v/>
      </c>
      <c r="N2347" s="36">
        <f>VLOOKUP($P2347,매칭테이블!$G:$J,4,0)*H2347</f>
        <v/>
      </c>
      <c r="O2347" s="52">
        <f>L2347/1.1</f>
        <v/>
      </c>
      <c r="P2347" s="36">
        <f>F2347&amp;E2347&amp;G2347&amp;J2347</f>
        <v/>
      </c>
    </row>
    <row r="2348">
      <c r="B2348" s="51" t="n">
        <v>44182</v>
      </c>
      <c r="C2348" s="36">
        <f>TEXT(B2348,"aaa")</f>
        <v/>
      </c>
      <c r="E2348" s="36">
        <f>INDEX(매칭테이블!C:C,MATCH(RD!G2348,매칭테이블!D:D,0))</f>
        <v/>
      </c>
      <c r="F2348" s="39" t="inlineStr">
        <is>
          <t>카페24</t>
        </is>
      </c>
      <c r="G2348" s="39" t="inlineStr">
        <is>
          <t>유즈 솔리드퍼퓸 - 30ml (10차 재입고 완료 )향=커플세트(이그나이트 + 스테이포에버), 세트 선택=1 SET</t>
        </is>
      </c>
      <c r="H2348" s="39" t="n">
        <v>3</v>
      </c>
      <c r="I2348" s="36">
        <f>VLOOKUP(G2348,매칭테이블!D:E,2,0)</f>
        <v/>
      </c>
      <c r="J2348" s="39" t="n">
        <v>201210</v>
      </c>
      <c r="L2348" s="36">
        <f>VLOOKUP($P2348,매칭테이블!$G:$J,2,0)*H2348</f>
        <v/>
      </c>
      <c r="M2348" s="36">
        <f>L2348-L2348*VLOOKUP($P2348,매칭테이블!$G:$J,3,0)</f>
        <v/>
      </c>
      <c r="N2348" s="36">
        <f>VLOOKUP($P2348,매칭테이블!$G:$J,4,0)*H2348</f>
        <v/>
      </c>
      <c r="O2348" s="52">
        <f>L2348/1.1</f>
        <v/>
      </c>
      <c r="P2348" s="36">
        <f>F2348&amp;E2348&amp;G2348&amp;J2348</f>
        <v/>
      </c>
    </row>
    <row r="2349">
      <c r="B2349" s="51" t="n">
        <v>44182</v>
      </c>
      <c r="C2349" s="36">
        <f>TEXT(B2349,"aaa")</f>
        <v/>
      </c>
      <c r="E2349" s="36">
        <f>INDEX(매칭테이블!C:C,MATCH(RD!G2349,매칭테이블!D:D,0))</f>
        <v/>
      </c>
      <c r="F2349" s="39" t="inlineStr">
        <is>
          <t>카페24</t>
        </is>
      </c>
      <c r="G2349" s="39" t="inlineStr">
        <is>
          <t>유즈 이그나이트 솔리드퍼퓸 001제품선택=이그나이트 솔리드퍼퓸 - 30ml</t>
        </is>
      </c>
      <c r="H2349" s="39" t="n">
        <v>5</v>
      </c>
      <c r="I2349" s="36">
        <f>VLOOKUP(G2349,매칭테이블!D:E,2,0)</f>
        <v/>
      </c>
      <c r="J2349" s="39" t="n">
        <v>201210</v>
      </c>
      <c r="L2349" s="36">
        <f>VLOOKUP($P2349,매칭테이블!$G:$J,2,0)*H2349</f>
        <v/>
      </c>
      <c r="M2349" s="36">
        <f>L2349-L2349*VLOOKUP($P2349,매칭테이블!$G:$J,3,0)</f>
        <v/>
      </c>
      <c r="N2349" s="36">
        <f>VLOOKUP($P2349,매칭테이블!$G:$J,4,0)*H2349</f>
        <v/>
      </c>
      <c r="O2349" s="52">
        <f>L2349/1.1</f>
        <v/>
      </c>
      <c r="P2349" s="36">
        <f>F2349&amp;E2349&amp;G2349&amp;J2349</f>
        <v/>
      </c>
    </row>
    <row r="2350">
      <c r="B2350" s="51" t="n">
        <v>44182</v>
      </c>
      <c r="C2350" s="36">
        <f>TEXT(B2350,"aaa")</f>
        <v/>
      </c>
      <c r="E2350" s="36">
        <f>INDEX(매칭테이블!C:C,MATCH(RD!G2350,매칭테이블!D:D,0))</f>
        <v/>
      </c>
      <c r="F2350" s="39" t="inlineStr">
        <is>
          <t>카페24</t>
        </is>
      </c>
      <c r="G2350" s="39" t="inlineStr">
        <is>
          <t>유즈 이그나이트 솔리드퍼퓸 001제품선택=이그나이트 2개 세트</t>
        </is>
      </c>
      <c r="H2350" s="39" t="n">
        <v>3</v>
      </c>
      <c r="I2350" s="36">
        <f>VLOOKUP(G2350,매칭테이블!D:E,2,0)</f>
        <v/>
      </c>
      <c r="J2350" s="39" t="n">
        <v>201210</v>
      </c>
      <c r="L2350" s="36">
        <f>VLOOKUP($P2350,매칭테이블!$G:$J,2,0)*H2350</f>
        <v/>
      </c>
      <c r="M2350" s="36">
        <f>L2350-L2350*VLOOKUP($P2350,매칭테이블!$G:$J,3,0)</f>
        <v/>
      </c>
      <c r="N2350" s="36">
        <f>VLOOKUP($P2350,매칭테이블!$G:$J,4,0)*H2350</f>
        <v/>
      </c>
      <c r="O2350" s="52">
        <f>L2350/1.1</f>
        <v/>
      </c>
      <c r="P2350" s="36">
        <f>F2350&amp;E2350&amp;G2350&amp;J2350</f>
        <v/>
      </c>
    </row>
    <row r="2351">
      <c r="B2351" s="51" t="n">
        <v>44183</v>
      </c>
      <c r="C2351" s="36">
        <f>TEXT(B2351,"aaa")</f>
        <v/>
      </c>
      <c r="E2351" s="36">
        <f>INDEX(매칭테이블!C:C,MATCH(RD!G2351,매칭테이블!D:D,0))</f>
        <v/>
      </c>
      <c r="F2351" s="39" t="inlineStr">
        <is>
          <t>카페24</t>
        </is>
      </c>
      <c r="G2351" s="39" t="inlineStr">
        <is>
          <t>스테이포에버 솔리드퍼퓸 002 (10차 재입고 완료제품선택=스테이포에버 1개</t>
        </is>
      </c>
      <c r="H2351" s="39" t="n">
        <v>27</v>
      </c>
      <c r="I2351" s="36">
        <f>VLOOKUP(G2351,매칭테이블!D:E,2,0)</f>
        <v/>
      </c>
      <c r="J2351" s="39" t="n">
        <v>201210</v>
      </c>
      <c r="L2351" s="36">
        <f>VLOOKUP($P2351,매칭테이블!$G:$J,2,0)*H2351</f>
        <v/>
      </c>
      <c r="M2351" s="36">
        <f>L2351-L2351*VLOOKUP($P2351,매칭테이블!$G:$J,3,0)</f>
        <v/>
      </c>
      <c r="N2351" s="36">
        <f>VLOOKUP($P2351,매칭테이블!$G:$J,4,0)*H2351</f>
        <v/>
      </c>
      <c r="O2351" s="52">
        <f>L2351/1.1</f>
        <v/>
      </c>
      <c r="P2351" s="36">
        <f>F2351&amp;E2351&amp;G2351&amp;J2351</f>
        <v/>
      </c>
    </row>
    <row r="2352">
      <c r="B2352" s="51" t="n">
        <v>44183</v>
      </c>
      <c r="C2352" s="36">
        <f>TEXT(B2352,"aaa")</f>
        <v/>
      </c>
      <c r="E2352" s="36">
        <f>INDEX(매칭테이블!C:C,MATCH(RD!G2352,매칭테이블!D:D,0))</f>
        <v/>
      </c>
      <c r="F2352" s="39" t="inlineStr">
        <is>
          <t>카페24</t>
        </is>
      </c>
      <c r="G2352" s="39" t="inlineStr">
        <is>
          <t>스테이포에버 솔리드퍼퓸 002 (10차 재입고 완료제품선택=best</t>
        </is>
      </c>
      <c r="H2352" s="39" t="n">
        <v>13</v>
      </c>
      <c r="I2352" s="36">
        <f>VLOOKUP(G2352,매칭테이블!D:E,2,0)</f>
        <v/>
      </c>
      <c r="J2352" s="39" t="n">
        <v>201210</v>
      </c>
      <c r="L2352" s="36">
        <f>VLOOKUP($P2352,매칭테이블!$G:$J,2,0)*H2352</f>
        <v/>
      </c>
      <c r="M2352" s="36">
        <f>L2352-L2352*VLOOKUP($P2352,매칭테이블!$G:$J,3,0)</f>
        <v/>
      </c>
      <c r="N2352" s="36">
        <f>VLOOKUP($P2352,매칭테이블!$G:$J,4,0)*H2352</f>
        <v/>
      </c>
      <c r="O2352" s="52">
        <f>L2352/1.1</f>
        <v/>
      </c>
      <c r="P2352" s="36">
        <f>F2352&amp;E2352&amp;G2352&amp;J2352</f>
        <v/>
      </c>
    </row>
    <row r="2353">
      <c r="B2353" s="51" t="n">
        <v>44183</v>
      </c>
      <c r="C2353" s="36">
        <f>TEXT(B2353,"aaa")</f>
        <v/>
      </c>
      <c r="E2353" s="36">
        <f>INDEX(매칭테이블!C:C,MATCH(RD!G2353,매칭테이블!D:D,0))</f>
        <v/>
      </c>
      <c r="F2353" s="39" t="inlineStr">
        <is>
          <t>카페24</t>
        </is>
      </c>
      <c r="G2353" s="39" t="inlineStr">
        <is>
          <t>스테이포에버 솔리드퍼퓸 002 (10차 재입고 완료제품선택=커플추천</t>
        </is>
      </c>
      <c r="H2353" s="39" t="n">
        <v>1</v>
      </c>
      <c r="I2353" s="36">
        <f>VLOOKUP(G2353,매칭테이블!D:E,2,0)</f>
        <v/>
      </c>
      <c r="J2353" s="39" t="n">
        <v>201210</v>
      </c>
      <c r="L2353" s="36">
        <f>VLOOKUP($P2353,매칭테이블!$G:$J,2,0)*H2353</f>
        <v/>
      </c>
      <c r="M2353" s="36">
        <f>L2353-L2353*VLOOKUP($P2353,매칭테이블!$G:$J,3,0)</f>
        <v/>
      </c>
      <c r="N2353" s="36">
        <f>VLOOKUP($P2353,매칭테이블!$G:$J,4,0)*H2353</f>
        <v/>
      </c>
      <c r="O2353" s="52">
        <f>L2353/1.1</f>
        <v/>
      </c>
      <c r="P2353" s="36">
        <f>F2353&amp;E2353&amp;G2353&amp;J2353</f>
        <v/>
      </c>
    </row>
    <row r="2354">
      <c r="B2354" s="51" t="n">
        <v>44183</v>
      </c>
      <c r="C2354" s="36">
        <f>TEXT(B2354,"aaa")</f>
        <v/>
      </c>
      <c r="E2354" s="36">
        <f>INDEX(매칭테이블!C:C,MATCH(RD!G2354,매칭테이블!D:D,0))</f>
        <v/>
      </c>
      <c r="F2354" s="39" t="inlineStr">
        <is>
          <t>카페24</t>
        </is>
      </c>
      <c r="G2354" s="39" t="inlineStr">
        <is>
          <t>스테이포에버 솔리드퍼퓸 002 (10차 재입고 완료쇼핑백=선물용 쇼핑백</t>
        </is>
      </c>
      <c r="H2354" s="39" t="n">
        <v>2</v>
      </c>
      <c r="I2354" s="36">
        <f>VLOOKUP(G2354,매칭테이블!D:E,2,0)</f>
        <v/>
      </c>
      <c r="J2354" s="39" t="n">
        <v>201210</v>
      </c>
      <c r="L2354" s="36">
        <f>VLOOKUP($P2354,매칭테이블!$G:$J,2,0)*H2354</f>
        <v/>
      </c>
      <c r="M2354" s="36">
        <f>L2354-L2354*VLOOKUP($P2354,매칭테이블!$G:$J,3,0)</f>
        <v/>
      </c>
      <c r="N2354" s="36">
        <f>VLOOKUP($P2354,매칭테이블!$G:$J,4,0)*H2354</f>
        <v/>
      </c>
      <c r="O2354" s="52">
        <f>L2354/1.1</f>
        <v/>
      </c>
      <c r="P2354" s="36">
        <f>F2354&amp;E2354&amp;G2354&amp;J2354</f>
        <v/>
      </c>
    </row>
    <row r="2355">
      <c r="B2355" s="51" t="n">
        <v>44183</v>
      </c>
      <c r="C2355" s="36">
        <f>TEXT(B2355,"aaa")</f>
        <v/>
      </c>
      <c r="E2355" s="36">
        <f>INDEX(매칭테이블!C:C,MATCH(RD!G2355,매칭테이블!D:D,0))</f>
        <v/>
      </c>
      <c r="F2355" s="39" t="inlineStr">
        <is>
          <t>카페24</t>
        </is>
      </c>
      <c r="G2355" s="39" t="inlineStr">
        <is>
          <t>스테이포에버 솔리드퍼퓸 002 (10차 재입고 완료)제품선택=스테이포에버 1개</t>
        </is>
      </c>
      <c r="H2355" s="39" t="n">
        <v>44</v>
      </c>
      <c r="I2355" s="36">
        <f>VLOOKUP(G2355,매칭테이블!D:E,2,0)</f>
        <v/>
      </c>
      <c r="J2355" s="39" t="n">
        <v>201210</v>
      </c>
      <c r="L2355" s="36">
        <f>VLOOKUP($P2355,매칭테이블!$G:$J,2,0)*H2355</f>
        <v/>
      </c>
      <c r="M2355" s="36">
        <f>L2355-L2355*VLOOKUP($P2355,매칭테이블!$G:$J,3,0)</f>
        <v/>
      </c>
      <c r="N2355" s="36">
        <f>VLOOKUP($P2355,매칭테이블!$G:$J,4,0)*H2355</f>
        <v/>
      </c>
      <c r="O2355" s="52">
        <f>L2355/1.1</f>
        <v/>
      </c>
      <c r="P2355" s="36">
        <f>F2355&amp;E2355&amp;G2355&amp;J2355</f>
        <v/>
      </c>
    </row>
    <row r="2356">
      <c r="B2356" s="51" t="n">
        <v>44183</v>
      </c>
      <c r="C2356" s="36">
        <f>TEXT(B2356,"aaa")</f>
        <v/>
      </c>
      <c r="E2356" s="36">
        <f>INDEX(매칭테이블!C:C,MATCH(RD!G2356,매칭테이블!D:D,0))</f>
        <v/>
      </c>
      <c r="F2356" s="39" t="inlineStr">
        <is>
          <t>카페24</t>
        </is>
      </c>
      <c r="G2356" s="39" t="inlineStr">
        <is>
          <t>스테이포에버 솔리드퍼퓸 002 (10차 재입고 완료)제품선택=best스테이포에버 2개[28% 할인]</t>
        </is>
      </c>
      <c r="H2356" s="39" t="n">
        <v>19</v>
      </c>
      <c r="I2356" s="36">
        <f>VLOOKUP(G2356,매칭테이블!D:E,2,0)</f>
        <v/>
      </c>
      <c r="J2356" s="39" t="n">
        <v>201210</v>
      </c>
      <c r="L2356" s="36">
        <f>VLOOKUP($P2356,매칭테이블!$G:$J,2,0)*H2356</f>
        <v/>
      </c>
      <c r="M2356" s="36">
        <f>L2356-L2356*VLOOKUP($P2356,매칭테이블!$G:$J,3,0)</f>
        <v/>
      </c>
      <c r="N2356" s="36">
        <f>VLOOKUP($P2356,매칭테이블!$G:$J,4,0)*H2356</f>
        <v/>
      </c>
      <c r="O2356" s="52">
        <f>L2356/1.1</f>
        <v/>
      </c>
      <c r="P2356" s="36">
        <f>F2356&amp;E2356&amp;G2356&amp;J2356</f>
        <v/>
      </c>
    </row>
    <row r="2357">
      <c r="B2357" s="51" t="n">
        <v>44183</v>
      </c>
      <c r="C2357" s="36">
        <f>TEXT(B2357,"aaa")</f>
        <v/>
      </c>
      <c r="E2357" s="36">
        <f>INDEX(매칭테이블!C:C,MATCH(RD!G2357,매칭테이블!D:D,0))</f>
        <v/>
      </c>
      <c r="F2357" s="39" t="inlineStr">
        <is>
          <t>카페24</t>
        </is>
      </c>
      <c r="G2357" s="39" t="inlineStr">
        <is>
          <t>스테이포에버 솔리드퍼퓸 002 (10차 재입고 완료)제품선택=커플추천스테이포에버 + 이그나이트 세트</t>
        </is>
      </c>
      <c r="H2357" s="39" t="n">
        <v>1</v>
      </c>
      <c r="I2357" s="36">
        <f>VLOOKUP(G2357,매칭테이블!D:E,2,0)</f>
        <v/>
      </c>
      <c r="J2357" s="39" t="n">
        <v>201210</v>
      </c>
      <c r="L2357" s="36">
        <f>VLOOKUP($P2357,매칭테이블!$G:$J,2,0)*H2357</f>
        <v/>
      </c>
      <c r="M2357" s="36">
        <f>L2357-L2357*VLOOKUP($P2357,매칭테이블!$G:$J,3,0)</f>
        <v/>
      </c>
      <c r="N2357" s="36">
        <f>VLOOKUP($P2357,매칭테이블!$G:$J,4,0)*H2357</f>
        <v/>
      </c>
      <c r="O2357" s="52">
        <f>L2357/1.1</f>
        <v/>
      </c>
      <c r="P2357" s="36">
        <f>F2357&amp;E2357&amp;G2357&amp;J2357</f>
        <v/>
      </c>
    </row>
    <row r="2358">
      <c r="B2358" s="51" t="n">
        <v>44183</v>
      </c>
      <c r="C2358" s="36">
        <f>TEXT(B2358,"aaa")</f>
        <v/>
      </c>
      <c r="E2358" s="36">
        <f>INDEX(매칭테이블!C:C,MATCH(RD!G2358,매칭테이블!D:D,0))</f>
        <v/>
      </c>
      <c r="F2358" s="39" t="inlineStr">
        <is>
          <t>카페24</t>
        </is>
      </c>
      <c r="G2358" s="39" t="inlineStr">
        <is>
          <t>스테이포에버 솔리드퍼퓸 002 (10차 재입고 완료)쇼핑백=선물용 쇼핑백</t>
        </is>
      </c>
      <c r="H2358" s="39" t="n">
        <v>3</v>
      </c>
      <c r="I2358" s="36">
        <f>VLOOKUP(G2358,매칭테이블!D:E,2,0)</f>
        <v/>
      </c>
      <c r="J2358" s="39" t="n">
        <v>201210</v>
      </c>
      <c r="L2358" s="36">
        <f>VLOOKUP($P2358,매칭테이블!$G:$J,2,0)*H2358</f>
        <v/>
      </c>
      <c r="M2358" s="36">
        <f>L2358-L2358*VLOOKUP($P2358,매칭테이블!$G:$J,3,0)</f>
        <v/>
      </c>
      <c r="N2358" s="36">
        <f>VLOOKUP($P2358,매칭테이블!$G:$J,4,0)*H2358</f>
        <v/>
      </c>
      <c r="O2358" s="52">
        <f>L2358/1.1</f>
        <v/>
      </c>
      <c r="P2358" s="36">
        <f>F2358&amp;E2358&amp;G2358&amp;J2358</f>
        <v/>
      </c>
    </row>
    <row r="2359">
      <c r="B2359" s="51" t="n">
        <v>44183</v>
      </c>
      <c r="C2359" s="36">
        <f>TEXT(B2359,"aaa")</f>
        <v/>
      </c>
      <c r="E2359" s="36">
        <f>INDEX(매칭테이블!C:C,MATCH(RD!G2359,매칭테이블!D:D,0))</f>
        <v/>
      </c>
      <c r="F2359" s="39" t="inlineStr">
        <is>
          <t>카페24</t>
        </is>
      </c>
      <c r="G2359" s="39" t="inlineStr">
        <is>
          <t>유즈 솔리드퍼퓸 - 30ml (10차 재입고 완료향=스테이포에버 002 SOLID PERFUME, 세트 선택=1개</t>
        </is>
      </c>
      <c r="H2359" s="39" t="n">
        <v>3</v>
      </c>
      <c r="I2359" s="36">
        <f>VLOOKUP(G2359,매칭테이블!D:E,2,0)</f>
        <v/>
      </c>
      <c r="J2359" s="39" t="n">
        <v>201210</v>
      </c>
      <c r="L2359" s="36">
        <f>VLOOKUP($P2359,매칭테이블!$G:$J,2,0)*H2359</f>
        <v/>
      </c>
      <c r="M2359" s="36">
        <f>L2359-L2359*VLOOKUP($P2359,매칭테이블!$G:$J,3,0)</f>
        <v/>
      </c>
      <c r="N2359" s="36">
        <f>VLOOKUP($P2359,매칭테이블!$G:$J,4,0)*H2359</f>
        <v/>
      </c>
      <c r="O2359" s="52">
        <f>L2359/1.1</f>
        <v/>
      </c>
      <c r="P2359" s="36">
        <f>F2359&amp;E2359&amp;G2359&amp;J2359</f>
        <v/>
      </c>
    </row>
    <row r="2360">
      <c r="B2360" s="51" t="n">
        <v>44183</v>
      </c>
      <c r="C2360" s="36">
        <f>TEXT(B2360,"aaa")</f>
        <v/>
      </c>
      <c r="E2360" s="36">
        <f>INDEX(매칭테이블!C:C,MATCH(RD!G2360,매칭테이블!D:D,0))</f>
        <v/>
      </c>
      <c r="F2360" s="39" t="inlineStr">
        <is>
          <t>카페24</t>
        </is>
      </c>
      <c r="G2360" s="39" t="inlineStr">
        <is>
          <t>유즈 솔리드퍼퓸 - 30ml (10차 재입고 완료향=스테이포에버 002 SOLID PERFUME, 세트 선택=best</t>
        </is>
      </c>
      <c r="H2360" s="39" t="n">
        <v>3</v>
      </c>
      <c r="I2360" s="36">
        <f>VLOOKUP(G2360,매칭테이블!D:E,2,0)</f>
        <v/>
      </c>
      <c r="J2360" s="39" t="n">
        <v>201210</v>
      </c>
      <c r="L2360" s="36">
        <f>VLOOKUP($P2360,매칭테이블!$G:$J,2,0)*H2360</f>
        <v/>
      </c>
      <c r="M2360" s="36">
        <f>L2360-L2360*VLOOKUP($P2360,매칭테이블!$G:$J,3,0)</f>
        <v/>
      </c>
      <c r="N2360" s="36">
        <f>VLOOKUP($P2360,매칭테이블!$G:$J,4,0)*H2360</f>
        <v/>
      </c>
      <c r="O2360" s="52">
        <f>L2360/1.1</f>
        <v/>
      </c>
      <c r="P2360" s="36">
        <f>F2360&amp;E2360&amp;G2360&amp;J2360</f>
        <v/>
      </c>
    </row>
    <row r="2361">
      <c r="B2361" s="51" t="n">
        <v>44183</v>
      </c>
      <c r="C2361" s="36">
        <f>TEXT(B2361,"aaa")</f>
        <v/>
      </c>
      <c r="E2361" s="36">
        <f>INDEX(매칭테이블!C:C,MATCH(RD!G2361,매칭테이블!D:D,0))</f>
        <v/>
      </c>
      <c r="F2361" s="39" t="inlineStr">
        <is>
          <t>카페24</t>
        </is>
      </c>
      <c r="G2361" s="39" t="inlineStr">
        <is>
          <t>유즈 솔리드퍼퓸 - 30ml (10차 재입고 완료향=커플세트</t>
        </is>
      </c>
      <c r="H2361" s="39" t="n">
        <v>6</v>
      </c>
      <c r="I2361" s="36">
        <f>VLOOKUP(G2361,매칭테이블!D:E,2,0)</f>
        <v/>
      </c>
      <c r="J2361" s="39" t="n">
        <v>201210</v>
      </c>
      <c r="L2361" s="36">
        <f>VLOOKUP($P2361,매칭테이블!$G:$J,2,0)*H2361</f>
        <v/>
      </c>
      <c r="M2361" s="36">
        <f>L2361-L2361*VLOOKUP($P2361,매칭테이블!$G:$J,3,0)</f>
        <v/>
      </c>
      <c r="N2361" s="36">
        <f>VLOOKUP($P2361,매칭테이블!$G:$J,4,0)*H2361</f>
        <v/>
      </c>
      <c r="O2361" s="52">
        <f>L2361/1.1</f>
        <v/>
      </c>
      <c r="P2361" s="36">
        <f>F2361&amp;E2361&amp;G2361&amp;J2361</f>
        <v/>
      </c>
    </row>
    <row r="2362">
      <c r="B2362" s="51" t="n">
        <v>44183</v>
      </c>
      <c r="C2362" s="36">
        <f>TEXT(B2362,"aaa")</f>
        <v/>
      </c>
      <c r="E2362" s="36">
        <f>INDEX(매칭테이블!C:C,MATCH(RD!G2362,매칭테이블!D:D,0))</f>
        <v/>
      </c>
      <c r="F2362" s="39" t="inlineStr">
        <is>
          <t>카페24</t>
        </is>
      </c>
      <c r="G2362" s="39" t="inlineStr">
        <is>
          <t>유즈 솔리드퍼퓸 - 30ml (10차 재입고 완료향=커플세트</t>
        </is>
      </c>
      <c r="H2362" s="39" t="n">
        <v>1</v>
      </c>
      <c r="I2362" s="36">
        <f>VLOOKUP(G2362,매칭테이블!D:E,2,0)</f>
        <v/>
      </c>
      <c r="J2362" s="39" t="n">
        <v>201210</v>
      </c>
      <c r="L2362" s="36">
        <f>VLOOKUP($P2362,매칭테이블!$G:$J,2,0)*H2362</f>
        <v/>
      </c>
      <c r="M2362" s="36">
        <f>L2362-L2362*VLOOKUP($P2362,매칭테이블!$G:$J,3,0)</f>
        <v/>
      </c>
      <c r="N2362" s="36">
        <f>VLOOKUP($P2362,매칭테이블!$G:$J,4,0)*H2362</f>
        <v/>
      </c>
      <c r="O2362" s="52">
        <f>L2362/1.1</f>
        <v/>
      </c>
      <c r="P2362" s="36">
        <f>F2362&amp;E2362&amp;G2362&amp;J2362</f>
        <v/>
      </c>
    </row>
    <row r="2363">
      <c r="B2363" s="51" t="n">
        <v>44183</v>
      </c>
      <c r="C2363" s="36">
        <f>TEXT(B2363,"aaa")</f>
        <v/>
      </c>
      <c r="E2363" s="36">
        <f>INDEX(매칭테이블!C:C,MATCH(RD!G2363,매칭테이블!D:D,0))</f>
        <v/>
      </c>
      <c r="F2363" s="39" t="inlineStr">
        <is>
          <t>카페24</t>
        </is>
      </c>
      <c r="G2363" s="39" t="inlineStr">
        <is>
          <t>유즈 솔리드퍼퓸 - 30ml (10차 재입고 완료 )향=스테이포에버 002 SOLID PERFUME, 세트 선택=1개</t>
        </is>
      </c>
      <c r="H2363" s="39" t="n">
        <v>8</v>
      </c>
      <c r="I2363" s="36">
        <f>VLOOKUP(G2363,매칭테이블!D:E,2,0)</f>
        <v/>
      </c>
      <c r="J2363" s="39" t="n">
        <v>201210</v>
      </c>
      <c r="L2363" s="36">
        <f>VLOOKUP($P2363,매칭테이블!$G:$J,2,0)*H2363</f>
        <v/>
      </c>
      <c r="M2363" s="36">
        <f>L2363-L2363*VLOOKUP($P2363,매칭테이블!$G:$J,3,0)</f>
        <v/>
      </c>
      <c r="N2363" s="36">
        <f>VLOOKUP($P2363,매칭테이블!$G:$J,4,0)*H2363</f>
        <v/>
      </c>
      <c r="O2363" s="52">
        <f>L2363/1.1</f>
        <v/>
      </c>
      <c r="P2363" s="36">
        <f>F2363&amp;E2363&amp;G2363&amp;J2363</f>
        <v/>
      </c>
    </row>
    <row r="2364">
      <c r="B2364" s="51" t="n">
        <v>44183</v>
      </c>
      <c r="C2364" s="36">
        <f>TEXT(B2364,"aaa")</f>
        <v/>
      </c>
      <c r="E2364" s="36">
        <f>INDEX(매칭테이블!C:C,MATCH(RD!G2364,매칭테이블!D:D,0))</f>
        <v/>
      </c>
      <c r="F2364" s="39" t="inlineStr">
        <is>
          <t>카페24</t>
        </is>
      </c>
      <c r="G2364" s="39" t="inlineStr">
        <is>
          <t>유즈 솔리드퍼퓸 - 30ml (10차 재입고 완료 )향=스테이포에버 002 SOLID PERFUME, 세트 선택=best 2개 (28% 할인)</t>
        </is>
      </c>
      <c r="H2364" s="39" t="n">
        <v>2</v>
      </c>
      <c r="I2364" s="36">
        <f>VLOOKUP(G2364,매칭테이블!D:E,2,0)</f>
        <v/>
      </c>
      <c r="J2364" s="39" t="n">
        <v>201210</v>
      </c>
      <c r="L2364" s="36">
        <f>VLOOKUP($P2364,매칭테이블!$G:$J,2,0)*H2364</f>
        <v/>
      </c>
      <c r="M2364" s="36">
        <f>L2364-L2364*VLOOKUP($P2364,매칭테이블!$G:$J,3,0)</f>
        <v/>
      </c>
      <c r="N2364" s="36">
        <f>VLOOKUP($P2364,매칭테이블!$G:$J,4,0)*H2364</f>
        <v/>
      </c>
      <c r="O2364" s="52">
        <f>L2364/1.1</f>
        <v/>
      </c>
      <c r="P2364" s="36">
        <f>F2364&amp;E2364&amp;G2364&amp;J2364</f>
        <v/>
      </c>
    </row>
    <row r="2365">
      <c r="B2365" s="51" t="n">
        <v>44183</v>
      </c>
      <c r="C2365" s="36">
        <f>TEXT(B2365,"aaa")</f>
        <v/>
      </c>
      <c r="E2365" s="36">
        <f>INDEX(매칭테이블!C:C,MATCH(RD!G2365,매칭테이블!D:D,0))</f>
        <v/>
      </c>
      <c r="F2365" s="39" t="inlineStr">
        <is>
          <t>카페24</t>
        </is>
      </c>
      <c r="G2365" s="39" t="inlineStr">
        <is>
          <t>유즈 솔리드퍼퓸 - 30ml (10차 재입고 완료 )향=커플세트(이그나이트 + 스테이포에버), 세트 선택=1 SET</t>
        </is>
      </c>
      <c r="H2365" s="39" t="n">
        <v>1</v>
      </c>
      <c r="I2365" s="36">
        <f>VLOOKUP(G2365,매칭테이블!D:E,2,0)</f>
        <v/>
      </c>
      <c r="J2365" s="39" t="n">
        <v>201210</v>
      </c>
      <c r="L2365" s="36">
        <f>VLOOKUP($P2365,매칭테이블!$G:$J,2,0)*H2365</f>
        <v/>
      </c>
      <c r="M2365" s="36">
        <f>L2365-L2365*VLOOKUP($P2365,매칭테이블!$G:$J,3,0)</f>
        <v/>
      </c>
      <c r="N2365" s="36">
        <f>VLOOKUP($P2365,매칭테이블!$G:$J,4,0)*H2365</f>
        <v/>
      </c>
      <c r="O2365" s="52">
        <f>L2365/1.1</f>
        <v/>
      </c>
      <c r="P2365" s="36">
        <f>F2365&amp;E2365&amp;G2365&amp;J2365</f>
        <v/>
      </c>
    </row>
    <row r="2366">
      <c r="B2366" s="51" t="n">
        <v>44183</v>
      </c>
      <c r="C2366" s="36">
        <f>TEXT(B2366,"aaa")</f>
        <v/>
      </c>
      <c r="E2366" s="36">
        <f>INDEX(매칭테이블!C:C,MATCH(RD!G2366,매칭테이블!D:D,0))</f>
        <v/>
      </c>
      <c r="F2366" s="39" t="inlineStr">
        <is>
          <t>카페24</t>
        </is>
      </c>
      <c r="G2366" s="39" t="inlineStr">
        <is>
          <t>유즈 스테이포에버 솔리드퍼퓸 002 (10차 재입고 완료제품선택=스테이포에버 1개</t>
        </is>
      </c>
      <c r="H2366" s="39" t="n">
        <v>58</v>
      </c>
      <c r="I2366" s="36">
        <f>VLOOKUP(G2366,매칭테이블!D:E,2,0)</f>
        <v/>
      </c>
      <c r="J2366" s="39" t="n">
        <v>201210</v>
      </c>
      <c r="L2366" s="36">
        <f>VLOOKUP($P2366,매칭테이블!$G:$J,2,0)*H2366</f>
        <v/>
      </c>
      <c r="M2366" s="36">
        <f>L2366-L2366*VLOOKUP($P2366,매칭테이블!$G:$J,3,0)</f>
        <v/>
      </c>
      <c r="N2366" s="36">
        <f>VLOOKUP($P2366,매칭테이블!$G:$J,4,0)*H2366</f>
        <v/>
      </c>
      <c r="O2366" s="52">
        <f>L2366/1.1</f>
        <v/>
      </c>
      <c r="P2366" s="36">
        <f>F2366&amp;E2366&amp;G2366&amp;J2366</f>
        <v/>
      </c>
    </row>
    <row r="2367">
      <c r="B2367" s="51" t="n">
        <v>44183</v>
      </c>
      <c r="C2367" s="36">
        <f>TEXT(B2367,"aaa")</f>
        <v/>
      </c>
      <c r="E2367" s="36">
        <f>INDEX(매칭테이블!C:C,MATCH(RD!G2367,매칭테이블!D:D,0))</f>
        <v/>
      </c>
      <c r="F2367" s="39" t="inlineStr">
        <is>
          <t>카페24</t>
        </is>
      </c>
      <c r="G2367" s="39" t="inlineStr">
        <is>
          <t>유즈 스테이포에버 솔리드퍼퓸 002 (10차 재입고 완료제품선택=best</t>
        </is>
      </c>
      <c r="H2367" s="39" t="n">
        <v>42</v>
      </c>
      <c r="I2367" s="36">
        <f>VLOOKUP(G2367,매칭테이블!D:E,2,0)</f>
        <v/>
      </c>
      <c r="J2367" s="39" t="n">
        <v>201210</v>
      </c>
      <c r="L2367" s="36">
        <f>VLOOKUP($P2367,매칭테이블!$G:$J,2,0)*H2367</f>
        <v/>
      </c>
      <c r="M2367" s="36">
        <f>L2367-L2367*VLOOKUP($P2367,매칭테이블!$G:$J,3,0)</f>
        <v/>
      </c>
      <c r="N2367" s="36">
        <f>VLOOKUP($P2367,매칭테이블!$G:$J,4,0)*H2367</f>
        <v/>
      </c>
      <c r="O2367" s="52">
        <f>L2367/1.1</f>
        <v/>
      </c>
      <c r="P2367" s="36">
        <f>F2367&amp;E2367&amp;G2367&amp;J2367</f>
        <v/>
      </c>
    </row>
    <row r="2368">
      <c r="B2368" s="51" t="n">
        <v>44183</v>
      </c>
      <c r="C2368" s="36">
        <f>TEXT(B2368,"aaa")</f>
        <v/>
      </c>
      <c r="E2368" s="36">
        <f>INDEX(매칭테이블!C:C,MATCH(RD!G2368,매칭테이블!D:D,0))</f>
        <v/>
      </c>
      <c r="F2368" s="39" t="inlineStr">
        <is>
          <t>카페24</t>
        </is>
      </c>
      <c r="G2368" s="39" t="inlineStr">
        <is>
          <t>유즈 스테이포에버 솔리드퍼퓸 002 (10차 재입고 완료제품선택=커플추천</t>
        </is>
      </c>
      <c r="H2368" s="39" t="n">
        <v>6</v>
      </c>
      <c r="I2368" s="36">
        <f>VLOOKUP(G2368,매칭테이블!D:E,2,0)</f>
        <v/>
      </c>
      <c r="J2368" s="39" t="n">
        <v>201210</v>
      </c>
      <c r="L2368" s="36">
        <f>VLOOKUP($P2368,매칭테이블!$G:$J,2,0)*H2368</f>
        <v/>
      </c>
      <c r="M2368" s="36">
        <f>L2368-L2368*VLOOKUP($P2368,매칭테이블!$G:$J,3,0)</f>
        <v/>
      </c>
      <c r="N2368" s="36">
        <f>VLOOKUP($P2368,매칭테이블!$G:$J,4,0)*H2368</f>
        <v/>
      </c>
      <c r="O2368" s="52">
        <f>L2368/1.1</f>
        <v/>
      </c>
      <c r="P2368" s="36">
        <f>F2368&amp;E2368&amp;G2368&amp;J2368</f>
        <v/>
      </c>
    </row>
    <row r="2369">
      <c r="B2369" s="51" t="n">
        <v>44183</v>
      </c>
      <c r="C2369" s="36">
        <f>TEXT(B2369,"aaa")</f>
        <v/>
      </c>
      <c r="E2369" s="36">
        <f>INDEX(매칭테이블!C:C,MATCH(RD!G2369,매칭테이블!D:D,0))</f>
        <v/>
      </c>
      <c r="F2369" s="39" t="inlineStr">
        <is>
          <t>카페24</t>
        </is>
      </c>
      <c r="G2369" s="39" t="inlineStr">
        <is>
          <t>유즈 스테이포에버 솔리드퍼퓸 002 (10차 재입고 완료쇼핑백=선물용 쇼핑백</t>
        </is>
      </c>
      <c r="H2369" s="39" t="n">
        <v>3</v>
      </c>
      <c r="I2369" s="36">
        <f>VLOOKUP(G2369,매칭테이블!D:E,2,0)</f>
        <v/>
      </c>
      <c r="J2369" s="39" t="n">
        <v>201210</v>
      </c>
      <c r="L2369" s="36">
        <f>VLOOKUP($P2369,매칭테이블!$G:$J,2,0)*H2369</f>
        <v/>
      </c>
      <c r="M2369" s="36">
        <f>L2369-L2369*VLOOKUP($P2369,매칭테이블!$G:$J,3,0)</f>
        <v/>
      </c>
      <c r="N2369" s="36">
        <f>VLOOKUP($P2369,매칭테이블!$G:$J,4,0)*H2369</f>
        <v/>
      </c>
      <c r="O2369" s="52">
        <f>L2369/1.1</f>
        <v/>
      </c>
      <c r="P2369" s="36">
        <f>F2369&amp;E2369&amp;G2369&amp;J2369</f>
        <v/>
      </c>
    </row>
    <row r="2370">
      <c r="B2370" s="51" t="n">
        <v>44183</v>
      </c>
      <c r="C2370" s="36">
        <f>TEXT(B2370,"aaa")</f>
        <v/>
      </c>
      <c r="E2370" s="36">
        <f>INDEX(매칭테이블!C:C,MATCH(RD!G2370,매칭테이블!D:D,0))</f>
        <v/>
      </c>
      <c r="F2370" s="39" t="inlineStr">
        <is>
          <t>카페24</t>
        </is>
      </c>
      <c r="G2370" s="39" t="inlineStr">
        <is>
          <t>유즈 스테이포에버 솔리드퍼퓸 002 (10차 재입고 완료)제품선택=스테이포에버 1개</t>
        </is>
      </c>
      <c r="H2370" s="39" t="n">
        <v>90</v>
      </c>
      <c r="I2370" s="36">
        <f>VLOOKUP(G2370,매칭테이블!D:E,2,0)</f>
        <v/>
      </c>
      <c r="J2370" s="39" t="n">
        <v>201210</v>
      </c>
      <c r="L2370" s="36">
        <f>VLOOKUP($P2370,매칭테이블!$G:$J,2,0)*H2370</f>
        <v/>
      </c>
      <c r="M2370" s="36">
        <f>L2370-L2370*VLOOKUP($P2370,매칭테이블!$G:$J,3,0)</f>
        <v/>
      </c>
      <c r="N2370" s="36">
        <f>VLOOKUP($P2370,매칭테이블!$G:$J,4,0)*H2370</f>
        <v/>
      </c>
      <c r="O2370" s="52">
        <f>L2370/1.1</f>
        <v/>
      </c>
      <c r="P2370" s="36">
        <f>F2370&amp;E2370&amp;G2370&amp;J2370</f>
        <v/>
      </c>
    </row>
    <row r="2371">
      <c r="B2371" s="51" t="n">
        <v>44183</v>
      </c>
      <c r="C2371" s="36">
        <f>TEXT(B2371,"aaa")</f>
        <v/>
      </c>
      <c r="E2371" s="36">
        <f>INDEX(매칭테이블!C:C,MATCH(RD!G2371,매칭테이블!D:D,0))</f>
        <v/>
      </c>
      <c r="F2371" s="39" t="inlineStr">
        <is>
          <t>카페24</t>
        </is>
      </c>
      <c r="G2371" s="39" t="inlineStr">
        <is>
          <t>유즈 스테이포에버 솔리드퍼퓸 002 (10차 재입고 완료)제품선택=best스테이포에버 2개[28% 할인]</t>
        </is>
      </c>
      <c r="H2371" s="39" t="n">
        <v>55</v>
      </c>
      <c r="I2371" s="36">
        <f>VLOOKUP(G2371,매칭테이블!D:E,2,0)</f>
        <v/>
      </c>
      <c r="J2371" s="39" t="n">
        <v>201210</v>
      </c>
      <c r="L2371" s="36">
        <f>VLOOKUP($P2371,매칭테이블!$G:$J,2,0)*H2371</f>
        <v/>
      </c>
      <c r="M2371" s="36">
        <f>L2371-L2371*VLOOKUP($P2371,매칭테이블!$G:$J,3,0)</f>
        <v/>
      </c>
      <c r="N2371" s="36">
        <f>VLOOKUP($P2371,매칭테이블!$G:$J,4,0)*H2371</f>
        <v/>
      </c>
      <c r="O2371" s="52">
        <f>L2371/1.1</f>
        <v/>
      </c>
      <c r="P2371" s="36">
        <f>F2371&amp;E2371&amp;G2371&amp;J2371</f>
        <v/>
      </c>
    </row>
    <row r="2372">
      <c r="B2372" s="51" t="n">
        <v>44183</v>
      </c>
      <c r="C2372" s="36">
        <f>TEXT(B2372,"aaa")</f>
        <v/>
      </c>
      <c r="E2372" s="36">
        <f>INDEX(매칭테이블!C:C,MATCH(RD!G2372,매칭테이블!D:D,0))</f>
        <v/>
      </c>
      <c r="F2372" s="39" t="inlineStr">
        <is>
          <t>카페24</t>
        </is>
      </c>
      <c r="G2372" s="39" t="inlineStr">
        <is>
          <t>유즈 스테이포에버 솔리드퍼퓸 002 (10차 재입고 완료)제품선택=커플추천스테이포에버 + 이그나이트 세트</t>
        </is>
      </c>
      <c r="H2372" s="39" t="n">
        <v>5</v>
      </c>
      <c r="I2372" s="36">
        <f>VLOOKUP(G2372,매칭테이블!D:E,2,0)</f>
        <v/>
      </c>
      <c r="J2372" s="39" t="n">
        <v>201210</v>
      </c>
      <c r="L2372" s="36">
        <f>VLOOKUP($P2372,매칭테이블!$G:$J,2,0)*H2372</f>
        <v/>
      </c>
      <c r="M2372" s="36">
        <f>L2372-L2372*VLOOKUP($P2372,매칭테이블!$G:$J,3,0)</f>
        <v/>
      </c>
      <c r="N2372" s="36">
        <f>VLOOKUP($P2372,매칭테이블!$G:$J,4,0)*H2372</f>
        <v/>
      </c>
      <c r="O2372" s="52">
        <f>L2372/1.1</f>
        <v/>
      </c>
      <c r="P2372" s="36">
        <f>F2372&amp;E2372&amp;G2372&amp;J2372</f>
        <v/>
      </c>
    </row>
    <row r="2373">
      <c r="B2373" s="51" t="n">
        <v>44183</v>
      </c>
      <c r="C2373" s="36">
        <f>TEXT(B2373,"aaa")</f>
        <v/>
      </c>
      <c r="E2373" s="36">
        <f>INDEX(매칭테이블!C:C,MATCH(RD!G2373,매칭테이블!D:D,0))</f>
        <v/>
      </c>
      <c r="F2373" s="39" t="inlineStr">
        <is>
          <t>카페24</t>
        </is>
      </c>
      <c r="G2373" s="39" t="inlineStr">
        <is>
          <t>유즈 스테이포에버 솔리드퍼퓸 002 (10차 재입고 완료)쇼핑백=선물용 쇼핑백</t>
        </is>
      </c>
      <c r="H2373" s="39" t="n">
        <v>3</v>
      </c>
      <c r="I2373" s="36">
        <f>VLOOKUP(G2373,매칭테이블!D:E,2,0)</f>
        <v/>
      </c>
      <c r="J2373" s="39" t="n">
        <v>201210</v>
      </c>
      <c r="L2373" s="36">
        <f>VLOOKUP($P2373,매칭테이블!$G:$J,2,0)*H2373</f>
        <v/>
      </c>
      <c r="M2373" s="36">
        <f>L2373-L2373*VLOOKUP($P2373,매칭테이블!$G:$J,3,0)</f>
        <v/>
      </c>
      <c r="N2373" s="36">
        <f>VLOOKUP($P2373,매칭테이블!$G:$J,4,0)*H2373</f>
        <v/>
      </c>
      <c r="O2373" s="52">
        <f>L2373/1.1</f>
        <v/>
      </c>
      <c r="P2373" s="36">
        <f>F2373&amp;E2373&amp;G2373&amp;J2373</f>
        <v/>
      </c>
    </row>
    <row r="2374">
      <c r="B2374" s="51" t="n">
        <v>44183</v>
      </c>
      <c r="C2374" s="36">
        <f>TEXT(B2374,"aaa")</f>
        <v/>
      </c>
      <c r="E2374" s="36">
        <f>INDEX(매칭테이블!C:C,MATCH(RD!G2374,매칭테이블!D:D,0))</f>
        <v/>
      </c>
      <c r="F2374" s="39" t="inlineStr">
        <is>
          <t>카페24</t>
        </is>
      </c>
      <c r="G2374" s="39" t="inlineStr">
        <is>
          <t>유즈 이그나이트 솔리드퍼퓸 001제품선택=이그나이트 솔리드퍼퓸 - 30ml</t>
        </is>
      </c>
      <c r="H2374" s="39" t="n">
        <v>1</v>
      </c>
      <c r="I2374" s="36">
        <f>VLOOKUP(G2374,매칭테이블!D:E,2,0)</f>
        <v/>
      </c>
      <c r="J2374" s="39" t="n">
        <v>201210</v>
      </c>
      <c r="L2374" s="36">
        <f>VLOOKUP($P2374,매칭테이블!$G:$J,2,0)*H2374</f>
        <v/>
      </c>
      <c r="M2374" s="36">
        <f>L2374-L2374*VLOOKUP($P2374,매칭테이블!$G:$J,3,0)</f>
        <v/>
      </c>
      <c r="N2374" s="36">
        <f>VLOOKUP($P2374,매칭테이블!$G:$J,4,0)*H2374</f>
        <v/>
      </c>
      <c r="O2374" s="52">
        <f>L2374/1.1</f>
        <v/>
      </c>
      <c r="P2374" s="36">
        <f>F2374&amp;E2374&amp;G2374&amp;J2374</f>
        <v/>
      </c>
    </row>
    <row r="2375">
      <c r="B2375" s="51" t="n">
        <v>44183</v>
      </c>
      <c r="C2375" s="36">
        <f>TEXT(B2375,"aaa")</f>
        <v/>
      </c>
      <c r="E2375" s="36">
        <f>INDEX(매칭테이블!C:C,MATCH(RD!G2375,매칭테이블!D:D,0))</f>
        <v/>
      </c>
      <c r="F2375" s="39" t="inlineStr">
        <is>
          <t>카페24</t>
        </is>
      </c>
      <c r="G2375" s="39" t="inlineStr">
        <is>
          <t>유즈 이그나이트 솔리드퍼퓸 001쇼핑백=선물용 쇼핑백</t>
        </is>
      </c>
      <c r="H2375" s="39" t="n">
        <v>1</v>
      </c>
      <c r="I2375" s="36">
        <f>VLOOKUP(G2375,매칭테이블!D:E,2,0)</f>
        <v/>
      </c>
      <c r="J2375" s="39" t="n">
        <v>201210</v>
      </c>
      <c r="L2375" s="36">
        <f>VLOOKUP($P2375,매칭테이블!$G:$J,2,0)*H2375</f>
        <v/>
      </c>
      <c r="M2375" s="36">
        <f>L2375-L2375*VLOOKUP($P2375,매칭테이블!$G:$J,3,0)</f>
        <v/>
      </c>
      <c r="N2375" s="36">
        <f>VLOOKUP($P2375,매칭테이블!$G:$J,4,0)*H2375</f>
        <v/>
      </c>
      <c r="O2375" s="52">
        <f>L2375/1.1</f>
        <v/>
      </c>
      <c r="P2375" s="36">
        <f>F2375&amp;E2375&amp;G2375&amp;J2375</f>
        <v/>
      </c>
    </row>
    <row r="2376">
      <c r="B2376" s="51" t="n">
        <v>44184</v>
      </c>
      <c r="C2376" s="36">
        <f>TEXT(B2376,"aaa")</f>
        <v/>
      </c>
      <c r="E2376" s="36">
        <f>INDEX(매칭테이블!C:C,MATCH(RD!G2376,매칭테이블!D:D,0))</f>
        <v/>
      </c>
      <c r="F2376" s="39" t="inlineStr">
        <is>
          <t>카페24</t>
        </is>
      </c>
      <c r="G2376" s="39" t="inlineStr">
        <is>
          <t>SHOPPING BAG</t>
        </is>
      </c>
      <c r="H2376" s="39" t="n">
        <v>2</v>
      </c>
      <c r="I2376" s="36">
        <f>VLOOKUP(G2376,매칭테이블!D:E,2,0)</f>
        <v/>
      </c>
      <c r="J2376" s="39" t="n">
        <v>201210</v>
      </c>
      <c r="L2376" s="36">
        <f>VLOOKUP($P2376,매칭테이블!$G:$J,2,0)*H2376</f>
        <v/>
      </c>
      <c r="M2376" s="36">
        <f>L2376-L2376*VLOOKUP($P2376,매칭테이블!$G:$J,3,0)</f>
        <v/>
      </c>
      <c r="N2376" s="36">
        <f>VLOOKUP($P2376,매칭테이블!$G:$J,4,0)*H2376</f>
        <v/>
      </c>
      <c r="O2376" s="52">
        <f>L2376/1.1</f>
        <v/>
      </c>
      <c r="P2376" s="36">
        <f>F2376&amp;E2376&amp;G2376&amp;J2376</f>
        <v/>
      </c>
    </row>
    <row r="2377">
      <c r="B2377" s="51" t="n">
        <v>44184</v>
      </c>
      <c r="C2377" s="36">
        <f>TEXT(B2377,"aaa")</f>
        <v/>
      </c>
      <c r="E2377" s="36">
        <f>INDEX(매칭테이블!C:C,MATCH(RD!G2377,매칭테이블!D:D,0))</f>
        <v/>
      </c>
      <c r="F2377" s="39" t="inlineStr">
        <is>
          <t>카페24</t>
        </is>
      </c>
      <c r="G2377" s="39" t="inlineStr">
        <is>
          <t>스테이포에버 솔리드퍼퓸 002 (10차 재입고 완료제품선택=스테이포에버 1개</t>
        </is>
      </c>
      <c r="H2377" s="39" t="n">
        <v>3</v>
      </c>
      <c r="I2377" s="36">
        <f>VLOOKUP(G2377,매칭테이블!D:E,2,0)</f>
        <v/>
      </c>
      <c r="J2377" s="39" t="n">
        <v>201210</v>
      </c>
      <c r="L2377" s="36">
        <f>VLOOKUP($P2377,매칭테이블!$G:$J,2,0)*H2377</f>
        <v/>
      </c>
      <c r="M2377" s="36">
        <f>L2377-L2377*VLOOKUP($P2377,매칭테이블!$G:$J,3,0)</f>
        <v/>
      </c>
      <c r="N2377" s="36">
        <f>VLOOKUP($P2377,매칭테이블!$G:$J,4,0)*H2377</f>
        <v/>
      </c>
      <c r="O2377" s="52">
        <f>L2377/1.1</f>
        <v/>
      </c>
      <c r="P2377" s="36">
        <f>F2377&amp;E2377&amp;G2377&amp;J2377</f>
        <v/>
      </c>
    </row>
    <row r="2378">
      <c r="B2378" s="51" t="n">
        <v>44184</v>
      </c>
      <c r="C2378" s="36">
        <f>TEXT(B2378,"aaa")</f>
        <v/>
      </c>
      <c r="E2378" s="36">
        <f>INDEX(매칭테이블!C:C,MATCH(RD!G2378,매칭테이블!D:D,0))</f>
        <v/>
      </c>
      <c r="F2378" s="39" t="inlineStr">
        <is>
          <t>카페24</t>
        </is>
      </c>
      <c r="G2378" s="39" t="inlineStr">
        <is>
          <t>스테이포에버 솔리드퍼퓸 002 (10차 재입고 완료제품선택=커플추천</t>
        </is>
      </c>
      <c r="H2378" s="39" t="n">
        <v>1</v>
      </c>
      <c r="I2378" s="36">
        <f>VLOOKUP(G2378,매칭테이블!D:E,2,0)</f>
        <v/>
      </c>
      <c r="J2378" s="39" t="n">
        <v>201210</v>
      </c>
      <c r="L2378" s="36">
        <f>VLOOKUP($P2378,매칭테이블!$G:$J,2,0)*H2378</f>
        <v/>
      </c>
      <c r="M2378" s="36">
        <f>L2378-L2378*VLOOKUP($P2378,매칭테이블!$G:$J,3,0)</f>
        <v/>
      </c>
      <c r="N2378" s="36">
        <f>VLOOKUP($P2378,매칭테이블!$G:$J,4,0)*H2378</f>
        <v/>
      </c>
      <c r="O2378" s="52">
        <f>L2378/1.1</f>
        <v/>
      </c>
      <c r="P2378" s="36">
        <f>F2378&amp;E2378&amp;G2378&amp;J2378</f>
        <v/>
      </c>
    </row>
    <row r="2379">
      <c r="B2379" s="51" t="n">
        <v>44184</v>
      </c>
      <c r="C2379" s="36">
        <f>TEXT(B2379,"aaa")</f>
        <v/>
      </c>
      <c r="E2379" s="36">
        <f>INDEX(매칭테이블!C:C,MATCH(RD!G2379,매칭테이블!D:D,0))</f>
        <v/>
      </c>
      <c r="F2379" s="39" t="inlineStr">
        <is>
          <t>카페24</t>
        </is>
      </c>
      <c r="G2379" s="39" t="inlineStr">
        <is>
          <t>유즈 솔리드퍼퓸 - 30ml (10차 재입고 완료향=이그나이트 001 SOLID PERFUME, 세트 선택=1개</t>
        </is>
      </c>
      <c r="H2379" s="39" t="n">
        <v>1</v>
      </c>
      <c r="I2379" s="36">
        <f>VLOOKUP(G2379,매칭테이블!D:E,2,0)</f>
        <v/>
      </c>
      <c r="J2379" s="39" t="n">
        <v>201210</v>
      </c>
      <c r="L2379" s="36">
        <f>VLOOKUP($P2379,매칭테이블!$G:$J,2,0)*H2379</f>
        <v/>
      </c>
      <c r="M2379" s="36">
        <f>L2379-L2379*VLOOKUP($P2379,매칭테이블!$G:$J,3,0)</f>
        <v/>
      </c>
      <c r="N2379" s="36">
        <f>VLOOKUP($P2379,매칭테이블!$G:$J,4,0)*H2379</f>
        <v/>
      </c>
      <c r="O2379" s="52">
        <f>L2379/1.1</f>
        <v/>
      </c>
      <c r="P2379" s="36">
        <f>F2379&amp;E2379&amp;G2379&amp;J2379</f>
        <v/>
      </c>
    </row>
    <row r="2380">
      <c r="B2380" s="51" t="n">
        <v>44184</v>
      </c>
      <c r="C2380" s="36">
        <f>TEXT(B2380,"aaa")</f>
        <v/>
      </c>
      <c r="E2380" s="36">
        <f>INDEX(매칭테이블!C:C,MATCH(RD!G2380,매칭테이블!D:D,0))</f>
        <v/>
      </c>
      <c r="F2380" s="39" t="inlineStr">
        <is>
          <t>카페24</t>
        </is>
      </c>
      <c r="G2380" s="39" t="inlineStr">
        <is>
          <t>유즈 솔리드퍼퓸 - 30ml (10차 재입고 완료향=스테이포에버 002 SOLID PERFUME, 세트 선택=1개</t>
        </is>
      </c>
      <c r="H2380" s="39" t="n">
        <v>7</v>
      </c>
      <c r="I2380" s="36">
        <f>VLOOKUP(G2380,매칭테이블!D:E,2,0)</f>
        <v/>
      </c>
      <c r="J2380" s="39" t="n">
        <v>201210</v>
      </c>
      <c r="L2380" s="36">
        <f>VLOOKUP($P2380,매칭테이블!$G:$J,2,0)*H2380</f>
        <v/>
      </c>
      <c r="M2380" s="36">
        <f>L2380-L2380*VLOOKUP($P2380,매칭테이블!$G:$J,3,0)</f>
        <v/>
      </c>
      <c r="N2380" s="36">
        <f>VLOOKUP($P2380,매칭테이블!$G:$J,4,0)*H2380</f>
        <v/>
      </c>
      <c r="O2380" s="52">
        <f>L2380/1.1</f>
        <v/>
      </c>
      <c r="P2380" s="36">
        <f>F2380&amp;E2380&amp;G2380&amp;J2380</f>
        <v/>
      </c>
    </row>
    <row r="2381">
      <c r="B2381" s="51" t="n">
        <v>44184</v>
      </c>
      <c r="C2381" s="36">
        <f>TEXT(B2381,"aaa")</f>
        <v/>
      </c>
      <c r="E2381" s="36">
        <f>INDEX(매칭테이블!C:C,MATCH(RD!G2381,매칭테이블!D:D,0))</f>
        <v/>
      </c>
      <c r="F2381" s="39" t="inlineStr">
        <is>
          <t>카페24</t>
        </is>
      </c>
      <c r="G2381" s="39" t="inlineStr">
        <is>
          <t>유즈 솔리드퍼퓸 - 30ml (10차 재입고 완료향=스테이포에버 002 SOLID PERFUME, 세트 선택=best</t>
        </is>
      </c>
      <c r="H2381" s="39" t="n">
        <v>4</v>
      </c>
      <c r="I2381" s="36">
        <f>VLOOKUP(G2381,매칭테이블!D:E,2,0)</f>
        <v/>
      </c>
      <c r="J2381" s="39" t="n">
        <v>201210</v>
      </c>
      <c r="L2381" s="36">
        <f>VLOOKUP($P2381,매칭테이블!$G:$J,2,0)*H2381</f>
        <v/>
      </c>
      <c r="M2381" s="36">
        <f>L2381-L2381*VLOOKUP($P2381,매칭테이블!$G:$J,3,0)</f>
        <v/>
      </c>
      <c r="N2381" s="36">
        <f>VLOOKUP($P2381,매칭테이블!$G:$J,4,0)*H2381</f>
        <v/>
      </c>
      <c r="O2381" s="52">
        <f>L2381/1.1</f>
        <v/>
      </c>
      <c r="P2381" s="36">
        <f>F2381&amp;E2381&amp;G2381&amp;J2381</f>
        <v/>
      </c>
    </row>
    <row r="2382">
      <c r="B2382" s="51" t="n">
        <v>44184</v>
      </c>
      <c r="C2382" s="36">
        <f>TEXT(B2382,"aaa")</f>
        <v/>
      </c>
      <c r="E2382" s="36">
        <f>INDEX(매칭테이블!C:C,MATCH(RD!G2382,매칭테이블!D:D,0))</f>
        <v/>
      </c>
      <c r="F2382" s="39" t="inlineStr">
        <is>
          <t>카페24</t>
        </is>
      </c>
      <c r="G2382" s="39" t="inlineStr">
        <is>
          <t>유즈 솔리드퍼퓸 - 30ml (10차 재입고 완료향=커플세트</t>
        </is>
      </c>
      <c r="H2382" s="39" t="n">
        <v>6</v>
      </c>
      <c r="I2382" s="36">
        <f>VLOOKUP(G2382,매칭테이블!D:E,2,0)</f>
        <v/>
      </c>
      <c r="J2382" s="39" t="n">
        <v>201210</v>
      </c>
      <c r="L2382" s="36">
        <f>VLOOKUP($P2382,매칭테이블!$G:$J,2,0)*H2382</f>
        <v/>
      </c>
      <c r="M2382" s="36">
        <f>L2382-L2382*VLOOKUP($P2382,매칭테이블!$G:$J,3,0)</f>
        <v/>
      </c>
      <c r="N2382" s="36">
        <f>VLOOKUP($P2382,매칭테이블!$G:$J,4,0)*H2382</f>
        <v/>
      </c>
      <c r="O2382" s="52">
        <f>L2382/1.1</f>
        <v/>
      </c>
      <c r="P2382" s="36">
        <f>F2382&amp;E2382&amp;G2382&amp;J2382</f>
        <v/>
      </c>
    </row>
    <row r="2383">
      <c r="B2383" s="51" t="n">
        <v>44184</v>
      </c>
      <c r="C2383" s="36">
        <f>TEXT(B2383,"aaa")</f>
        <v/>
      </c>
      <c r="E2383" s="36">
        <f>INDEX(매칭테이블!C:C,MATCH(RD!G2383,매칭테이블!D:D,0))</f>
        <v/>
      </c>
      <c r="F2383" s="39" t="inlineStr">
        <is>
          <t>카페24</t>
        </is>
      </c>
      <c r="G2383" s="39" t="inlineStr">
        <is>
          <t>유즈 솔리드퍼퓸 - 30ml (10차 재입고 완료향=커플세트</t>
        </is>
      </c>
      <c r="H2383" s="39" t="n">
        <v>2</v>
      </c>
      <c r="I2383" s="36">
        <f>VLOOKUP(G2383,매칭테이블!D:E,2,0)</f>
        <v/>
      </c>
      <c r="J2383" s="39" t="n">
        <v>201210</v>
      </c>
      <c r="L2383" s="36">
        <f>VLOOKUP($P2383,매칭테이블!$G:$J,2,0)*H2383</f>
        <v/>
      </c>
      <c r="M2383" s="36">
        <f>L2383-L2383*VLOOKUP($P2383,매칭테이블!$G:$J,3,0)</f>
        <v/>
      </c>
      <c r="N2383" s="36">
        <f>VLOOKUP($P2383,매칭테이블!$G:$J,4,0)*H2383</f>
        <v/>
      </c>
      <c r="O2383" s="52">
        <f>L2383/1.1</f>
        <v/>
      </c>
      <c r="P2383" s="36">
        <f>F2383&amp;E2383&amp;G2383&amp;J2383</f>
        <v/>
      </c>
    </row>
    <row r="2384">
      <c r="B2384" s="51" t="n">
        <v>44184</v>
      </c>
      <c r="C2384" s="36">
        <f>TEXT(B2384,"aaa")</f>
        <v/>
      </c>
      <c r="E2384" s="36">
        <f>INDEX(매칭테이블!C:C,MATCH(RD!G2384,매칭테이블!D:D,0))</f>
        <v/>
      </c>
      <c r="F2384" s="39" t="inlineStr">
        <is>
          <t>카페24</t>
        </is>
      </c>
      <c r="G2384" s="39" t="inlineStr">
        <is>
          <t>유즈 솔리드퍼퓸 - 30ml (10차 재입고 완료 )향=이그나이트 001 SOLID PERFUME, 세트 선택=best 2개 (28% 할인)</t>
        </is>
      </c>
      <c r="H2384" s="39" t="n">
        <v>1</v>
      </c>
      <c r="I2384" s="36">
        <f>VLOOKUP(G2384,매칭테이블!D:E,2,0)</f>
        <v/>
      </c>
      <c r="J2384" s="39" t="n">
        <v>201210</v>
      </c>
      <c r="L2384" s="36">
        <f>VLOOKUP($P2384,매칭테이블!$G:$J,2,0)*H2384</f>
        <v/>
      </c>
      <c r="M2384" s="36">
        <f>L2384-L2384*VLOOKUP($P2384,매칭테이블!$G:$J,3,0)</f>
        <v/>
      </c>
      <c r="N2384" s="36">
        <f>VLOOKUP($P2384,매칭테이블!$G:$J,4,0)*H2384</f>
        <v/>
      </c>
      <c r="O2384" s="52">
        <f>L2384/1.1</f>
        <v/>
      </c>
      <c r="P2384" s="36">
        <f>F2384&amp;E2384&amp;G2384&amp;J2384</f>
        <v/>
      </c>
    </row>
    <row r="2385">
      <c r="B2385" s="51" t="n">
        <v>44184</v>
      </c>
      <c r="C2385" s="36">
        <f>TEXT(B2385,"aaa")</f>
        <v/>
      </c>
      <c r="E2385" s="36">
        <f>INDEX(매칭테이블!C:C,MATCH(RD!G2385,매칭테이블!D:D,0))</f>
        <v/>
      </c>
      <c r="F2385" s="39" t="inlineStr">
        <is>
          <t>카페24</t>
        </is>
      </c>
      <c r="G2385" s="39" t="inlineStr">
        <is>
          <t>유즈 솔리드퍼퓸 - 30ml (10차 재입고 완료 )향=스테이포에버 002 SOLID PERFUME, 세트 선택=1개</t>
        </is>
      </c>
      <c r="H2385" s="39" t="n">
        <v>12</v>
      </c>
      <c r="I2385" s="36">
        <f>VLOOKUP(G2385,매칭테이블!D:E,2,0)</f>
        <v/>
      </c>
      <c r="J2385" s="39" t="n">
        <v>201210</v>
      </c>
      <c r="L2385" s="36">
        <f>VLOOKUP($P2385,매칭테이블!$G:$J,2,0)*H2385</f>
        <v/>
      </c>
      <c r="M2385" s="36">
        <f>L2385-L2385*VLOOKUP($P2385,매칭테이블!$G:$J,3,0)</f>
        <v/>
      </c>
      <c r="N2385" s="36">
        <f>VLOOKUP($P2385,매칭테이블!$G:$J,4,0)*H2385</f>
        <v/>
      </c>
      <c r="O2385" s="52">
        <f>L2385/1.1</f>
        <v/>
      </c>
      <c r="P2385" s="36">
        <f>F2385&amp;E2385&amp;G2385&amp;J2385</f>
        <v/>
      </c>
    </row>
    <row r="2386">
      <c r="B2386" s="51" t="n">
        <v>44184</v>
      </c>
      <c r="C2386" s="36">
        <f>TEXT(B2386,"aaa")</f>
        <v/>
      </c>
      <c r="E2386" s="36">
        <f>INDEX(매칭테이블!C:C,MATCH(RD!G2386,매칭테이블!D:D,0))</f>
        <v/>
      </c>
      <c r="F2386" s="39" t="inlineStr">
        <is>
          <t>카페24</t>
        </is>
      </c>
      <c r="G2386" s="39" t="inlineStr">
        <is>
          <t>유즈 솔리드퍼퓸 - 30ml (10차 재입고 완료 )향=스테이포에버 002 SOLID PERFUME, 세트 선택=best 2개 (28% 할인)</t>
        </is>
      </c>
      <c r="H2386" s="39" t="n">
        <v>2</v>
      </c>
      <c r="I2386" s="36">
        <f>VLOOKUP(G2386,매칭테이블!D:E,2,0)</f>
        <v/>
      </c>
      <c r="J2386" s="39" t="n">
        <v>201210</v>
      </c>
      <c r="L2386" s="36">
        <f>VLOOKUP($P2386,매칭테이블!$G:$J,2,0)*H2386</f>
        <v/>
      </c>
      <c r="M2386" s="36">
        <f>L2386-L2386*VLOOKUP($P2386,매칭테이블!$G:$J,3,0)</f>
        <v/>
      </c>
      <c r="N2386" s="36">
        <f>VLOOKUP($P2386,매칭테이블!$G:$J,4,0)*H2386</f>
        <v/>
      </c>
      <c r="O2386" s="52">
        <f>L2386/1.1</f>
        <v/>
      </c>
      <c r="P2386" s="36">
        <f>F2386&amp;E2386&amp;G2386&amp;J2386</f>
        <v/>
      </c>
    </row>
    <row r="2387">
      <c r="B2387" s="51" t="n">
        <v>44184</v>
      </c>
      <c r="C2387" s="36">
        <f>TEXT(B2387,"aaa")</f>
        <v/>
      </c>
      <c r="E2387" s="36">
        <f>INDEX(매칭테이블!C:C,MATCH(RD!G2387,매칭테이블!D:D,0))</f>
        <v/>
      </c>
      <c r="F2387" s="39" t="inlineStr">
        <is>
          <t>카페24</t>
        </is>
      </c>
      <c r="G2387" s="39" t="inlineStr">
        <is>
          <t>유즈 솔리드퍼퓸 - 30ml (10차 재입고 완료 )향=커플세트(이그나이트 + 스테이포에버), 세트 선택=1 SET</t>
        </is>
      </c>
      <c r="H2387" s="39" t="n">
        <v>2</v>
      </c>
      <c r="I2387" s="36">
        <f>VLOOKUP(G2387,매칭테이블!D:E,2,0)</f>
        <v/>
      </c>
      <c r="J2387" s="39" t="n">
        <v>201210</v>
      </c>
      <c r="L2387" s="36">
        <f>VLOOKUP($P2387,매칭테이블!$G:$J,2,0)*H2387</f>
        <v/>
      </c>
      <c r="M2387" s="36">
        <f>L2387-L2387*VLOOKUP($P2387,매칭테이블!$G:$J,3,0)</f>
        <v/>
      </c>
      <c r="N2387" s="36">
        <f>VLOOKUP($P2387,매칭테이블!$G:$J,4,0)*H2387</f>
        <v/>
      </c>
      <c r="O2387" s="52">
        <f>L2387/1.1</f>
        <v/>
      </c>
      <c r="P2387" s="36">
        <f>F2387&amp;E2387&amp;G2387&amp;J2387</f>
        <v/>
      </c>
    </row>
    <row r="2388">
      <c r="B2388" s="51" t="n">
        <v>44184</v>
      </c>
      <c r="C2388" s="36">
        <f>TEXT(B2388,"aaa")</f>
        <v/>
      </c>
      <c r="E2388" s="36">
        <f>INDEX(매칭테이블!C:C,MATCH(RD!G2388,매칭테이블!D:D,0))</f>
        <v/>
      </c>
      <c r="F2388" s="39" t="inlineStr">
        <is>
          <t>카페24</t>
        </is>
      </c>
      <c r="G2388" s="39" t="inlineStr">
        <is>
          <t>유즈 스테이포에버 솔리드퍼퓸 002 (10차 재입고 완료제품선택=스테이포에버 1개</t>
        </is>
      </c>
      <c r="H2388" s="39" t="n">
        <v>113</v>
      </c>
      <c r="I2388" s="36">
        <f>VLOOKUP(G2388,매칭테이블!D:E,2,0)</f>
        <v/>
      </c>
      <c r="J2388" s="39" t="n">
        <v>201210</v>
      </c>
      <c r="L2388" s="36">
        <f>VLOOKUP($P2388,매칭테이블!$G:$J,2,0)*H2388</f>
        <v/>
      </c>
      <c r="M2388" s="36">
        <f>L2388-L2388*VLOOKUP($P2388,매칭테이블!$G:$J,3,0)</f>
        <v/>
      </c>
      <c r="N2388" s="36">
        <f>VLOOKUP($P2388,매칭테이블!$G:$J,4,0)*H2388</f>
        <v/>
      </c>
      <c r="O2388" s="52">
        <f>L2388/1.1</f>
        <v/>
      </c>
      <c r="P2388" s="36">
        <f>F2388&amp;E2388&amp;G2388&amp;J2388</f>
        <v/>
      </c>
    </row>
    <row r="2389">
      <c r="B2389" s="51" t="n">
        <v>44184</v>
      </c>
      <c r="C2389" s="36">
        <f>TEXT(B2389,"aaa")</f>
        <v/>
      </c>
      <c r="E2389" s="36">
        <f>INDEX(매칭테이블!C:C,MATCH(RD!G2389,매칭테이블!D:D,0))</f>
        <v/>
      </c>
      <c r="F2389" s="39" t="inlineStr">
        <is>
          <t>카페24</t>
        </is>
      </c>
      <c r="G2389" s="39" t="inlineStr">
        <is>
          <t>유즈 스테이포에버 솔리드퍼퓸 002 (10차 재입고 완료제품선택=best</t>
        </is>
      </c>
      <c r="H2389" s="39" t="n">
        <v>59</v>
      </c>
      <c r="I2389" s="36">
        <f>VLOOKUP(G2389,매칭테이블!D:E,2,0)</f>
        <v/>
      </c>
      <c r="J2389" s="39" t="n">
        <v>201210</v>
      </c>
      <c r="L2389" s="36">
        <f>VLOOKUP($P2389,매칭테이블!$G:$J,2,0)*H2389</f>
        <v/>
      </c>
      <c r="M2389" s="36">
        <f>L2389-L2389*VLOOKUP($P2389,매칭테이블!$G:$J,3,0)</f>
        <v/>
      </c>
      <c r="N2389" s="36">
        <f>VLOOKUP($P2389,매칭테이블!$G:$J,4,0)*H2389</f>
        <v/>
      </c>
      <c r="O2389" s="52">
        <f>L2389/1.1</f>
        <v/>
      </c>
      <c r="P2389" s="36">
        <f>F2389&amp;E2389&amp;G2389&amp;J2389</f>
        <v/>
      </c>
    </row>
    <row r="2390">
      <c r="B2390" s="51" t="n">
        <v>44184</v>
      </c>
      <c r="C2390" s="36">
        <f>TEXT(B2390,"aaa")</f>
        <v/>
      </c>
      <c r="E2390" s="36">
        <f>INDEX(매칭테이블!C:C,MATCH(RD!G2390,매칭테이블!D:D,0))</f>
        <v/>
      </c>
      <c r="F2390" s="39" t="inlineStr">
        <is>
          <t>카페24</t>
        </is>
      </c>
      <c r="G2390" s="39" t="inlineStr">
        <is>
          <t>유즈 스테이포에버 솔리드퍼퓸 002 (10차 재입고 완료제품선택=커플추천</t>
        </is>
      </c>
      <c r="H2390" s="39" t="n">
        <v>6</v>
      </c>
      <c r="I2390" s="36">
        <f>VLOOKUP(G2390,매칭테이블!D:E,2,0)</f>
        <v/>
      </c>
      <c r="J2390" s="39" t="n">
        <v>201210</v>
      </c>
      <c r="L2390" s="36">
        <f>VLOOKUP($P2390,매칭테이블!$G:$J,2,0)*H2390</f>
        <v/>
      </c>
      <c r="M2390" s="36">
        <f>L2390-L2390*VLOOKUP($P2390,매칭테이블!$G:$J,3,0)</f>
        <v/>
      </c>
      <c r="N2390" s="36">
        <f>VLOOKUP($P2390,매칭테이블!$G:$J,4,0)*H2390</f>
        <v/>
      </c>
      <c r="O2390" s="52">
        <f>L2390/1.1</f>
        <v/>
      </c>
      <c r="P2390" s="36">
        <f>F2390&amp;E2390&amp;G2390&amp;J2390</f>
        <v/>
      </c>
    </row>
    <row r="2391">
      <c r="B2391" s="51" t="n">
        <v>44184</v>
      </c>
      <c r="C2391" s="36">
        <f>TEXT(B2391,"aaa")</f>
        <v/>
      </c>
      <c r="E2391" s="36">
        <f>INDEX(매칭테이블!C:C,MATCH(RD!G2391,매칭테이블!D:D,0))</f>
        <v/>
      </c>
      <c r="F2391" s="39" t="inlineStr">
        <is>
          <t>카페24</t>
        </is>
      </c>
      <c r="G2391" s="39" t="inlineStr">
        <is>
          <t>유즈 스테이포에버 솔리드퍼퓸 002 (10차 재입고 완료쇼핑백=선물용 쇼핑백</t>
        </is>
      </c>
      <c r="H2391" s="39" t="n">
        <v>7</v>
      </c>
      <c r="I2391" s="36">
        <f>VLOOKUP(G2391,매칭테이블!D:E,2,0)</f>
        <v/>
      </c>
      <c r="J2391" s="39" t="n">
        <v>201210</v>
      </c>
      <c r="L2391" s="36">
        <f>VLOOKUP($P2391,매칭테이블!$G:$J,2,0)*H2391</f>
        <v/>
      </c>
      <c r="M2391" s="36">
        <f>L2391-L2391*VLOOKUP($P2391,매칭테이블!$G:$J,3,0)</f>
        <v/>
      </c>
      <c r="N2391" s="36">
        <f>VLOOKUP($P2391,매칭테이블!$G:$J,4,0)*H2391</f>
        <v/>
      </c>
      <c r="O2391" s="52">
        <f>L2391/1.1</f>
        <v/>
      </c>
      <c r="P2391" s="36">
        <f>F2391&amp;E2391&amp;G2391&amp;J2391</f>
        <v/>
      </c>
    </row>
    <row r="2392">
      <c r="B2392" s="51" t="n">
        <v>44184</v>
      </c>
      <c r="C2392" s="36">
        <f>TEXT(B2392,"aaa")</f>
        <v/>
      </c>
      <c r="E2392" s="36">
        <f>INDEX(매칭테이블!C:C,MATCH(RD!G2392,매칭테이블!D:D,0))</f>
        <v/>
      </c>
      <c r="F2392" s="39" t="inlineStr">
        <is>
          <t>카페24</t>
        </is>
      </c>
      <c r="G2392" s="39" t="inlineStr">
        <is>
          <t>유즈 스테이포에버 솔리드퍼퓸 002 (10차 재입고 완료)제품선택=스테이포에버 1개</t>
        </is>
      </c>
      <c r="H2392" s="39" t="n">
        <v>190</v>
      </c>
      <c r="I2392" s="36">
        <f>VLOOKUP(G2392,매칭테이블!D:E,2,0)</f>
        <v/>
      </c>
      <c r="J2392" s="39" t="n">
        <v>201210</v>
      </c>
      <c r="L2392" s="36">
        <f>VLOOKUP($P2392,매칭테이블!$G:$J,2,0)*H2392</f>
        <v/>
      </c>
      <c r="M2392" s="36">
        <f>L2392-L2392*VLOOKUP($P2392,매칭테이블!$G:$J,3,0)</f>
        <v/>
      </c>
      <c r="N2392" s="36">
        <f>VLOOKUP($P2392,매칭테이블!$G:$J,4,0)*H2392</f>
        <v/>
      </c>
      <c r="O2392" s="52">
        <f>L2392/1.1</f>
        <v/>
      </c>
      <c r="P2392" s="36">
        <f>F2392&amp;E2392&amp;G2392&amp;J2392</f>
        <v/>
      </c>
    </row>
    <row r="2393">
      <c r="B2393" s="51" t="n">
        <v>44184</v>
      </c>
      <c r="C2393" s="36">
        <f>TEXT(B2393,"aaa")</f>
        <v/>
      </c>
      <c r="E2393" s="36">
        <f>INDEX(매칭테이블!C:C,MATCH(RD!G2393,매칭테이블!D:D,0))</f>
        <v/>
      </c>
      <c r="F2393" s="39" t="inlineStr">
        <is>
          <t>카페24</t>
        </is>
      </c>
      <c r="G2393" s="39" t="inlineStr">
        <is>
          <t>유즈 스테이포에버 솔리드퍼퓸 002 (10차 재입고 완료)제품선택=best스테이포에버 2개[28% 할인]</t>
        </is>
      </c>
      <c r="H2393" s="39" t="n">
        <v>59</v>
      </c>
      <c r="I2393" s="36">
        <f>VLOOKUP(G2393,매칭테이블!D:E,2,0)</f>
        <v/>
      </c>
      <c r="J2393" s="39" t="n">
        <v>201210</v>
      </c>
      <c r="L2393" s="36">
        <f>VLOOKUP($P2393,매칭테이블!$G:$J,2,0)*H2393</f>
        <v/>
      </c>
      <c r="M2393" s="36">
        <f>L2393-L2393*VLOOKUP($P2393,매칭테이블!$G:$J,3,0)</f>
        <v/>
      </c>
      <c r="N2393" s="36">
        <f>VLOOKUP($P2393,매칭테이블!$G:$J,4,0)*H2393</f>
        <v/>
      </c>
      <c r="O2393" s="52">
        <f>L2393/1.1</f>
        <v/>
      </c>
      <c r="P2393" s="36">
        <f>F2393&amp;E2393&amp;G2393&amp;J2393</f>
        <v/>
      </c>
    </row>
    <row r="2394">
      <c r="B2394" s="51" t="n">
        <v>44184</v>
      </c>
      <c r="C2394" s="36">
        <f>TEXT(B2394,"aaa")</f>
        <v/>
      </c>
      <c r="E2394" s="36">
        <f>INDEX(매칭테이블!C:C,MATCH(RD!G2394,매칭테이블!D:D,0))</f>
        <v/>
      </c>
      <c r="F2394" s="39" t="inlineStr">
        <is>
          <t>카페24</t>
        </is>
      </c>
      <c r="G2394" s="39" t="inlineStr">
        <is>
          <t>유즈 스테이포에버 솔리드퍼퓸 002 (10차 재입고 완료)제품선택=커플추천스테이포에버 + 이그나이트 세트</t>
        </is>
      </c>
      <c r="H2394" s="39" t="n">
        <v>10</v>
      </c>
      <c r="I2394" s="36">
        <f>VLOOKUP(G2394,매칭테이블!D:E,2,0)</f>
        <v/>
      </c>
      <c r="J2394" s="39" t="n">
        <v>201210</v>
      </c>
      <c r="L2394" s="36">
        <f>VLOOKUP($P2394,매칭테이블!$G:$J,2,0)*H2394</f>
        <v/>
      </c>
      <c r="M2394" s="36">
        <f>L2394-L2394*VLOOKUP($P2394,매칭테이블!$G:$J,3,0)</f>
        <v/>
      </c>
      <c r="N2394" s="36">
        <f>VLOOKUP($P2394,매칭테이블!$G:$J,4,0)*H2394</f>
        <v/>
      </c>
      <c r="O2394" s="52">
        <f>L2394/1.1</f>
        <v/>
      </c>
      <c r="P2394" s="36">
        <f>F2394&amp;E2394&amp;G2394&amp;J2394</f>
        <v/>
      </c>
    </row>
    <row r="2395">
      <c r="B2395" s="51" t="n">
        <v>44184</v>
      </c>
      <c r="C2395" s="36">
        <f>TEXT(B2395,"aaa")</f>
        <v/>
      </c>
      <c r="E2395" s="36">
        <f>INDEX(매칭테이블!C:C,MATCH(RD!G2395,매칭테이블!D:D,0))</f>
        <v/>
      </c>
      <c r="F2395" s="39" t="inlineStr">
        <is>
          <t>카페24</t>
        </is>
      </c>
      <c r="G2395" s="39" t="inlineStr">
        <is>
          <t>유즈 스테이포에버 솔리드퍼퓸 002 (10차 재입고 완료)쇼핑백=선물용 쇼핑백</t>
        </is>
      </c>
      <c r="H2395" s="39" t="n">
        <v>9</v>
      </c>
      <c r="I2395" s="36">
        <f>VLOOKUP(G2395,매칭테이블!D:E,2,0)</f>
        <v/>
      </c>
      <c r="J2395" s="39" t="n">
        <v>201210</v>
      </c>
      <c r="L2395" s="36">
        <f>VLOOKUP($P2395,매칭테이블!$G:$J,2,0)*H2395</f>
        <v/>
      </c>
      <c r="M2395" s="36">
        <f>L2395-L2395*VLOOKUP($P2395,매칭테이블!$G:$J,3,0)</f>
        <v/>
      </c>
      <c r="N2395" s="36">
        <f>VLOOKUP($P2395,매칭테이블!$G:$J,4,0)*H2395</f>
        <v/>
      </c>
      <c r="O2395" s="52">
        <f>L2395/1.1</f>
        <v/>
      </c>
      <c r="P2395" s="36">
        <f>F2395&amp;E2395&amp;G2395&amp;J2395</f>
        <v/>
      </c>
    </row>
    <row r="2396">
      <c r="B2396" s="51" t="n">
        <v>44184</v>
      </c>
      <c r="C2396" s="36">
        <f>TEXT(B2396,"aaa")</f>
        <v/>
      </c>
      <c r="E2396" s="36">
        <f>INDEX(매칭테이블!C:C,MATCH(RD!G2396,매칭테이블!D:D,0))</f>
        <v/>
      </c>
      <c r="F2396" s="39" t="inlineStr">
        <is>
          <t>카페24</t>
        </is>
      </c>
      <c r="G2396" s="39" t="inlineStr">
        <is>
          <t>유즈 이그나이트 솔리드퍼퓸 001제품선택=이그나이트 솔리드퍼퓸 - 30ml</t>
        </is>
      </c>
      <c r="H2396" s="39" t="n">
        <v>2</v>
      </c>
      <c r="I2396" s="36">
        <f>VLOOKUP(G2396,매칭테이블!D:E,2,0)</f>
        <v/>
      </c>
      <c r="J2396" s="39" t="n">
        <v>201210</v>
      </c>
      <c r="L2396" s="36">
        <f>VLOOKUP($P2396,매칭테이블!$G:$J,2,0)*H2396</f>
        <v/>
      </c>
      <c r="M2396" s="36">
        <f>L2396-L2396*VLOOKUP($P2396,매칭테이블!$G:$J,3,0)</f>
        <v/>
      </c>
      <c r="N2396" s="36">
        <f>VLOOKUP($P2396,매칭테이블!$G:$J,4,0)*H2396</f>
        <v/>
      </c>
      <c r="O2396" s="52">
        <f>L2396/1.1</f>
        <v/>
      </c>
      <c r="P2396" s="36">
        <f>F2396&amp;E2396&amp;G2396&amp;J2396</f>
        <v/>
      </c>
    </row>
    <row r="2397">
      <c r="B2397" s="51" t="n">
        <v>44184</v>
      </c>
      <c r="C2397" s="36">
        <f>TEXT(B2397,"aaa")</f>
        <v/>
      </c>
      <c r="E2397" s="36">
        <f>INDEX(매칭테이블!C:C,MATCH(RD!G2397,매칭테이블!D:D,0))</f>
        <v/>
      </c>
      <c r="F2397" s="39" t="inlineStr">
        <is>
          <t>카페24</t>
        </is>
      </c>
      <c r="G2397" s="39" t="inlineStr">
        <is>
          <t>유즈 이그나이트 솔리드퍼퓸 001제품선택=이그나이트 2개 세트</t>
        </is>
      </c>
      <c r="H2397" s="39" t="n">
        <v>1</v>
      </c>
      <c r="I2397" s="36">
        <f>VLOOKUP(G2397,매칭테이블!D:E,2,0)</f>
        <v/>
      </c>
      <c r="J2397" s="39" t="n">
        <v>201210</v>
      </c>
      <c r="L2397" s="36">
        <f>VLOOKUP($P2397,매칭테이블!$G:$J,2,0)*H2397</f>
        <v/>
      </c>
      <c r="M2397" s="36">
        <f>L2397-L2397*VLOOKUP($P2397,매칭테이블!$G:$J,3,0)</f>
        <v/>
      </c>
      <c r="N2397" s="36">
        <f>VLOOKUP($P2397,매칭테이블!$G:$J,4,0)*H2397</f>
        <v/>
      </c>
      <c r="O2397" s="52">
        <f>L2397/1.1</f>
        <v/>
      </c>
      <c r="P2397" s="36">
        <f>F2397&amp;E2397&amp;G2397&amp;J2397</f>
        <v/>
      </c>
    </row>
    <row r="2398">
      <c r="B2398" s="51" t="n">
        <v>44185</v>
      </c>
      <c r="C2398" s="36">
        <f>TEXT(B2398,"aaa")</f>
        <v/>
      </c>
      <c r="E2398" s="36">
        <f>INDEX(매칭테이블!C:C,MATCH(RD!G2398,매칭테이블!D:D,0))</f>
        <v/>
      </c>
      <c r="F2398" s="39" t="inlineStr">
        <is>
          <t>카페24</t>
        </is>
      </c>
      <c r="G2398" s="39" t="inlineStr">
        <is>
          <t>SHOPPING BAG</t>
        </is>
      </c>
      <c r="H2398" s="39" t="n">
        <v>1</v>
      </c>
      <c r="I2398" s="36">
        <f>VLOOKUP(G2398,매칭테이블!D:E,2,0)</f>
        <v/>
      </c>
      <c r="J2398" s="39" t="n">
        <v>201210</v>
      </c>
      <c r="L2398" s="36">
        <f>VLOOKUP($P2398,매칭테이블!$G:$J,2,0)*H2398</f>
        <v/>
      </c>
      <c r="M2398" s="36">
        <f>L2398-L2398*VLOOKUP($P2398,매칭테이블!$G:$J,3,0)</f>
        <v/>
      </c>
      <c r="N2398" s="36">
        <f>VLOOKUP($P2398,매칭테이블!$G:$J,4,0)*H2398</f>
        <v/>
      </c>
      <c r="O2398" s="52">
        <f>L2398/1.1</f>
        <v/>
      </c>
      <c r="P2398" s="36">
        <f>F2398&amp;E2398&amp;G2398&amp;J2398</f>
        <v/>
      </c>
    </row>
    <row r="2399">
      <c r="B2399" s="51" t="n">
        <v>44185</v>
      </c>
      <c r="C2399" s="36">
        <f>TEXT(B2399,"aaa")</f>
        <v/>
      </c>
      <c r="E2399" s="36">
        <f>INDEX(매칭테이블!C:C,MATCH(RD!G2399,매칭테이블!D:D,0))</f>
        <v/>
      </c>
      <c r="F2399" s="39" t="inlineStr">
        <is>
          <t>카페24</t>
        </is>
      </c>
      <c r="G2399" s="39" t="inlineStr">
        <is>
          <t>유즈 솔리드퍼퓸 - 30ml (10차 재입고 완료향=스테이포에버 002 SOLID PERFUME, 세트 선택=1개</t>
        </is>
      </c>
      <c r="H2399" s="39" t="n">
        <v>5</v>
      </c>
      <c r="I2399" s="36">
        <f>VLOOKUP(G2399,매칭테이블!D:E,2,0)</f>
        <v/>
      </c>
      <c r="J2399" s="39" t="n">
        <v>201210</v>
      </c>
      <c r="L2399" s="36">
        <f>VLOOKUP($P2399,매칭테이블!$G:$J,2,0)*H2399</f>
        <v/>
      </c>
      <c r="M2399" s="36">
        <f>L2399-L2399*VLOOKUP($P2399,매칭테이블!$G:$J,3,0)</f>
        <v/>
      </c>
      <c r="N2399" s="36">
        <f>VLOOKUP($P2399,매칭테이블!$G:$J,4,0)*H2399</f>
        <v/>
      </c>
      <c r="O2399" s="52">
        <f>L2399/1.1</f>
        <v/>
      </c>
      <c r="P2399" s="36">
        <f>F2399&amp;E2399&amp;G2399&amp;J2399</f>
        <v/>
      </c>
    </row>
    <row r="2400">
      <c r="B2400" s="51" t="n">
        <v>44185</v>
      </c>
      <c r="C2400" s="36">
        <f>TEXT(B2400,"aaa")</f>
        <v/>
      </c>
      <c r="E2400" s="36">
        <f>INDEX(매칭테이블!C:C,MATCH(RD!G2400,매칭테이블!D:D,0))</f>
        <v/>
      </c>
      <c r="F2400" s="39" t="inlineStr">
        <is>
          <t>카페24</t>
        </is>
      </c>
      <c r="G2400" s="39" t="inlineStr">
        <is>
          <t>유즈 솔리드퍼퓸 - 30ml (10차 재입고 완료향=커플세트</t>
        </is>
      </c>
      <c r="H2400" s="39" t="n">
        <v>5</v>
      </c>
      <c r="I2400" s="36">
        <f>VLOOKUP(G2400,매칭테이블!D:E,2,0)</f>
        <v/>
      </c>
      <c r="J2400" s="39" t="n">
        <v>201210</v>
      </c>
      <c r="L2400" s="36">
        <f>VLOOKUP($P2400,매칭테이블!$G:$J,2,0)*H2400</f>
        <v/>
      </c>
      <c r="M2400" s="36">
        <f>L2400-L2400*VLOOKUP($P2400,매칭테이블!$G:$J,3,0)</f>
        <v/>
      </c>
      <c r="N2400" s="36">
        <f>VLOOKUP($P2400,매칭테이블!$G:$J,4,0)*H2400</f>
        <v/>
      </c>
      <c r="O2400" s="52">
        <f>L2400/1.1</f>
        <v/>
      </c>
      <c r="P2400" s="36">
        <f>F2400&amp;E2400&amp;G2400&amp;J2400</f>
        <v/>
      </c>
    </row>
    <row r="2401">
      <c r="B2401" s="51" t="n">
        <v>44185</v>
      </c>
      <c r="C2401" s="36">
        <f>TEXT(B2401,"aaa")</f>
        <v/>
      </c>
      <c r="E2401" s="36">
        <f>INDEX(매칭테이블!C:C,MATCH(RD!G2401,매칭테이블!D:D,0))</f>
        <v/>
      </c>
      <c r="F2401" s="39" t="inlineStr">
        <is>
          <t>카페24</t>
        </is>
      </c>
      <c r="G2401" s="39" t="inlineStr">
        <is>
          <t>유즈 솔리드퍼퓸 - 30ml (10차 재입고 완료향=커플세트</t>
        </is>
      </c>
      <c r="H2401" s="39" t="n">
        <v>1</v>
      </c>
      <c r="I2401" s="36">
        <f>VLOOKUP(G2401,매칭테이블!D:E,2,0)</f>
        <v/>
      </c>
      <c r="J2401" s="39" t="n">
        <v>201210</v>
      </c>
      <c r="L2401" s="36">
        <f>VLOOKUP($P2401,매칭테이블!$G:$J,2,0)*H2401</f>
        <v/>
      </c>
      <c r="M2401" s="36">
        <f>L2401-L2401*VLOOKUP($P2401,매칭테이블!$G:$J,3,0)</f>
        <v/>
      </c>
      <c r="N2401" s="36">
        <f>VLOOKUP($P2401,매칭테이블!$G:$J,4,0)*H2401</f>
        <v/>
      </c>
      <c r="O2401" s="52">
        <f>L2401/1.1</f>
        <v/>
      </c>
      <c r="P2401" s="36">
        <f>F2401&amp;E2401&amp;G2401&amp;J2401</f>
        <v/>
      </c>
    </row>
    <row r="2402">
      <c r="B2402" s="51" t="n">
        <v>44185</v>
      </c>
      <c r="C2402" s="36">
        <f>TEXT(B2402,"aaa")</f>
        <v/>
      </c>
      <c r="E2402" s="36">
        <f>INDEX(매칭테이블!C:C,MATCH(RD!G2402,매칭테이블!D:D,0))</f>
        <v/>
      </c>
      <c r="F2402" s="39" t="inlineStr">
        <is>
          <t>카페24</t>
        </is>
      </c>
      <c r="G2402" s="39" t="inlineStr">
        <is>
          <t>유즈 솔리드퍼퓸 - 30ml (10차 재입고 완료 )향=이그나이트 001 SOLID PERFUME, 세트 선택=1개</t>
        </is>
      </c>
      <c r="H2402" s="39" t="n">
        <v>3</v>
      </c>
      <c r="I2402" s="36">
        <f>VLOOKUP(G2402,매칭테이블!D:E,2,0)</f>
        <v/>
      </c>
      <c r="J2402" s="39" t="n">
        <v>201210</v>
      </c>
      <c r="L2402" s="36">
        <f>VLOOKUP($P2402,매칭테이블!$G:$J,2,0)*H2402</f>
        <v/>
      </c>
      <c r="M2402" s="36">
        <f>L2402-L2402*VLOOKUP($P2402,매칭테이블!$G:$J,3,0)</f>
        <v/>
      </c>
      <c r="N2402" s="36">
        <f>VLOOKUP($P2402,매칭테이블!$G:$J,4,0)*H2402</f>
        <v/>
      </c>
      <c r="O2402" s="52">
        <f>L2402/1.1</f>
        <v/>
      </c>
      <c r="P2402" s="36">
        <f>F2402&amp;E2402&amp;G2402&amp;J2402</f>
        <v/>
      </c>
    </row>
    <row r="2403">
      <c r="B2403" s="51" t="n">
        <v>44185</v>
      </c>
      <c r="C2403" s="36">
        <f>TEXT(B2403,"aaa")</f>
        <v/>
      </c>
      <c r="E2403" s="36">
        <f>INDEX(매칭테이블!C:C,MATCH(RD!G2403,매칭테이블!D:D,0))</f>
        <v/>
      </c>
      <c r="F2403" s="39" t="inlineStr">
        <is>
          <t>카페24</t>
        </is>
      </c>
      <c r="G2403" s="39" t="inlineStr">
        <is>
          <t>유즈 솔리드퍼퓸 - 30ml (10차 재입고 완료 )향=스테이포에버 002 SOLID PERFUME, 세트 선택=1개</t>
        </is>
      </c>
      <c r="H2403" s="39" t="n">
        <v>10</v>
      </c>
      <c r="I2403" s="36">
        <f>VLOOKUP(G2403,매칭테이블!D:E,2,0)</f>
        <v/>
      </c>
      <c r="J2403" s="39" t="n">
        <v>201210</v>
      </c>
      <c r="L2403" s="36">
        <f>VLOOKUP($P2403,매칭테이블!$G:$J,2,0)*H2403</f>
        <v/>
      </c>
      <c r="M2403" s="36">
        <f>L2403-L2403*VLOOKUP($P2403,매칭테이블!$G:$J,3,0)</f>
        <v/>
      </c>
      <c r="N2403" s="36">
        <f>VLOOKUP($P2403,매칭테이블!$G:$J,4,0)*H2403</f>
        <v/>
      </c>
      <c r="O2403" s="52">
        <f>L2403/1.1</f>
        <v/>
      </c>
      <c r="P2403" s="36">
        <f>F2403&amp;E2403&amp;G2403&amp;J2403</f>
        <v/>
      </c>
    </row>
    <row r="2404">
      <c r="B2404" s="51" t="n">
        <v>44185</v>
      </c>
      <c r="C2404" s="36">
        <f>TEXT(B2404,"aaa")</f>
        <v/>
      </c>
      <c r="E2404" s="36">
        <f>INDEX(매칭테이블!C:C,MATCH(RD!G2404,매칭테이블!D:D,0))</f>
        <v/>
      </c>
      <c r="F2404" s="39" t="inlineStr">
        <is>
          <t>카페24</t>
        </is>
      </c>
      <c r="G2404" s="39" t="inlineStr">
        <is>
          <t>유즈 솔리드퍼퓸 - 30ml (10차 재입고 완료 )향=스테이포에버 002 SOLID PERFUME, 세트 선택=best 2개 (28% 할인)</t>
        </is>
      </c>
      <c r="H2404" s="39" t="n">
        <v>3</v>
      </c>
      <c r="I2404" s="36">
        <f>VLOOKUP(G2404,매칭테이블!D:E,2,0)</f>
        <v/>
      </c>
      <c r="J2404" s="39" t="n">
        <v>201210</v>
      </c>
      <c r="L2404" s="36">
        <f>VLOOKUP($P2404,매칭테이블!$G:$J,2,0)*H2404</f>
        <v/>
      </c>
      <c r="M2404" s="36">
        <f>L2404-L2404*VLOOKUP($P2404,매칭테이블!$G:$J,3,0)</f>
        <v/>
      </c>
      <c r="N2404" s="36">
        <f>VLOOKUP($P2404,매칭테이블!$G:$J,4,0)*H2404</f>
        <v/>
      </c>
      <c r="O2404" s="52">
        <f>L2404/1.1</f>
        <v/>
      </c>
      <c r="P2404" s="36">
        <f>F2404&amp;E2404&amp;G2404&amp;J2404</f>
        <v/>
      </c>
    </row>
    <row r="2405">
      <c r="B2405" s="51" t="n">
        <v>44185</v>
      </c>
      <c r="C2405" s="36">
        <f>TEXT(B2405,"aaa")</f>
        <v/>
      </c>
      <c r="E2405" s="36">
        <f>INDEX(매칭테이블!C:C,MATCH(RD!G2405,매칭테이블!D:D,0))</f>
        <v/>
      </c>
      <c r="F2405" s="39" t="inlineStr">
        <is>
          <t>카페24</t>
        </is>
      </c>
      <c r="G2405" s="39" t="inlineStr">
        <is>
          <t>유즈 솔리드퍼퓸 - 30ml (10차 재입고 완료 )향=커플세트(이그나이트 + 스테이포에버), 세트 선택=1 SET</t>
        </is>
      </c>
      <c r="H2405" s="39" t="n">
        <v>4</v>
      </c>
      <c r="I2405" s="36">
        <f>VLOOKUP(G2405,매칭테이블!D:E,2,0)</f>
        <v/>
      </c>
      <c r="J2405" s="39" t="n">
        <v>201210</v>
      </c>
      <c r="L2405" s="36">
        <f>VLOOKUP($P2405,매칭테이블!$G:$J,2,0)*H2405</f>
        <v/>
      </c>
      <c r="M2405" s="36">
        <f>L2405-L2405*VLOOKUP($P2405,매칭테이블!$G:$J,3,0)</f>
        <v/>
      </c>
      <c r="N2405" s="36">
        <f>VLOOKUP($P2405,매칭테이블!$G:$J,4,0)*H2405</f>
        <v/>
      </c>
      <c r="O2405" s="52">
        <f>L2405/1.1</f>
        <v/>
      </c>
      <c r="P2405" s="36">
        <f>F2405&amp;E2405&amp;G2405&amp;J2405</f>
        <v/>
      </c>
    </row>
    <row r="2406">
      <c r="B2406" s="51" t="n">
        <v>44185</v>
      </c>
      <c r="C2406" s="36">
        <f>TEXT(B2406,"aaa")</f>
        <v/>
      </c>
      <c r="E2406" s="36">
        <f>INDEX(매칭테이블!C:C,MATCH(RD!G2406,매칭테이블!D:D,0))</f>
        <v/>
      </c>
      <c r="F2406" s="39" t="inlineStr">
        <is>
          <t>카페24</t>
        </is>
      </c>
      <c r="G2406" s="39" t="inlineStr">
        <is>
          <t>유즈 스테이포에버 솔리드퍼퓸 002 (10차 재입고 완료제품선택=스테이포에버 1개</t>
        </is>
      </c>
      <c r="H2406" s="39" t="n">
        <v>94</v>
      </c>
      <c r="I2406" s="36">
        <f>VLOOKUP(G2406,매칭테이블!D:E,2,0)</f>
        <v/>
      </c>
      <c r="J2406" s="39" t="n">
        <v>201210</v>
      </c>
      <c r="L2406" s="36">
        <f>VLOOKUP($P2406,매칭테이블!$G:$J,2,0)*H2406</f>
        <v/>
      </c>
      <c r="M2406" s="36">
        <f>L2406-L2406*VLOOKUP($P2406,매칭테이블!$G:$J,3,0)</f>
        <v/>
      </c>
      <c r="N2406" s="36">
        <f>VLOOKUP($P2406,매칭테이블!$G:$J,4,0)*H2406</f>
        <v/>
      </c>
      <c r="O2406" s="52">
        <f>L2406/1.1</f>
        <v/>
      </c>
      <c r="P2406" s="36">
        <f>F2406&amp;E2406&amp;G2406&amp;J2406</f>
        <v/>
      </c>
    </row>
    <row r="2407">
      <c r="B2407" s="51" t="n">
        <v>44185</v>
      </c>
      <c r="C2407" s="36">
        <f>TEXT(B2407,"aaa")</f>
        <v/>
      </c>
      <c r="E2407" s="36">
        <f>INDEX(매칭테이블!C:C,MATCH(RD!G2407,매칭테이블!D:D,0))</f>
        <v/>
      </c>
      <c r="F2407" s="39" t="inlineStr">
        <is>
          <t>카페24</t>
        </is>
      </c>
      <c r="G2407" s="39" t="inlineStr">
        <is>
          <t>유즈 스테이포에버 솔리드퍼퓸 002 (10차 재입고 완료제품선택=best</t>
        </is>
      </c>
      <c r="H2407" s="39" t="n">
        <v>45</v>
      </c>
      <c r="I2407" s="36">
        <f>VLOOKUP(G2407,매칭테이블!D:E,2,0)</f>
        <v/>
      </c>
      <c r="J2407" s="39" t="n">
        <v>201210</v>
      </c>
      <c r="L2407" s="36">
        <f>VLOOKUP($P2407,매칭테이블!$G:$J,2,0)*H2407</f>
        <v/>
      </c>
      <c r="M2407" s="36">
        <f>L2407-L2407*VLOOKUP($P2407,매칭테이블!$G:$J,3,0)</f>
        <v/>
      </c>
      <c r="N2407" s="36">
        <f>VLOOKUP($P2407,매칭테이블!$G:$J,4,0)*H2407</f>
        <v/>
      </c>
      <c r="O2407" s="52">
        <f>L2407/1.1</f>
        <v/>
      </c>
      <c r="P2407" s="36">
        <f>F2407&amp;E2407&amp;G2407&amp;J2407</f>
        <v/>
      </c>
    </row>
    <row r="2408">
      <c r="B2408" s="51" t="n">
        <v>44185</v>
      </c>
      <c r="C2408" s="36">
        <f>TEXT(B2408,"aaa")</f>
        <v/>
      </c>
      <c r="E2408" s="36">
        <f>INDEX(매칭테이블!C:C,MATCH(RD!G2408,매칭테이블!D:D,0))</f>
        <v/>
      </c>
      <c r="F2408" s="39" t="inlineStr">
        <is>
          <t>카페24</t>
        </is>
      </c>
      <c r="G2408" s="39" t="inlineStr">
        <is>
          <t>유즈 스테이포에버 솔리드퍼퓸 002 (10차 재입고 완료제품선택=커플추천</t>
        </is>
      </c>
      <c r="H2408" s="39" t="n">
        <v>15</v>
      </c>
      <c r="I2408" s="36">
        <f>VLOOKUP(G2408,매칭테이블!D:E,2,0)</f>
        <v/>
      </c>
      <c r="J2408" s="39" t="n">
        <v>201210</v>
      </c>
      <c r="L2408" s="36">
        <f>VLOOKUP($P2408,매칭테이블!$G:$J,2,0)*H2408</f>
        <v/>
      </c>
      <c r="M2408" s="36">
        <f>L2408-L2408*VLOOKUP($P2408,매칭테이블!$G:$J,3,0)</f>
        <v/>
      </c>
      <c r="N2408" s="36">
        <f>VLOOKUP($P2408,매칭테이블!$G:$J,4,0)*H2408</f>
        <v/>
      </c>
      <c r="O2408" s="52">
        <f>L2408/1.1</f>
        <v/>
      </c>
      <c r="P2408" s="36">
        <f>F2408&amp;E2408&amp;G2408&amp;J2408</f>
        <v/>
      </c>
    </row>
    <row r="2409">
      <c r="B2409" s="51" t="n">
        <v>44185</v>
      </c>
      <c r="C2409" s="36">
        <f>TEXT(B2409,"aaa")</f>
        <v/>
      </c>
      <c r="E2409" s="36">
        <f>INDEX(매칭테이블!C:C,MATCH(RD!G2409,매칭테이블!D:D,0))</f>
        <v/>
      </c>
      <c r="F2409" s="39" t="inlineStr">
        <is>
          <t>카페24</t>
        </is>
      </c>
      <c r="G2409" s="39" t="inlineStr">
        <is>
          <t>유즈 스테이포에버 솔리드퍼퓸 002 (10차 재입고 완료쇼핑백=선물용 쇼핑백</t>
        </is>
      </c>
      <c r="H2409" s="39" t="n">
        <v>3</v>
      </c>
      <c r="I2409" s="36">
        <f>VLOOKUP(G2409,매칭테이블!D:E,2,0)</f>
        <v/>
      </c>
      <c r="J2409" s="39" t="n">
        <v>201210</v>
      </c>
      <c r="L2409" s="36">
        <f>VLOOKUP($P2409,매칭테이블!$G:$J,2,0)*H2409</f>
        <v/>
      </c>
      <c r="M2409" s="36">
        <f>L2409-L2409*VLOOKUP($P2409,매칭테이블!$G:$J,3,0)</f>
        <v/>
      </c>
      <c r="N2409" s="36">
        <f>VLOOKUP($P2409,매칭테이블!$G:$J,4,0)*H2409</f>
        <v/>
      </c>
      <c r="O2409" s="52">
        <f>L2409/1.1</f>
        <v/>
      </c>
      <c r="P2409" s="36">
        <f>F2409&amp;E2409&amp;G2409&amp;J2409</f>
        <v/>
      </c>
    </row>
    <row r="2410">
      <c r="B2410" s="51" t="n">
        <v>44185</v>
      </c>
      <c r="C2410" s="36">
        <f>TEXT(B2410,"aaa")</f>
        <v/>
      </c>
      <c r="E2410" s="36">
        <f>INDEX(매칭테이블!C:C,MATCH(RD!G2410,매칭테이블!D:D,0))</f>
        <v/>
      </c>
      <c r="F2410" s="39" t="inlineStr">
        <is>
          <t>카페24</t>
        </is>
      </c>
      <c r="G2410" s="39" t="inlineStr">
        <is>
          <t>유즈 스테이포에버 솔리드퍼퓸 002 (10차 재입고 완료)제품선택=스테이포에버 1개</t>
        </is>
      </c>
      <c r="H2410" s="39" t="n">
        <v>154</v>
      </c>
      <c r="I2410" s="36">
        <f>VLOOKUP(G2410,매칭테이블!D:E,2,0)</f>
        <v/>
      </c>
      <c r="J2410" s="39" t="n">
        <v>201210</v>
      </c>
      <c r="L2410" s="36">
        <f>VLOOKUP($P2410,매칭테이블!$G:$J,2,0)*H2410</f>
        <v/>
      </c>
      <c r="M2410" s="36">
        <f>L2410-L2410*VLOOKUP($P2410,매칭테이블!$G:$J,3,0)</f>
        <v/>
      </c>
      <c r="N2410" s="36">
        <f>VLOOKUP($P2410,매칭테이블!$G:$J,4,0)*H2410</f>
        <v/>
      </c>
      <c r="O2410" s="52">
        <f>L2410/1.1</f>
        <v/>
      </c>
      <c r="P2410" s="36">
        <f>F2410&amp;E2410&amp;G2410&amp;J2410</f>
        <v/>
      </c>
    </row>
    <row r="2411">
      <c r="B2411" s="51" t="n">
        <v>44185</v>
      </c>
      <c r="C2411" s="36">
        <f>TEXT(B2411,"aaa")</f>
        <v/>
      </c>
      <c r="E2411" s="36">
        <f>INDEX(매칭테이블!C:C,MATCH(RD!G2411,매칭테이블!D:D,0))</f>
        <v/>
      </c>
      <c r="F2411" s="39" t="inlineStr">
        <is>
          <t>카페24</t>
        </is>
      </c>
      <c r="G2411" s="39" t="inlineStr">
        <is>
          <t>유즈 스테이포에버 솔리드퍼퓸 002 (10차 재입고 완료)제품선택=best스테이포에버 2개[28% 할인]</t>
        </is>
      </c>
      <c r="H2411" s="39" t="n">
        <v>57</v>
      </c>
      <c r="I2411" s="36">
        <f>VLOOKUP(G2411,매칭테이블!D:E,2,0)</f>
        <v/>
      </c>
      <c r="J2411" s="39" t="n">
        <v>201210</v>
      </c>
      <c r="L2411" s="36">
        <f>VLOOKUP($P2411,매칭테이블!$G:$J,2,0)*H2411</f>
        <v/>
      </c>
      <c r="M2411" s="36">
        <f>L2411-L2411*VLOOKUP($P2411,매칭테이블!$G:$J,3,0)</f>
        <v/>
      </c>
      <c r="N2411" s="36">
        <f>VLOOKUP($P2411,매칭테이블!$G:$J,4,0)*H2411</f>
        <v/>
      </c>
      <c r="O2411" s="52">
        <f>L2411/1.1</f>
        <v/>
      </c>
      <c r="P2411" s="36">
        <f>F2411&amp;E2411&amp;G2411&amp;J2411</f>
        <v/>
      </c>
    </row>
    <row r="2412">
      <c r="B2412" s="51" t="n">
        <v>44185</v>
      </c>
      <c r="C2412" s="36">
        <f>TEXT(B2412,"aaa")</f>
        <v/>
      </c>
      <c r="E2412" s="36">
        <f>INDEX(매칭테이블!C:C,MATCH(RD!G2412,매칭테이블!D:D,0))</f>
        <v/>
      </c>
      <c r="F2412" s="39" t="inlineStr">
        <is>
          <t>카페24</t>
        </is>
      </c>
      <c r="G2412" s="39" t="inlineStr">
        <is>
          <t>유즈 스테이포에버 솔리드퍼퓸 002 (10차 재입고 완료)제품선택=커플추천스테이포에버 + 이그나이트 세트</t>
        </is>
      </c>
      <c r="H2412" s="39" t="n">
        <v>16</v>
      </c>
      <c r="I2412" s="36">
        <f>VLOOKUP(G2412,매칭테이블!D:E,2,0)</f>
        <v/>
      </c>
      <c r="J2412" s="39" t="n">
        <v>201210</v>
      </c>
      <c r="L2412" s="36">
        <f>VLOOKUP($P2412,매칭테이블!$G:$J,2,0)*H2412</f>
        <v/>
      </c>
      <c r="M2412" s="36">
        <f>L2412-L2412*VLOOKUP($P2412,매칭테이블!$G:$J,3,0)</f>
        <v/>
      </c>
      <c r="N2412" s="36">
        <f>VLOOKUP($P2412,매칭테이블!$G:$J,4,0)*H2412</f>
        <v/>
      </c>
      <c r="O2412" s="52">
        <f>L2412/1.1</f>
        <v/>
      </c>
      <c r="P2412" s="36">
        <f>F2412&amp;E2412&amp;G2412&amp;J2412</f>
        <v/>
      </c>
    </row>
    <row r="2413">
      <c r="B2413" s="51" t="n">
        <v>44185</v>
      </c>
      <c r="C2413" s="36">
        <f>TEXT(B2413,"aaa")</f>
        <v/>
      </c>
      <c r="E2413" s="36">
        <f>INDEX(매칭테이블!C:C,MATCH(RD!G2413,매칭테이블!D:D,0))</f>
        <v/>
      </c>
      <c r="F2413" s="39" t="inlineStr">
        <is>
          <t>카페24</t>
        </is>
      </c>
      <c r="G2413" s="39" t="inlineStr">
        <is>
          <t>유즈 스테이포에버 솔리드퍼퓸 002 (10차 재입고 완료)쇼핑백=선물용 쇼핑백</t>
        </is>
      </c>
      <c r="H2413" s="39" t="n">
        <v>11</v>
      </c>
      <c r="I2413" s="36">
        <f>VLOOKUP(G2413,매칭테이블!D:E,2,0)</f>
        <v/>
      </c>
      <c r="J2413" s="39" t="n">
        <v>201210</v>
      </c>
      <c r="L2413" s="36">
        <f>VLOOKUP($P2413,매칭테이블!$G:$J,2,0)*H2413</f>
        <v/>
      </c>
      <c r="M2413" s="36">
        <f>L2413-L2413*VLOOKUP($P2413,매칭테이블!$G:$J,3,0)</f>
        <v/>
      </c>
      <c r="N2413" s="36">
        <f>VLOOKUP($P2413,매칭테이블!$G:$J,4,0)*H2413</f>
        <v/>
      </c>
      <c r="O2413" s="52">
        <f>L2413/1.1</f>
        <v/>
      </c>
      <c r="P2413" s="36">
        <f>F2413&amp;E2413&amp;G2413&amp;J2413</f>
        <v/>
      </c>
    </row>
    <row r="2414">
      <c r="B2414" s="51" t="n">
        <v>44185</v>
      </c>
      <c r="C2414" s="36">
        <f>TEXT(B2414,"aaa")</f>
        <v/>
      </c>
      <c r="E2414" s="36">
        <f>INDEX(매칭테이블!C:C,MATCH(RD!G2414,매칭테이블!D:D,0))</f>
        <v/>
      </c>
      <c r="F2414" s="39" t="inlineStr">
        <is>
          <t>카페24</t>
        </is>
      </c>
      <c r="G2414" s="39" t="inlineStr">
        <is>
          <t>유즈 이그나이트 솔리드퍼퓸 001제품선택=이그나이트 솔리드퍼퓸 - 30ml</t>
        </is>
      </c>
      <c r="H2414" s="39" t="n">
        <v>5</v>
      </c>
      <c r="I2414" s="36">
        <f>VLOOKUP(G2414,매칭테이블!D:E,2,0)</f>
        <v/>
      </c>
      <c r="J2414" s="39" t="n">
        <v>201210</v>
      </c>
      <c r="L2414" s="36">
        <f>VLOOKUP($P2414,매칭테이블!$G:$J,2,0)*H2414</f>
        <v/>
      </c>
      <c r="M2414" s="36">
        <f>L2414-L2414*VLOOKUP($P2414,매칭테이블!$G:$J,3,0)</f>
        <v/>
      </c>
      <c r="N2414" s="36">
        <f>VLOOKUP($P2414,매칭테이블!$G:$J,4,0)*H2414</f>
        <v/>
      </c>
      <c r="O2414" s="52">
        <f>L2414/1.1</f>
        <v/>
      </c>
      <c r="P2414" s="36">
        <f>F2414&amp;E2414&amp;G2414&amp;J2414</f>
        <v/>
      </c>
    </row>
    <row r="2415">
      <c r="B2415" s="51" t="n">
        <v>44186</v>
      </c>
      <c r="C2415" s="36">
        <f>TEXT(B2415,"aaa")</f>
        <v/>
      </c>
      <c r="E2415" s="36">
        <f>INDEX(매칭테이블!C:C,MATCH(RD!G2415,매칭테이블!D:D,0))</f>
        <v/>
      </c>
      <c r="F2415" s="39" t="inlineStr">
        <is>
          <t>유즈 CS</t>
        </is>
      </c>
      <c r="G2415" s="39" t="inlineStr">
        <is>
          <t>솔리드퍼퓸 스테이포에버 002 30ml</t>
        </is>
      </c>
      <c r="H2415" s="39" t="n">
        <v>1</v>
      </c>
      <c r="I2415" s="36">
        <f>VLOOKUP(G2415,매칭테이블!D:E,2,0)</f>
        <v/>
      </c>
      <c r="J2415" s="39" t="n">
        <v>201210</v>
      </c>
      <c r="L2415" s="36">
        <f>VLOOKUP($P2415,매칭테이블!$G:$J,2,0)*H2415</f>
        <v/>
      </c>
      <c r="M2415" s="36">
        <f>L2415-L2415*VLOOKUP($P2415,매칭테이블!$G:$J,3,0)</f>
        <v/>
      </c>
      <c r="N2415" s="36">
        <f>VLOOKUP($P2415,매칭테이블!$G:$J,4,0)*H2415</f>
        <v/>
      </c>
      <c r="O2415" s="52">
        <f>L2415/1.1</f>
        <v/>
      </c>
      <c r="P2415" s="36">
        <f>F2415&amp;E2415&amp;G2415&amp;J2415</f>
        <v/>
      </c>
    </row>
    <row r="2416">
      <c r="B2416" s="51" t="n">
        <v>44186</v>
      </c>
      <c r="C2416" s="36">
        <f>TEXT(B2416,"aaa")</f>
        <v/>
      </c>
      <c r="E2416" s="36">
        <f>INDEX(매칭테이블!C:C,MATCH(RD!G2416,매칭테이블!D:D,0))</f>
        <v/>
      </c>
      <c r="F2416" s="39" t="inlineStr">
        <is>
          <t>카페24</t>
        </is>
      </c>
      <c r="G2416" s="39" t="inlineStr">
        <is>
          <t>스테이포에버 솔리드퍼퓸 002 (10차 재입고 완료제품선택=best</t>
        </is>
      </c>
      <c r="H2416" s="39" t="n">
        <v>1</v>
      </c>
      <c r="I2416" s="36">
        <f>VLOOKUP(G2416,매칭테이블!D:E,2,0)</f>
        <v/>
      </c>
      <c r="J2416" s="39" t="n">
        <v>201210</v>
      </c>
      <c r="L2416" s="36">
        <f>VLOOKUP($P2416,매칭테이블!$G:$J,2,0)*H2416</f>
        <v/>
      </c>
      <c r="M2416" s="36">
        <f>L2416-L2416*VLOOKUP($P2416,매칭테이블!$G:$J,3,0)</f>
        <v/>
      </c>
      <c r="N2416" s="36">
        <f>VLOOKUP($P2416,매칭테이블!$G:$J,4,0)*H2416</f>
        <v/>
      </c>
      <c r="O2416" s="52">
        <f>L2416/1.1</f>
        <v/>
      </c>
      <c r="P2416" s="36">
        <f>F2416&amp;E2416&amp;G2416&amp;J2416</f>
        <v/>
      </c>
    </row>
    <row r="2417">
      <c r="B2417" s="51" t="n">
        <v>44186</v>
      </c>
      <c r="C2417" s="36">
        <f>TEXT(B2417,"aaa")</f>
        <v/>
      </c>
      <c r="E2417" s="36">
        <f>INDEX(매칭테이블!C:C,MATCH(RD!G2417,매칭테이블!D:D,0))</f>
        <v/>
      </c>
      <c r="F2417" s="39" t="inlineStr">
        <is>
          <t>카페24</t>
        </is>
      </c>
      <c r="G2417" s="39" t="inlineStr">
        <is>
          <t>유즈 솔리드퍼퓸 - 30ml (10차 재입고 완료향=이그나이트 001 SOLID PERFUME, 세트 선택=1개</t>
        </is>
      </c>
      <c r="H2417" s="39" t="n">
        <v>4</v>
      </c>
      <c r="I2417" s="36">
        <f>VLOOKUP(G2417,매칭테이블!D:E,2,0)</f>
        <v/>
      </c>
      <c r="J2417" s="39" t="n">
        <v>201210</v>
      </c>
      <c r="L2417" s="36">
        <f>VLOOKUP($P2417,매칭테이블!$G:$J,2,0)*H2417</f>
        <v/>
      </c>
      <c r="M2417" s="36">
        <f>L2417-L2417*VLOOKUP($P2417,매칭테이블!$G:$J,3,0)</f>
        <v/>
      </c>
      <c r="N2417" s="36">
        <f>VLOOKUP($P2417,매칭테이블!$G:$J,4,0)*H2417</f>
        <v/>
      </c>
      <c r="O2417" s="52">
        <f>L2417/1.1</f>
        <v/>
      </c>
      <c r="P2417" s="36">
        <f>F2417&amp;E2417&amp;G2417&amp;J2417</f>
        <v/>
      </c>
    </row>
    <row r="2418">
      <c r="B2418" s="51" t="n">
        <v>44186</v>
      </c>
      <c r="C2418" s="36">
        <f>TEXT(B2418,"aaa")</f>
        <v/>
      </c>
      <c r="E2418" s="36">
        <f>INDEX(매칭테이블!C:C,MATCH(RD!G2418,매칭테이블!D:D,0))</f>
        <v/>
      </c>
      <c r="F2418" s="39" t="inlineStr">
        <is>
          <t>카페24</t>
        </is>
      </c>
      <c r="G2418" s="39" t="inlineStr">
        <is>
          <t>유즈 솔리드퍼퓸 - 30ml (10차 재입고 완료향=이그나이트 001 SOLID PERFUME, 세트 선택=best</t>
        </is>
      </c>
      <c r="H2418" s="39" t="n">
        <v>1</v>
      </c>
      <c r="I2418" s="36">
        <f>VLOOKUP(G2418,매칭테이블!D:E,2,0)</f>
        <v/>
      </c>
      <c r="J2418" s="39" t="n">
        <v>201210</v>
      </c>
      <c r="L2418" s="36">
        <f>VLOOKUP($P2418,매칭테이블!$G:$J,2,0)*H2418</f>
        <v/>
      </c>
      <c r="M2418" s="36">
        <f>L2418-L2418*VLOOKUP($P2418,매칭테이블!$G:$J,3,0)</f>
        <v/>
      </c>
      <c r="N2418" s="36">
        <f>VLOOKUP($P2418,매칭테이블!$G:$J,4,0)*H2418</f>
        <v/>
      </c>
      <c r="O2418" s="52">
        <f>L2418/1.1</f>
        <v/>
      </c>
      <c r="P2418" s="36">
        <f>F2418&amp;E2418&amp;G2418&amp;J2418</f>
        <v/>
      </c>
    </row>
    <row r="2419">
      <c r="B2419" s="51" t="n">
        <v>44186</v>
      </c>
      <c r="C2419" s="36">
        <f>TEXT(B2419,"aaa")</f>
        <v/>
      </c>
      <c r="E2419" s="36">
        <f>INDEX(매칭테이블!C:C,MATCH(RD!G2419,매칭테이블!D:D,0))</f>
        <v/>
      </c>
      <c r="F2419" s="39" t="inlineStr">
        <is>
          <t>카페24</t>
        </is>
      </c>
      <c r="G2419" s="39" t="inlineStr">
        <is>
          <t>유즈 솔리드퍼퓸 - 30ml (10차 재입고 완료향=스테이포에버 002 SOLID PERFUME, 세트 선택=1개</t>
        </is>
      </c>
      <c r="H2419" s="39" t="n">
        <v>4</v>
      </c>
      <c r="I2419" s="36">
        <f>VLOOKUP(G2419,매칭테이블!D:E,2,0)</f>
        <v/>
      </c>
      <c r="J2419" s="39" t="n">
        <v>201210</v>
      </c>
      <c r="L2419" s="36">
        <f>VLOOKUP($P2419,매칭테이블!$G:$J,2,0)*H2419</f>
        <v/>
      </c>
      <c r="M2419" s="36">
        <f>L2419-L2419*VLOOKUP($P2419,매칭테이블!$G:$J,3,0)</f>
        <v/>
      </c>
      <c r="N2419" s="36">
        <f>VLOOKUP($P2419,매칭테이블!$G:$J,4,0)*H2419</f>
        <v/>
      </c>
      <c r="O2419" s="52">
        <f>L2419/1.1</f>
        <v/>
      </c>
      <c r="P2419" s="36">
        <f>F2419&amp;E2419&amp;G2419&amp;J2419</f>
        <v/>
      </c>
    </row>
    <row r="2420">
      <c r="B2420" s="51" t="n">
        <v>44186</v>
      </c>
      <c r="C2420" s="36">
        <f>TEXT(B2420,"aaa")</f>
        <v/>
      </c>
      <c r="E2420" s="36">
        <f>INDEX(매칭테이블!C:C,MATCH(RD!G2420,매칭테이블!D:D,0))</f>
        <v/>
      </c>
      <c r="F2420" s="39" t="inlineStr">
        <is>
          <t>카페24</t>
        </is>
      </c>
      <c r="G2420" s="39" t="inlineStr">
        <is>
          <t>유즈 솔리드퍼퓸 - 30ml (10차 재입고 완료향=스테이포에버 002 SOLID PERFUME, 세트 선택=best</t>
        </is>
      </c>
      <c r="H2420" s="39" t="n">
        <v>2</v>
      </c>
      <c r="I2420" s="36">
        <f>VLOOKUP(G2420,매칭테이블!D:E,2,0)</f>
        <v/>
      </c>
      <c r="J2420" s="39" t="n">
        <v>201210</v>
      </c>
      <c r="L2420" s="36">
        <f>VLOOKUP($P2420,매칭테이블!$G:$J,2,0)*H2420</f>
        <v/>
      </c>
      <c r="M2420" s="36">
        <f>L2420-L2420*VLOOKUP($P2420,매칭테이블!$G:$J,3,0)</f>
        <v/>
      </c>
      <c r="N2420" s="36">
        <f>VLOOKUP($P2420,매칭테이블!$G:$J,4,0)*H2420</f>
        <v/>
      </c>
      <c r="O2420" s="52">
        <f>L2420/1.1</f>
        <v/>
      </c>
      <c r="P2420" s="36">
        <f>F2420&amp;E2420&amp;G2420&amp;J2420</f>
        <v/>
      </c>
    </row>
    <row r="2421">
      <c r="B2421" s="51" t="n">
        <v>44186</v>
      </c>
      <c r="C2421" s="36">
        <f>TEXT(B2421,"aaa")</f>
        <v/>
      </c>
      <c r="E2421" s="36">
        <f>INDEX(매칭테이블!C:C,MATCH(RD!G2421,매칭테이블!D:D,0))</f>
        <v/>
      </c>
      <c r="F2421" s="39" t="inlineStr">
        <is>
          <t>카페24</t>
        </is>
      </c>
      <c r="G2421" s="39" t="inlineStr">
        <is>
          <t>유즈 솔리드퍼퓸 - 30ml (10차 재입고 완료향=커플세트</t>
        </is>
      </c>
      <c r="H2421" s="39" t="n">
        <v>1</v>
      </c>
      <c r="I2421" s="36">
        <f>VLOOKUP(G2421,매칭테이블!D:E,2,0)</f>
        <v/>
      </c>
      <c r="J2421" s="39" t="n">
        <v>201210</v>
      </c>
      <c r="L2421" s="36">
        <f>VLOOKUP($P2421,매칭테이블!$G:$J,2,0)*H2421</f>
        <v/>
      </c>
      <c r="M2421" s="36">
        <f>L2421-L2421*VLOOKUP($P2421,매칭테이블!$G:$J,3,0)</f>
        <v/>
      </c>
      <c r="N2421" s="36">
        <f>VLOOKUP($P2421,매칭테이블!$G:$J,4,0)*H2421</f>
        <v/>
      </c>
      <c r="O2421" s="52">
        <f>L2421/1.1</f>
        <v/>
      </c>
      <c r="P2421" s="36">
        <f>F2421&amp;E2421&amp;G2421&amp;J2421</f>
        <v/>
      </c>
    </row>
    <row r="2422">
      <c r="B2422" s="51" t="n">
        <v>44186</v>
      </c>
      <c r="C2422" s="36">
        <f>TEXT(B2422,"aaa")</f>
        <v/>
      </c>
      <c r="E2422" s="36">
        <f>INDEX(매칭테이블!C:C,MATCH(RD!G2422,매칭테이블!D:D,0))</f>
        <v/>
      </c>
      <c r="F2422" s="39" t="inlineStr">
        <is>
          <t>카페24</t>
        </is>
      </c>
      <c r="G2422" s="39" t="inlineStr">
        <is>
          <t>유즈 솔리드퍼퓸 - 30ml (10차 재입고 완료 )향=스테이포에버 002 SOLID PERFUME, 세트 선택=1개</t>
        </is>
      </c>
      <c r="H2422" s="39" t="n">
        <v>6</v>
      </c>
      <c r="I2422" s="36">
        <f>VLOOKUP(G2422,매칭테이블!D:E,2,0)</f>
        <v/>
      </c>
      <c r="J2422" s="39" t="n">
        <v>201210</v>
      </c>
      <c r="L2422" s="36">
        <f>VLOOKUP($P2422,매칭테이블!$G:$J,2,0)*H2422</f>
        <v/>
      </c>
      <c r="M2422" s="36">
        <f>L2422-L2422*VLOOKUP($P2422,매칭테이블!$G:$J,3,0)</f>
        <v/>
      </c>
      <c r="N2422" s="36">
        <f>VLOOKUP($P2422,매칭테이블!$G:$J,4,0)*H2422</f>
        <v/>
      </c>
      <c r="O2422" s="52">
        <f>L2422/1.1</f>
        <v/>
      </c>
      <c r="P2422" s="36">
        <f>F2422&amp;E2422&amp;G2422&amp;J2422</f>
        <v/>
      </c>
    </row>
    <row r="2423">
      <c r="B2423" s="51" t="n">
        <v>44186</v>
      </c>
      <c r="C2423" s="36">
        <f>TEXT(B2423,"aaa")</f>
        <v/>
      </c>
      <c r="E2423" s="36">
        <f>INDEX(매칭테이블!C:C,MATCH(RD!G2423,매칭테이블!D:D,0))</f>
        <v/>
      </c>
      <c r="F2423" s="39" t="inlineStr">
        <is>
          <t>카페24</t>
        </is>
      </c>
      <c r="G2423" s="39" t="inlineStr">
        <is>
          <t>유즈 솔리드퍼퓸 - 30ml (10차 재입고 완료 )향=커플세트(이그나이트 + 스테이포에버), 세트 선택=1 SET</t>
        </is>
      </c>
      <c r="H2423" s="39" t="n">
        <v>2</v>
      </c>
      <c r="I2423" s="36">
        <f>VLOOKUP(G2423,매칭테이블!D:E,2,0)</f>
        <v/>
      </c>
      <c r="J2423" s="39" t="n">
        <v>201210</v>
      </c>
      <c r="L2423" s="36">
        <f>VLOOKUP($P2423,매칭테이블!$G:$J,2,0)*H2423</f>
        <v/>
      </c>
      <c r="M2423" s="36">
        <f>L2423-L2423*VLOOKUP($P2423,매칭테이블!$G:$J,3,0)</f>
        <v/>
      </c>
      <c r="N2423" s="36">
        <f>VLOOKUP($P2423,매칭테이블!$G:$J,4,0)*H2423</f>
        <v/>
      </c>
      <c r="O2423" s="52">
        <f>L2423/1.1</f>
        <v/>
      </c>
      <c r="P2423" s="36">
        <f>F2423&amp;E2423&amp;G2423&amp;J2423</f>
        <v/>
      </c>
    </row>
    <row r="2424">
      <c r="B2424" s="51" t="n">
        <v>44186</v>
      </c>
      <c r="C2424" s="36">
        <f>TEXT(B2424,"aaa")</f>
        <v/>
      </c>
      <c r="E2424" s="36">
        <f>INDEX(매칭테이블!C:C,MATCH(RD!G2424,매칭테이블!D:D,0))</f>
        <v/>
      </c>
      <c r="F2424" s="39" t="inlineStr">
        <is>
          <t>카페24</t>
        </is>
      </c>
      <c r="G2424" s="39" t="inlineStr">
        <is>
          <t>유즈 솔리드퍼퓸 - 30ml (10차 재입고 완료 )향=커플세트(이그나이트 + 스테이포에버), 세트 선택=2 SET (42% 할인)</t>
        </is>
      </c>
      <c r="H2424" s="39" t="n">
        <v>1</v>
      </c>
      <c r="I2424" s="36">
        <f>VLOOKUP(G2424,매칭테이블!D:E,2,0)</f>
        <v/>
      </c>
      <c r="J2424" s="39" t="n">
        <v>201210</v>
      </c>
      <c r="L2424" s="36">
        <f>VLOOKUP($P2424,매칭테이블!$G:$J,2,0)*H2424</f>
        <v/>
      </c>
      <c r="M2424" s="36">
        <f>L2424-L2424*VLOOKUP($P2424,매칭테이블!$G:$J,3,0)</f>
        <v/>
      </c>
      <c r="N2424" s="36">
        <f>VLOOKUP($P2424,매칭테이블!$G:$J,4,0)*H2424</f>
        <v/>
      </c>
      <c r="O2424" s="52">
        <f>L2424/1.1</f>
        <v/>
      </c>
      <c r="P2424" s="36">
        <f>F2424&amp;E2424&amp;G2424&amp;J2424</f>
        <v/>
      </c>
    </row>
    <row r="2425">
      <c r="B2425" s="51" t="n">
        <v>44186</v>
      </c>
      <c r="C2425" s="36">
        <f>TEXT(B2425,"aaa")</f>
        <v/>
      </c>
      <c r="E2425" s="36">
        <f>INDEX(매칭테이블!C:C,MATCH(RD!G2425,매칭테이블!D:D,0))</f>
        <v/>
      </c>
      <c r="F2425" s="39" t="inlineStr">
        <is>
          <t>카페24</t>
        </is>
      </c>
      <c r="G2425" s="39" t="inlineStr">
        <is>
          <t>유즈 스테이포에버 솔리드퍼퓸 002 (10차 재입고 완료제품선택=스테이포에버 1개</t>
        </is>
      </c>
      <c r="H2425" s="39" t="n">
        <v>75</v>
      </c>
      <c r="I2425" s="36">
        <f>VLOOKUP(G2425,매칭테이블!D:E,2,0)</f>
        <v/>
      </c>
      <c r="J2425" s="39" t="n">
        <v>201210</v>
      </c>
      <c r="L2425" s="36">
        <f>VLOOKUP($P2425,매칭테이블!$G:$J,2,0)*H2425</f>
        <v/>
      </c>
      <c r="M2425" s="36">
        <f>L2425-L2425*VLOOKUP($P2425,매칭테이블!$G:$J,3,0)</f>
        <v/>
      </c>
      <c r="N2425" s="36">
        <f>VLOOKUP($P2425,매칭테이블!$G:$J,4,0)*H2425</f>
        <v/>
      </c>
      <c r="O2425" s="52">
        <f>L2425/1.1</f>
        <v/>
      </c>
      <c r="P2425" s="36">
        <f>F2425&amp;E2425&amp;G2425&amp;J2425</f>
        <v/>
      </c>
    </row>
    <row r="2426">
      <c r="B2426" s="51" t="n">
        <v>44186</v>
      </c>
      <c r="C2426" s="36">
        <f>TEXT(B2426,"aaa")</f>
        <v/>
      </c>
      <c r="E2426" s="36">
        <f>INDEX(매칭테이블!C:C,MATCH(RD!G2426,매칭테이블!D:D,0))</f>
        <v/>
      </c>
      <c r="F2426" s="39" t="inlineStr">
        <is>
          <t>카페24</t>
        </is>
      </c>
      <c r="G2426" s="39" t="inlineStr">
        <is>
          <t>유즈 스테이포에버 솔리드퍼퓸 002 (10차 재입고 완료제품선택=best</t>
        </is>
      </c>
      <c r="H2426" s="39" t="n">
        <v>35</v>
      </c>
      <c r="I2426" s="36">
        <f>VLOOKUP(G2426,매칭테이블!D:E,2,0)</f>
        <v/>
      </c>
      <c r="J2426" s="39" t="n">
        <v>201210</v>
      </c>
      <c r="L2426" s="36">
        <f>VLOOKUP($P2426,매칭테이블!$G:$J,2,0)*H2426</f>
        <v/>
      </c>
      <c r="M2426" s="36">
        <f>L2426-L2426*VLOOKUP($P2426,매칭테이블!$G:$J,3,0)</f>
        <v/>
      </c>
      <c r="N2426" s="36">
        <f>VLOOKUP($P2426,매칭테이블!$G:$J,4,0)*H2426</f>
        <v/>
      </c>
      <c r="O2426" s="52">
        <f>L2426/1.1</f>
        <v/>
      </c>
      <c r="P2426" s="36">
        <f>F2426&amp;E2426&amp;G2426&amp;J2426</f>
        <v/>
      </c>
    </row>
    <row r="2427">
      <c r="B2427" s="51" t="n">
        <v>44186</v>
      </c>
      <c r="C2427" s="36">
        <f>TEXT(B2427,"aaa")</f>
        <v/>
      </c>
      <c r="E2427" s="36">
        <f>INDEX(매칭테이블!C:C,MATCH(RD!G2427,매칭테이블!D:D,0))</f>
        <v/>
      </c>
      <c r="F2427" s="39" t="inlineStr">
        <is>
          <t>카페24</t>
        </is>
      </c>
      <c r="G2427" s="39" t="inlineStr">
        <is>
          <t>유즈 스테이포에버 솔리드퍼퓸 002 (10차 재입고 완료제품선택=커플추천</t>
        </is>
      </c>
      <c r="H2427" s="39" t="n">
        <v>1</v>
      </c>
      <c r="I2427" s="36">
        <f>VLOOKUP(G2427,매칭테이블!D:E,2,0)</f>
        <v/>
      </c>
      <c r="J2427" s="39" t="n">
        <v>201210</v>
      </c>
      <c r="L2427" s="36">
        <f>VLOOKUP($P2427,매칭테이블!$G:$J,2,0)*H2427</f>
        <v/>
      </c>
      <c r="M2427" s="36">
        <f>L2427-L2427*VLOOKUP($P2427,매칭테이블!$G:$J,3,0)</f>
        <v/>
      </c>
      <c r="N2427" s="36">
        <f>VLOOKUP($P2427,매칭테이블!$G:$J,4,0)*H2427</f>
        <v/>
      </c>
      <c r="O2427" s="52">
        <f>L2427/1.1</f>
        <v/>
      </c>
      <c r="P2427" s="36">
        <f>F2427&amp;E2427&amp;G2427&amp;J2427</f>
        <v/>
      </c>
    </row>
    <row r="2428">
      <c r="B2428" s="51" t="n">
        <v>44186</v>
      </c>
      <c r="C2428" s="36">
        <f>TEXT(B2428,"aaa")</f>
        <v/>
      </c>
      <c r="E2428" s="36">
        <f>INDEX(매칭테이블!C:C,MATCH(RD!G2428,매칭테이블!D:D,0))</f>
        <v/>
      </c>
      <c r="F2428" s="39" t="inlineStr">
        <is>
          <t>카페24</t>
        </is>
      </c>
      <c r="G2428" s="39" t="inlineStr">
        <is>
          <t>유즈 스테이포에버 솔리드퍼퓸 002 (10차 재입고 완료쇼핑백=선물용 쇼핑백</t>
        </is>
      </c>
      <c r="H2428" s="39" t="n">
        <v>5</v>
      </c>
      <c r="I2428" s="36">
        <f>VLOOKUP(G2428,매칭테이블!D:E,2,0)</f>
        <v/>
      </c>
      <c r="J2428" s="39" t="n">
        <v>201210</v>
      </c>
      <c r="L2428" s="36">
        <f>VLOOKUP($P2428,매칭테이블!$G:$J,2,0)*H2428</f>
        <v/>
      </c>
      <c r="M2428" s="36">
        <f>L2428-L2428*VLOOKUP($P2428,매칭테이블!$G:$J,3,0)</f>
        <v/>
      </c>
      <c r="N2428" s="36">
        <f>VLOOKUP($P2428,매칭테이블!$G:$J,4,0)*H2428</f>
        <v/>
      </c>
      <c r="O2428" s="52">
        <f>L2428/1.1</f>
        <v/>
      </c>
      <c r="P2428" s="36">
        <f>F2428&amp;E2428&amp;G2428&amp;J2428</f>
        <v/>
      </c>
    </row>
    <row r="2429">
      <c r="B2429" s="51" t="n">
        <v>44186</v>
      </c>
      <c r="C2429" s="36">
        <f>TEXT(B2429,"aaa")</f>
        <v/>
      </c>
      <c r="E2429" s="36">
        <f>INDEX(매칭테이블!C:C,MATCH(RD!G2429,매칭테이블!D:D,0))</f>
        <v/>
      </c>
      <c r="F2429" s="39" t="inlineStr">
        <is>
          <t>카페24</t>
        </is>
      </c>
      <c r="G2429" s="39" t="inlineStr">
        <is>
          <t>유즈 스테이포에버 솔리드퍼퓸 002 (10차 재입고 완료)제품선택=스테이포에버 1개</t>
        </is>
      </c>
      <c r="H2429" s="39" t="n">
        <v>94</v>
      </c>
      <c r="I2429" s="36">
        <f>VLOOKUP(G2429,매칭테이블!D:E,2,0)</f>
        <v/>
      </c>
      <c r="J2429" s="39" t="n">
        <v>201210</v>
      </c>
      <c r="L2429" s="36">
        <f>VLOOKUP($P2429,매칭테이블!$G:$J,2,0)*H2429</f>
        <v/>
      </c>
      <c r="M2429" s="36">
        <f>L2429-L2429*VLOOKUP($P2429,매칭테이블!$G:$J,3,0)</f>
        <v/>
      </c>
      <c r="N2429" s="36">
        <f>VLOOKUP($P2429,매칭테이블!$G:$J,4,0)*H2429</f>
        <v/>
      </c>
      <c r="O2429" s="52">
        <f>L2429/1.1</f>
        <v/>
      </c>
      <c r="P2429" s="36">
        <f>F2429&amp;E2429&amp;G2429&amp;J2429</f>
        <v/>
      </c>
    </row>
    <row r="2430">
      <c r="B2430" s="51" t="n">
        <v>44186</v>
      </c>
      <c r="C2430" s="36">
        <f>TEXT(B2430,"aaa")</f>
        <v/>
      </c>
      <c r="E2430" s="36">
        <f>INDEX(매칭테이블!C:C,MATCH(RD!G2430,매칭테이블!D:D,0))</f>
        <v/>
      </c>
      <c r="F2430" s="39" t="inlineStr">
        <is>
          <t>카페24</t>
        </is>
      </c>
      <c r="G2430" s="39" t="inlineStr">
        <is>
          <t>유즈 스테이포에버 솔리드퍼퓸 002 (10차 재입고 완료)제품선택=best스테이포에버 2개[28% 할인]</t>
        </is>
      </c>
      <c r="H2430" s="39" t="n">
        <v>40</v>
      </c>
      <c r="I2430" s="36">
        <f>VLOOKUP(G2430,매칭테이블!D:E,2,0)</f>
        <v/>
      </c>
      <c r="J2430" s="39" t="n">
        <v>201210</v>
      </c>
      <c r="L2430" s="36">
        <f>VLOOKUP($P2430,매칭테이블!$G:$J,2,0)*H2430</f>
        <v/>
      </c>
      <c r="M2430" s="36">
        <f>L2430-L2430*VLOOKUP($P2430,매칭테이블!$G:$J,3,0)</f>
        <v/>
      </c>
      <c r="N2430" s="36">
        <f>VLOOKUP($P2430,매칭테이블!$G:$J,4,0)*H2430</f>
        <v/>
      </c>
      <c r="O2430" s="52">
        <f>L2430/1.1</f>
        <v/>
      </c>
      <c r="P2430" s="36">
        <f>F2430&amp;E2430&amp;G2430&amp;J2430</f>
        <v/>
      </c>
    </row>
    <row r="2431">
      <c r="B2431" s="51" t="n">
        <v>44186</v>
      </c>
      <c r="C2431" s="36">
        <f>TEXT(B2431,"aaa")</f>
        <v/>
      </c>
      <c r="E2431" s="36">
        <f>INDEX(매칭테이블!C:C,MATCH(RD!G2431,매칭테이블!D:D,0))</f>
        <v/>
      </c>
      <c r="F2431" s="39" t="inlineStr">
        <is>
          <t>카페24</t>
        </is>
      </c>
      <c r="G2431" s="39" t="inlineStr">
        <is>
          <t>유즈 스테이포에버 솔리드퍼퓸 002 (10차 재입고 완료)제품선택=커플추천스테이포에버 + 이그나이트 세트</t>
        </is>
      </c>
      <c r="H2431" s="39" t="n">
        <v>9</v>
      </c>
      <c r="I2431" s="36">
        <f>VLOOKUP(G2431,매칭테이블!D:E,2,0)</f>
        <v/>
      </c>
      <c r="J2431" s="39" t="n">
        <v>201210</v>
      </c>
      <c r="L2431" s="36">
        <f>VLOOKUP($P2431,매칭테이블!$G:$J,2,0)*H2431</f>
        <v/>
      </c>
      <c r="M2431" s="36">
        <f>L2431-L2431*VLOOKUP($P2431,매칭테이블!$G:$J,3,0)</f>
        <v/>
      </c>
      <c r="N2431" s="36">
        <f>VLOOKUP($P2431,매칭테이블!$G:$J,4,0)*H2431</f>
        <v/>
      </c>
      <c r="O2431" s="52">
        <f>L2431/1.1</f>
        <v/>
      </c>
      <c r="P2431" s="36">
        <f>F2431&amp;E2431&amp;G2431&amp;J2431</f>
        <v/>
      </c>
    </row>
    <row r="2432">
      <c r="B2432" s="51" t="n">
        <v>44186</v>
      </c>
      <c r="C2432" s="36">
        <f>TEXT(B2432,"aaa")</f>
        <v/>
      </c>
      <c r="E2432" s="36">
        <f>INDEX(매칭테이블!C:C,MATCH(RD!G2432,매칭테이블!D:D,0))</f>
        <v/>
      </c>
      <c r="F2432" s="39" t="inlineStr">
        <is>
          <t>카페24</t>
        </is>
      </c>
      <c r="G2432" s="39" t="inlineStr">
        <is>
          <t>유즈 스테이포에버 솔리드퍼퓸 002 (10차 재입고 완료)쇼핑백=선물용 쇼핑백</t>
        </is>
      </c>
      <c r="H2432" s="39" t="n">
        <v>7</v>
      </c>
      <c r="I2432" s="36">
        <f>VLOOKUP(G2432,매칭테이블!D:E,2,0)</f>
        <v/>
      </c>
      <c r="J2432" s="39" t="n">
        <v>201210</v>
      </c>
      <c r="L2432" s="36">
        <f>VLOOKUP($P2432,매칭테이블!$G:$J,2,0)*H2432</f>
        <v/>
      </c>
      <c r="M2432" s="36">
        <f>L2432-L2432*VLOOKUP($P2432,매칭테이블!$G:$J,3,0)</f>
        <v/>
      </c>
      <c r="N2432" s="36">
        <f>VLOOKUP($P2432,매칭테이블!$G:$J,4,0)*H2432</f>
        <v/>
      </c>
      <c r="O2432" s="52">
        <f>L2432/1.1</f>
        <v/>
      </c>
      <c r="P2432" s="36">
        <f>F2432&amp;E2432&amp;G2432&amp;J2432</f>
        <v/>
      </c>
    </row>
    <row r="2433">
      <c r="B2433" s="51" t="n">
        <v>44186</v>
      </c>
      <c r="C2433" s="36">
        <f>TEXT(B2433,"aaa")</f>
        <v/>
      </c>
      <c r="E2433" s="36">
        <f>INDEX(매칭테이블!C:C,MATCH(RD!G2433,매칭테이블!D:D,0))</f>
        <v/>
      </c>
      <c r="F2433" s="39" t="inlineStr">
        <is>
          <t>카페24</t>
        </is>
      </c>
      <c r="G2433" s="39" t="inlineStr">
        <is>
          <t>유즈 스테이포에버 솔리드퍼퓸 002 (스테이포에버 주문시 12/15 순차배송)제품선택=스테이포에버 1개</t>
        </is>
      </c>
      <c r="H2433" s="39" t="n">
        <v>1</v>
      </c>
      <c r="I2433" s="36">
        <f>VLOOKUP(G2433,매칭테이블!D:E,2,0)</f>
        <v/>
      </c>
      <c r="J2433" s="39" t="n">
        <v>201210</v>
      </c>
      <c r="L2433" s="36">
        <f>VLOOKUP($P2433,매칭테이블!$G:$J,2,0)*H2433</f>
        <v/>
      </c>
      <c r="M2433" s="36">
        <f>L2433-L2433*VLOOKUP($P2433,매칭테이블!$G:$J,3,0)</f>
        <v/>
      </c>
      <c r="N2433" s="36">
        <f>VLOOKUP($P2433,매칭테이블!$G:$J,4,0)*H2433</f>
        <v/>
      </c>
      <c r="O2433" s="52">
        <f>L2433/1.1</f>
        <v/>
      </c>
      <c r="P2433" s="36">
        <f>F2433&amp;E2433&amp;G2433&amp;J2433</f>
        <v/>
      </c>
    </row>
    <row r="2434">
      <c r="B2434" s="51" t="n">
        <v>44186</v>
      </c>
      <c r="C2434" s="36">
        <f>TEXT(B2434,"aaa")</f>
        <v/>
      </c>
      <c r="E2434" s="36">
        <f>INDEX(매칭테이블!C:C,MATCH(RD!G2434,매칭테이블!D:D,0))</f>
        <v/>
      </c>
      <c r="F2434" s="39" t="inlineStr">
        <is>
          <t>카페24</t>
        </is>
      </c>
      <c r="G2434" s="39" t="inlineStr">
        <is>
          <t>유즈 이그나이트 솔리드퍼퓸 001제품선택=이그나이트 솔리드퍼퓸 - 30ml</t>
        </is>
      </c>
      <c r="H2434" s="39" t="n">
        <v>1</v>
      </c>
      <c r="I2434" s="36">
        <f>VLOOKUP(G2434,매칭테이블!D:E,2,0)</f>
        <v/>
      </c>
      <c r="J2434" s="39" t="n">
        <v>201210</v>
      </c>
      <c r="L2434" s="36">
        <f>VLOOKUP($P2434,매칭테이블!$G:$J,2,0)*H2434</f>
        <v/>
      </c>
      <c r="M2434" s="36">
        <f>L2434-L2434*VLOOKUP($P2434,매칭테이블!$G:$J,3,0)</f>
        <v/>
      </c>
      <c r="N2434" s="36">
        <f>VLOOKUP($P2434,매칭테이블!$G:$J,4,0)*H2434</f>
        <v/>
      </c>
      <c r="O2434" s="52">
        <f>L2434/1.1</f>
        <v/>
      </c>
      <c r="P2434" s="36">
        <f>F2434&amp;E2434&amp;G2434&amp;J2434</f>
        <v/>
      </c>
    </row>
    <row r="2435">
      <c r="B2435" s="51" t="n">
        <v>44186</v>
      </c>
      <c r="C2435" s="36">
        <f>TEXT(B2435,"aaa")</f>
        <v/>
      </c>
      <c r="E2435" s="36">
        <f>INDEX(매칭테이블!C:C,MATCH(RD!G2435,매칭테이블!D:D,0))</f>
        <v/>
      </c>
      <c r="F2435" s="39" t="inlineStr">
        <is>
          <t>카페24</t>
        </is>
      </c>
      <c r="G2435" s="39" t="inlineStr">
        <is>
          <t>유즈 이그나이트 솔리드퍼퓸 001제품선택=이그나이트 2개 세트</t>
        </is>
      </c>
      <c r="H2435" s="39" t="n">
        <v>1</v>
      </c>
      <c r="I2435" s="36">
        <f>VLOOKUP(G2435,매칭테이블!D:E,2,0)</f>
        <v/>
      </c>
      <c r="J2435" s="39" t="n">
        <v>201210</v>
      </c>
      <c r="L2435" s="36">
        <f>VLOOKUP($P2435,매칭테이블!$G:$J,2,0)*H2435</f>
        <v/>
      </c>
      <c r="M2435" s="36">
        <f>L2435-L2435*VLOOKUP($P2435,매칭테이블!$G:$J,3,0)</f>
        <v/>
      </c>
      <c r="N2435" s="36">
        <f>VLOOKUP($P2435,매칭테이블!$G:$J,4,0)*H2435</f>
        <v/>
      </c>
      <c r="O2435" s="52">
        <f>L2435/1.1</f>
        <v/>
      </c>
      <c r="P2435" s="36">
        <f>F2435&amp;E2435&amp;G2435&amp;J2435</f>
        <v/>
      </c>
    </row>
    <row r="2436">
      <c r="B2436" s="51" t="n">
        <v>44186</v>
      </c>
      <c r="C2436" s="36">
        <f>TEXT(B2436,"aaa")</f>
        <v/>
      </c>
      <c r="E2436" s="36">
        <f>INDEX(매칭테이블!C:C,MATCH(RD!G2436,매칭테이블!D:D,0))</f>
        <v/>
      </c>
      <c r="F2436" s="39" t="inlineStr">
        <is>
          <t>카페24</t>
        </is>
      </c>
      <c r="G2436" s="39" t="inlineStr">
        <is>
          <t>유즈 이그나이트 솔리드퍼퓸 001쇼핑백=선물용 쇼핑백</t>
        </is>
      </c>
      <c r="H2436" s="39" t="n">
        <v>1</v>
      </c>
      <c r="I2436" s="36">
        <f>VLOOKUP(G2436,매칭테이블!D:E,2,0)</f>
        <v/>
      </c>
      <c r="J2436" s="39" t="n">
        <v>201210</v>
      </c>
      <c r="L2436" s="36">
        <f>VLOOKUP($P2436,매칭테이블!$G:$J,2,0)*H2436</f>
        <v/>
      </c>
      <c r="M2436" s="36">
        <f>L2436-L2436*VLOOKUP($P2436,매칭테이블!$G:$J,3,0)</f>
        <v/>
      </c>
      <c r="N2436" s="36">
        <f>VLOOKUP($P2436,매칭테이블!$G:$J,4,0)*H2436</f>
        <v/>
      </c>
      <c r="O2436" s="52">
        <f>L2436/1.1</f>
        <v/>
      </c>
      <c r="P2436" s="36">
        <f>F2436&amp;E2436&amp;G2436&amp;J2436</f>
        <v/>
      </c>
    </row>
    <row r="2437">
      <c r="B2437" s="51" t="n">
        <v>44187</v>
      </c>
      <c r="C2437" s="36">
        <f>TEXT(B2437,"aaa")</f>
        <v/>
      </c>
      <c r="E2437" s="36">
        <f>INDEX(매칭테이블!C:C,MATCH(RD!G2437,매칭테이블!D:D,0))</f>
        <v/>
      </c>
      <c r="F2437" s="39" t="inlineStr">
        <is>
          <t>카페24</t>
        </is>
      </c>
      <c r="G2437" s="39" t="inlineStr">
        <is>
          <t>솔리드퍼퓸 스테이포에버 002 30ml</t>
        </is>
      </c>
      <c r="H2437" s="39" t="n">
        <v>1</v>
      </c>
      <c r="I2437" s="36">
        <f>VLOOKUP(G2437,매칭테이블!D:E,2,0)</f>
        <v/>
      </c>
      <c r="J2437" s="39" t="n">
        <v>201210</v>
      </c>
      <c r="L2437" s="36">
        <f>VLOOKUP($P2437,매칭테이블!$G:$J,2,0)*H2437</f>
        <v/>
      </c>
      <c r="M2437" s="36">
        <f>L2437-L2437*VLOOKUP($P2437,매칭테이블!$G:$J,3,0)</f>
        <v/>
      </c>
      <c r="N2437" s="36">
        <f>VLOOKUP($P2437,매칭테이블!$G:$J,4,0)*H2437</f>
        <v/>
      </c>
      <c r="O2437" s="52">
        <f>L2437/1.1</f>
        <v/>
      </c>
      <c r="P2437" s="36">
        <f>F2437&amp;E2437&amp;G2437&amp;J2437</f>
        <v/>
      </c>
    </row>
    <row r="2438">
      <c r="B2438" s="51" t="n">
        <v>44187</v>
      </c>
      <c r="C2438" s="36">
        <f>TEXT(B2438,"aaa")</f>
        <v/>
      </c>
      <c r="E2438" s="36">
        <f>INDEX(매칭테이블!C:C,MATCH(RD!G2438,매칭테이블!D:D,0))</f>
        <v/>
      </c>
      <c r="F2438" s="39" t="inlineStr">
        <is>
          <t>카페24</t>
        </is>
      </c>
      <c r="G2438" s="39" t="inlineStr">
        <is>
          <t>스테이포에버 솔리드퍼퓸 002 (10차 재입고 완료제품선택=스테이포에버 1개</t>
        </is>
      </c>
      <c r="H2438" s="39" t="n">
        <v>1</v>
      </c>
      <c r="I2438" s="36">
        <f>VLOOKUP(G2438,매칭테이블!D:E,2,0)</f>
        <v/>
      </c>
      <c r="J2438" s="39" t="n">
        <v>201210</v>
      </c>
      <c r="L2438" s="36">
        <f>VLOOKUP($P2438,매칭테이블!$G:$J,2,0)*H2438</f>
        <v/>
      </c>
      <c r="M2438" s="36">
        <f>L2438-L2438*VLOOKUP($P2438,매칭테이블!$G:$J,3,0)</f>
        <v/>
      </c>
      <c r="N2438" s="36">
        <f>VLOOKUP($P2438,매칭테이블!$G:$J,4,0)*H2438</f>
        <v/>
      </c>
      <c r="O2438" s="52">
        <f>L2438/1.1</f>
        <v/>
      </c>
      <c r="P2438" s="36">
        <f>F2438&amp;E2438&amp;G2438&amp;J2438</f>
        <v/>
      </c>
    </row>
    <row r="2439">
      <c r="B2439" s="51" t="n">
        <v>44187</v>
      </c>
      <c r="C2439" s="36">
        <f>TEXT(B2439,"aaa")</f>
        <v/>
      </c>
      <c r="E2439" s="36">
        <f>INDEX(매칭테이블!C:C,MATCH(RD!G2439,매칭테이블!D:D,0))</f>
        <v/>
      </c>
      <c r="F2439" s="39" t="inlineStr">
        <is>
          <t>카페24</t>
        </is>
      </c>
      <c r="G2439" s="39" t="inlineStr">
        <is>
          <t>스테이포에버 솔리드퍼퓸 002 (10차 재입고 완료제품선택=커플추천</t>
        </is>
      </c>
      <c r="H2439" s="39" t="n">
        <v>1</v>
      </c>
      <c r="I2439" s="36">
        <f>VLOOKUP(G2439,매칭테이블!D:E,2,0)</f>
        <v/>
      </c>
      <c r="J2439" s="39" t="n">
        <v>201210</v>
      </c>
      <c r="L2439" s="36">
        <f>VLOOKUP($P2439,매칭테이블!$G:$J,2,0)*H2439</f>
        <v/>
      </c>
      <c r="M2439" s="36">
        <f>L2439-L2439*VLOOKUP($P2439,매칭테이블!$G:$J,3,0)</f>
        <v/>
      </c>
      <c r="N2439" s="36">
        <f>VLOOKUP($P2439,매칭테이블!$G:$J,4,0)*H2439</f>
        <v/>
      </c>
      <c r="O2439" s="52">
        <f>L2439/1.1</f>
        <v/>
      </c>
      <c r="P2439" s="36">
        <f>F2439&amp;E2439&amp;G2439&amp;J2439</f>
        <v/>
      </c>
    </row>
    <row r="2440">
      <c r="B2440" s="51" t="n">
        <v>44187</v>
      </c>
      <c r="C2440" s="36">
        <f>TEXT(B2440,"aaa")</f>
        <v/>
      </c>
      <c r="E2440" s="36">
        <f>INDEX(매칭테이블!C:C,MATCH(RD!G2440,매칭테이블!D:D,0))</f>
        <v/>
      </c>
      <c r="F2440" s="39" t="inlineStr">
        <is>
          <t>카페24</t>
        </is>
      </c>
      <c r="G2440" s="39" t="inlineStr">
        <is>
          <t>유즈 솔리드퍼퓸 - 30ml (10차 재입고 완료향=스테이포에버 002 SOLID PERFUME, 세트 선택=1개</t>
        </is>
      </c>
      <c r="H2440" s="39" t="n">
        <v>2</v>
      </c>
      <c r="I2440" s="36">
        <f>VLOOKUP(G2440,매칭테이블!D:E,2,0)</f>
        <v/>
      </c>
      <c r="J2440" s="39" t="n">
        <v>201210</v>
      </c>
      <c r="L2440" s="36">
        <f>VLOOKUP($P2440,매칭테이블!$G:$J,2,0)*H2440</f>
        <v/>
      </c>
      <c r="M2440" s="36">
        <f>L2440-L2440*VLOOKUP($P2440,매칭테이블!$G:$J,3,0)</f>
        <v/>
      </c>
      <c r="N2440" s="36">
        <f>VLOOKUP($P2440,매칭테이블!$G:$J,4,0)*H2440</f>
        <v/>
      </c>
      <c r="O2440" s="52">
        <f>L2440/1.1</f>
        <v/>
      </c>
      <c r="P2440" s="36">
        <f>F2440&amp;E2440&amp;G2440&amp;J2440</f>
        <v/>
      </c>
    </row>
    <row r="2441">
      <c r="B2441" s="51" t="n">
        <v>44187</v>
      </c>
      <c r="C2441" s="36">
        <f>TEXT(B2441,"aaa")</f>
        <v/>
      </c>
      <c r="E2441" s="36">
        <f>INDEX(매칭테이블!C:C,MATCH(RD!G2441,매칭테이블!D:D,0))</f>
        <v/>
      </c>
      <c r="F2441" s="39" t="inlineStr">
        <is>
          <t>카페24</t>
        </is>
      </c>
      <c r="G2441" s="39" t="inlineStr">
        <is>
          <t>유즈 솔리드퍼퓸 - 30ml (10차 재입고 완료향=스테이포에버 002 SOLID PERFUME, 세트 선택=best</t>
        </is>
      </c>
      <c r="H2441" s="39" t="n">
        <v>1</v>
      </c>
      <c r="I2441" s="36">
        <f>VLOOKUP(G2441,매칭테이블!D:E,2,0)</f>
        <v/>
      </c>
      <c r="J2441" s="39" t="n">
        <v>201210</v>
      </c>
      <c r="L2441" s="36">
        <f>VLOOKUP($P2441,매칭테이블!$G:$J,2,0)*H2441</f>
        <v/>
      </c>
      <c r="M2441" s="36">
        <f>L2441-L2441*VLOOKUP($P2441,매칭테이블!$G:$J,3,0)</f>
        <v/>
      </c>
      <c r="N2441" s="36">
        <f>VLOOKUP($P2441,매칭테이블!$G:$J,4,0)*H2441</f>
        <v/>
      </c>
      <c r="O2441" s="52">
        <f>L2441/1.1</f>
        <v/>
      </c>
      <c r="P2441" s="36">
        <f>F2441&amp;E2441&amp;G2441&amp;J2441</f>
        <v/>
      </c>
    </row>
    <row r="2442">
      <c r="B2442" s="51" t="n">
        <v>44187</v>
      </c>
      <c r="C2442" s="36">
        <f>TEXT(B2442,"aaa")</f>
        <v/>
      </c>
      <c r="E2442" s="36">
        <f>INDEX(매칭테이블!C:C,MATCH(RD!G2442,매칭테이블!D:D,0))</f>
        <v/>
      </c>
      <c r="F2442" s="39" t="inlineStr">
        <is>
          <t>카페24</t>
        </is>
      </c>
      <c r="G2442" s="39" t="inlineStr">
        <is>
          <t>유즈 솔리드퍼퓸 - 30ml (10차 재입고 완료향=커플세트</t>
        </is>
      </c>
      <c r="H2442" s="39" t="n">
        <v>4</v>
      </c>
      <c r="I2442" s="36">
        <f>VLOOKUP(G2442,매칭테이블!D:E,2,0)</f>
        <v/>
      </c>
      <c r="J2442" s="39" t="n">
        <v>201210</v>
      </c>
      <c r="L2442" s="36">
        <f>VLOOKUP($P2442,매칭테이블!$G:$J,2,0)*H2442</f>
        <v/>
      </c>
      <c r="M2442" s="36">
        <f>L2442-L2442*VLOOKUP($P2442,매칭테이블!$G:$J,3,0)</f>
        <v/>
      </c>
      <c r="N2442" s="36">
        <f>VLOOKUP($P2442,매칭테이블!$G:$J,4,0)*H2442</f>
        <v/>
      </c>
      <c r="O2442" s="52">
        <f>L2442/1.1</f>
        <v/>
      </c>
      <c r="P2442" s="36">
        <f>F2442&amp;E2442&amp;G2442&amp;J2442</f>
        <v/>
      </c>
    </row>
    <row r="2443">
      <c r="B2443" s="51" t="n">
        <v>44187</v>
      </c>
      <c r="C2443" s="36">
        <f>TEXT(B2443,"aaa")</f>
        <v/>
      </c>
      <c r="E2443" s="36">
        <f>INDEX(매칭테이블!C:C,MATCH(RD!G2443,매칭테이블!D:D,0))</f>
        <v/>
      </c>
      <c r="F2443" s="39" t="inlineStr">
        <is>
          <t>카페24</t>
        </is>
      </c>
      <c r="G2443" s="39" t="inlineStr">
        <is>
          <t>유즈 솔리드퍼퓸 - 30ml (10차 재입고 완료향=커플세트</t>
        </is>
      </c>
      <c r="H2443" s="39" t="n">
        <v>1</v>
      </c>
      <c r="I2443" s="36">
        <f>VLOOKUP(G2443,매칭테이블!D:E,2,0)</f>
        <v/>
      </c>
      <c r="J2443" s="39" t="n">
        <v>201210</v>
      </c>
      <c r="L2443" s="36">
        <f>VLOOKUP($P2443,매칭테이블!$G:$J,2,0)*H2443</f>
        <v/>
      </c>
      <c r="M2443" s="36">
        <f>L2443-L2443*VLOOKUP($P2443,매칭테이블!$G:$J,3,0)</f>
        <v/>
      </c>
      <c r="N2443" s="36">
        <f>VLOOKUP($P2443,매칭테이블!$G:$J,4,0)*H2443</f>
        <v/>
      </c>
      <c r="O2443" s="52">
        <f>L2443/1.1</f>
        <v/>
      </c>
      <c r="P2443" s="36">
        <f>F2443&amp;E2443&amp;G2443&amp;J2443</f>
        <v/>
      </c>
    </row>
    <row r="2444">
      <c r="B2444" s="51" t="n">
        <v>44187</v>
      </c>
      <c r="C2444" s="36">
        <f>TEXT(B2444,"aaa")</f>
        <v/>
      </c>
      <c r="E2444" s="36">
        <f>INDEX(매칭테이블!C:C,MATCH(RD!G2444,매칭테이블!D:D,0))</f>
        <v/>
      </c>
      <c r="F2444" s="39" t="inlineStr">
        <is>
          <t>카페24</t>
        </is>
      </c>
      <c r="G2444" s="39" t="inlineStr">
        <is>
          <t>유즈 솔리드퍼퓸 - 30ml (10차 재입고 완료 )향=스테이포에버 002 SOLID PERFUME, 세트 선택=1개</t>
        </is>
      </c>
      <c r="H2444" s="39" t="n">
        <v>9</v>
      </c>
      <c r="I2444" s="36">
        <f>VLOOKUP(G2444,매칭테이블!D:E,2,0)</f>
        <v/>
      </c>
      <c r="J2444" s="39" t="n">
        <v>201210</v>
      </c>
      <c r="L2444" s="36">
        <f>VLOOKUP($P2444,매칭테이블!$G:$J,2,0)*H2444</f>
        <v/>
      </c>
      <c r="M2444" s="36">
        <f>L2444-L2444*VLOOKUP($P2444,매칭테이블!$G:$J,3,0)</f>
        <v/>
      </c>
      <c r="N2444" s="36">
        <f>VLOOKUP($P2444,매칭테이블!$G:$J,4,0)*H2444</f>
        <v/>
      </c>
      <c r="O2444" s="52">
        <f>L2444/1.1</f>
        <v/>
      </c>
      <c r="P2444" s="36">
        <f>F2444&amp;E2444&amp;G2444&amp;J2444</f>
        <v/>
      </c>
    </row>
    <row r="2445">
      <c r="B2445" s="51" t="n">
        <v>44187</v>
      </c>
      <c r="C2445" s="36">
        <f>TEXT(B2445,"aaa")</f>
        <v/>
      </c>
      <c r="E2445" s="36">
        <f>INDEX(매칭테이블!C:C,MATCH(RD!G2445,매칭테이블!D:D,0))</f>
        <v/>
      </c>
      <c r="F2445" s="39" t="inlineStr">
        <is>
          <t>카페24</t>
        </is>
      </c>
      <c r="G2445" s="39" t="inlineStr">
        <is>
          <t>유즈 솔리드퍼퓸 - 30ml (10차 재입고 완료 )향=스테이포에버 002 SOLID PERFUME, 세트 선택=best 2개 (28% 할인)</t>
        </is>
      </c>
      <c r="H2445" s="39" t="n">
        <v>3</v>
      </c>
      <c r="I2445" s="36">
        <f>VLOOKUP(G2445,매칭테이블!D:E,2,0)</f>
        <v/>
      </c>
      <c r="J2445" s="39" t="n">
        <v>201210</v>
      </c>
      <c r="L2445" s="36">
        <f>VLOOKUP($P2445,매칭테이블!$G:$J,2,0)*H2445</f>
        <v/>
      </c>
      <c r="M2445" s="36">
        <f>L2445-L2445*VLOOKUP($P2445,매칭테이블!$G:$J,3,0)</f>
        <v/>
      </c>
      <c r="N2445" s="36">
        <f>VLOOKUP($P2445,매칭테이블!$G:$J,4,0)*H2445</f>
        <v/>
      </c>
      <c r="O2445" s="52">
        <f>L2445/1.1</f>
        <v/>
      </c>
      <c r="P2445" s="36">
        <f>F2445&amp;E2445&amp;G2445&amp;J2445</f>
        <v/>
      </c>
    </row>
    <row r="2446">
      <c r="B2446" s="51" t="n">
        <v>44187</v>
      </c>
      <c r="C2446" s="36">
        <f>TEXT(B2446,"aaa")</f>
        <v/>
      </c>
      <c r="E2446" s="36">
        <f>INDEX(매칭테이블!C:C,MATCH(RD!G2446,매칭테이블!D:D,0))</f>
        <v/>
      </c>
      <c r="F2446" s="39" t="inlineStr">
        <is>
          <t>카페24</t>
        </is>
      </c>
      <c r="G2446" s="39" t="inlineStr">
        <is>
          <t>유즈 솔리드퍼퓸 - 30ml (10차 재입고 완료 )향=커플세트(이그나이트 + 스테이포에버), 세트 선택=1 SET</t>
        </is>
      </c>
      <c r="H2446" s="39" t="n">
        <v>4</v>
      </c>
      <c r="I2446" s="36">
        <f>VLOOKUP(G2446,매칭테이블!D:E,2,0)</f>
        <v/>
      </c>
      <c r="J2446" s="39" t="n">
        <v>201210</v>
      </c>
      <c r="L2446" s="36">
        <f>VLOOKUP($P2446,매칭테이블!$G:$J,2,0)*H2446</f>
        <v/>
      </c>
      <c r="M2446" s="36">
        <f>L2446-L2446*VLOOKUP($P2446,매칭테이블!$G:$J,3,0)</f>
        <v/>
      </c>
      <c r="N2446" s="36">
        <f>VLOOKUP($P2446,매칭테이블!$G:$J,4,0)*H2446</f>
        <v/>
      </c>
      <c r="O2446" s="52">
        <f>L2446/1.1</f>
        <v/>
      </c>
      <c r="P2446" s="36">
        <f>F2446&amp;E2446&amp;G2446&amp;J2446</f>
        <v/>
      </c>
    </row>
    <row r="2447">
      <c r="B2447" s="51" t="n">
        <v>44187</v>
      </c>
      <c r="C2447" s="36">
        <f>TEXT(B2447,"aaa")</f>
        <v/>
      </c>
      <c r="E2447" s="36">
        <f>INDEX(매칭테이블!C:C,MATCH(RD!G2447,매칭테이블!D:D,0))</f>
        <v/>
      </c>
      <c r="F2447" s="39" t="inlineStr">
        <is>
          <t>카페24</t>
        </is>
      </c>
      <c r="G2447" s="39" t="inlineStr">
        <is>
          <t>유즈 솔리드퍼퓸 - 30ml (10차 재입고 완료 )향=커플세트(이그나이트 + 스테이포에버), 세트 선택=2 SET (42% 할인)</t>
        </is>
      </c>
      <c r="H2447" s="39" t="n">
        <v>1</v>
      </c>
      <c r="I2447" s="36">
        <f>VLOOKUP(G2447,매칭테이블!D:E,2,0)</f>
        <v/>
      </c>
      <c r="J2447" s="39" t="n">
        <v>201210</v>
      </c>
      <c r="L2447" s="36">
        <f>VLOOKUP($P2447,매칭테이블!$G:$J,2,0)*H2447</f>
        <v/>
      </c>
      <c r="M2447" s="36">
        <f>L2447-L2447*VLOOKUP($P2447,매칭테이블!$G:$J,3,0)</f>
        <v/>
      </c>
      <c r="N2447" s="36">
        <f>VLOOKUP($P2447,매칭테이블!$G:$J,4,0)*H2447</f>
        <v/>
      </c>
      <c r="O2447" s="52">
        <f>L2447/1.1</f>
        <v/>
      </c>
      <c r="P2447" s="36">
        <f>F2447&amp;E2447&amp;G2447&amp;J2447</f>
        <v/>
      </c>
    </row>
    <row r="2448">
      <c r="B2448" s="51" t="n">
        <v>44187</v>
      </c>
      <c r="C2448" s="36">
        <f>TEXT(B2448,"aaa")</f>
        <v/>
      </c>
      <c r="E2448" s="36">
        <f>INDEX(매칭테이블!C:C,MATCH(RD!G2448,매칭테이블!D:D,0))</f>
        <v/>
      </c>
      <c r="F2448" s="39" t="inlineStr">
        <is>
          <t>카페24</t>
        </is>
      </c>
      <c r="G2448" s="39" t="inlineStr">
        <is>
          <t>유즈 스테이포에버 솔리드퍼퓸 002 (10차 재입고 완료제품선택=스테이포에버 1개</t>
        </is>
      </c>
      <c r="H2448" s="39" t="n">
        <v>68</v>
      </c>
      <c r="I2448" s="36">
        <f>VLOOKUP(G2448,매칭테이블!D:E,2,0)</f>
        <v/>
      </c>
      <c r="J2448" s="39" t="n">
        <v>201210</v>
      </c>
      <c r="L2448" s="36">
        <f>VLOOKUP($P2448,매칭테이블!$G:$J,2,0)*H2448</f>
        <v/>
      </c>
      <c r="M2448" s="36">
        <f>L2448-L2448*VLOOKUP($P2448,매칭테이블!$G:$J,3,0)</f>
        <v/>
      </c>
      <c r="N2448" s="36">
        <f>VLOOKUP($P2448,매칭테이블!$G:$J,4,0)*H2448</f>
        <v/>
      </c>
      <c r="O2448" s="52">
        <f>L2448/1.1</f>
        <v/>
      </c>
      <c r="P2448" s="36">
        <f>F2448&amp;E2448&amp;G2448&amp;J2448</f>
        <v/>
      </c>
    </row>
    <row r="2449">
      <c r="B2449" s="51" t="n">
        <v>44187</v>
      </c>
      <c r="C2449" s="36">
        <f>TEXT(B2449,"aaa")</f>
        <v/>
      </c>
      <c r="E2449" s="36">
        <f>INDEX(매칭테이블!C:C,MATCH(RD!G2449,매칭테이블!D:D,0))</f>
        <v/>
      </c>
      <c r="F2449" s="39" t="inlineStr">
        <is>
          <t>카페24</t>
        </is>
      </c>
      <c r="G2449" s="39" t="inlineStr">
        <is>
          <t>유즈 스테이포에버 솔리드퍼퓸 002 (10차 재입고 완료제품선택=best</t>
        </is>
      </c>
      <c r="H2449" s="39" t="n">
        <v>26</v>
      </c>
      <c r="I2449" s="36">
        <f>VLOOKUP(G2449,매칭테이블!D:E,2,0)</f>
        <v/>
      </c>
      <c r="J2449" s="39" t="n">
        <v>201210</v>
      </c>
      <c r="L2449" s="36">
        <f>VLOOKUP($P2449,매칭테이블!$G:$J,2,0)*H2449</f>
        <v/>
      </c>
      <c r="M2449" s="36">
        <f>L2449-L2449*VLOOKUP($P2449,매칭테이블!$G:$J,3,0)</f>
        <v/>
      </c>
      <c r="N2449" s="36">
        <f>VLOOKUP($P2449,매칭테이블!$G:$J,4,0)*H2449</f>
        <v/>
      </c>
      <c r="O2449" s="52">
        <f>L2449/1.1</f>
        <v/>
      </c>
      <c r="P2449" s="36">
        <f>F2449&amp;E2449&amp;G2449&amp;J2449</f>
        <v/>
      </c>
    </row>
    <row r="2450">
      <c r="B2450" s="51" t="n">
        <v>44187</v>
      </c>
      <c r="C2450" s="36">
        <f>TEXT(B2450,"aaa")</f>
        <v/>
      </c>
      <c r="E2450" s="36">
        <f>INDEX(매칭테이블!C:C,MATCH(RD!G2450,매칭테이블!D:D,0))</f>
        <v/>
      </c>
      <c r="F2450" s="39" t="inlineStr">
        <is>
          <t>카페24</t>
        </is>
      </c>
      <c r="G2450" s="39" t="inlineStr">
        <is>
          <t>유즈 스테이포에버 솔리드퍼퓸 002 (10차 재입고 완료제품선택=커플추천</t>
        </is>
      </c>
      <c r="H2450" s="39" t="n">
        <v>11</v>
      </c>
      <c r="I2450" s="36">
        <f>VLOOKUP(G2450,매칭테이블!D:E,2,0)</f>
        <v/>
      </c>
      <c r="J2450" s="39" t="n">
        <v>201210</v>
      </c>
      <c r="L2450" s="36">
        <f>VLOOKUP($P2450,매칭테이블!$G:$J,2,0)*H2450</f>
        <v/>
      </c>
      <c r="M2450" s="36">
        <f>L2450-L2450*VLOOKUP($P2450,매칭테이블!$G:$J,3,0)</f>
        <v/>
      </c>
      <c r="N2450" s="36">
        <f>VLOOKUP($P2450,매칭테이블!$G:$J,4,0)*H2450</f>
        <v/>
      </c>
      <c r="O2450" s="52">
        <f>L2450/1.1</f>
        <v/>
      </c>
      <c r="P2450" s="36">
        <f>F2450&amp;E2450&amp;G2450&amp;J2450</f>
        <v/>
      </c>
    </row>
    <row r="2451">
      <c r="B2451" s="51" t="n">
        <v>44187</v>
      </c>
      <c r="C2451" s="36">
        <f>TEXT(B2451,"aaa")</f>
        <v/>
      </c>
      <c r="E2451" s="36">
        <f>INDEX(매칭테이블!C:C,MATCH(RD!G2451,매칭테이블!D:D,0))</f>
        <v/>
      </c>
      <c r="F2451" s="39" t="inlineStr">
        <is>
          <t>카페24</t>
        </is>
      </c>
      <c r="G2451" s="39" t="inlineStr">
        <is>
          <t>유즈 스테이포에버 솔리드퍼퓸 002 (10차 재입고 완료)제품선택=스테이포에버 1개</t>
        </is>
      </c>
      <c r="H2451" s="39" t="n">
        <v>103</v>
      </c>
      <c r="I2451" s="36">
        <f>VLOOKUP(G2451,매칭테이블!D:E,2,0)</f>
        <v/>
      </c>
      <c r="J2451" s="39" t="n">
        <v>201210</v>
      </c>
      <c r="L2451" s="36">
        <f>VLOOKUP($P2451,매칭테이블!$G:$J,2,0)*H2451</f>
        <v/>
      </c>
      <c r="M2451" s="36">
        <f>L2451-L2451*VLOOKUP($P2451,매칭테이블!$G:$J,3,0)</f>
        <v/>
      </c>
      <c r="N2451" s="36">
        <f>VLOOKUP($P2451,매칭테이블!$G:$J,4,0)*H2451</f>
        <v/>
      </c>
      <c r="O2451" s="52">
        <f>L2451/1.1</f>
        <v/>
      </c>
      <c r="P2451" s="36">
        <f>F2451&amp;E2451&amp;G2451&amp;J2451</f>
        <v/>
      </c>
    </row>
    <row r="2452">
      <c r="B2452" s="51" t="n">
        <v>44187</v>
      </c>
      <c r="C2452" s="36">
        <f>TEXT(B2452,"aaa")</f>
        <v/>
      </c>
      <c r="E2452" s="36">
        <f>INDEX(매칭테이블!C:C,MATCH(RD!G2452,매칭테이블!D:D,0))</f>
        <v/>
      </c>
      <c r="F2452" s="39" t="inlineStr">
        <is>
          <t>카페24</t>
        </is>
      </c>
      <c r="G2452" s="39" t="inlineStr">
        <is>
          <t>유즈 스테이포에버 솔리드퍼퓸 002 (10차 재입고 완료)제품선택=best스테이포에버 2개[28% 할인]</t>
        </is>
      </c>
      <c r="H2452" s="39" t="n">
        <v>38</v>
      </c>
      <c r="I2452" s="36">
        <f>VLOOKUP(G2452,매칭테이블!D:E,2,0)</f>
        <v/>
      </c>
      <c r="J2452" s="39" t="n">
        <v>201210</v>
      </c>
      <c r="L2452" s="36">
        <f>VLOOKUP($P2452,매칭테이블!$G:$J,2,0)*H2452</f>
        <v/>
      </c>
      <c r="M2452" s="36">
        <f>L2452-L2452*VLOOKUP($P2452,매칭테이블!$G:$J,3,0)</f>
        <v/>
      </c>
      <c r="N2452" s="36">
        <f>VLOOKUP($P2452,매칭테이블!$G:$J,4,0)*H2452</f>
        <v/>
      </c>
      <c r="O2452" s="52">
        <f>L2452/1.1</f>
        <v/>
      </c>
      <c r="P2452" s="36">
        <f>F2452&amp;E2452&amp;G2452&amp;J2452</f>
        <v/>
      </c>
    </row>
    <row r="2453">
      <c r="B2453" s="51" t="n">
        <v>44187</v>
      </c>
      <c r="C2453" s="36">
        <f>TEXT(B2453,"aaa")</f>
        <v/>
      </c>
      <c r="E2453" s="36">
        <f>INDEX(매칭테이블!C:C,MATCH(RD!G2453,매칭테이블!D:D,0))</f>
        <v/>
      </c>
      <c r="F2453" s="39" t="inlineStr">
        <is>
          <t>카페24</t>
        </is>
      </c>
      <c r="G2453" s="39" t="inlineStr">
        <is>
          <t>유즈 스테이포에버 솔리드퍼퓸 002 (10차 재입고 완료)제품선택=커플추천스테이포에버 + 이그나이트 세트</t>
        </is>
      </c>
      <c r="H2453" s="39" t="n">
        <v>5</v>
      </c>
      <c r="I2453" s="36">
        <f>VLOOKUP(G2453,매칭테이블!D:E,2,0)</f>
        <v/>
      </c>
      <c r="J2453" s="39" t="n">
        <v>201210</v>
      </c>
      <c r="L2453" s="36">
        <f>VLOOKUP($P2453,매칭테이블!$G:$J,2,0)*H2453</f>
        <v/>
      </c>
      <c r="M2453" s="36">
        <f>L2453-L2453*VLOOKUP($P2453,매칭테이블!$G:$J,3,0)</f>
        <v/>
      </c>
      <c r="N2453" s="36">
        <f>VLOOKUP($P2453,매칭테이블!$G:$J,4,0)*H2453</f>
        <v/>
      </c>
      <c r="O2453" s="52">
        <f>L2453/1.1</f>
        <v/>
      </c>
      <c r="P2453" s="36">
        <f>F2453&amp;E2453&amp;G2453&amp;J2453</f>
        <v/>
      </c>
    </row>
    <row r="2454">
      <c r="B2454" s="51" t="n">
        <v>44187</v>
      </c>
      <c r="C2454" s="36">
        <f>TEXT(B2454,"aaa")</f>
        <v/>
      </c>
      <c r="E2454" s="36">
        <f>INDEX(매칭테이블!C:C,MATCH(RD!G2454,매칭테이블!D:D,0))</f>
        <v/>
      </c>
      <c r="F2454" s="39" t="inlineStr">
        <is>
          <t>카페24</t>
        </is>
      </c>
      <c r="G2454" s="39" t="inlineStr">
        <is>
          <t>유즈 스테이포에버 솔리드퍼퓸 002 (10차 재입고 완료)쇼핑백=선물용 쇼핑백</t>
        </is>
      </c>
      <c r="H2454" s="39" t="n">
        <v>6</v>
      </c>
      <c r="I2454" s="36">
        <f>VLOOKUP(G2454,매칭테이블!D:E,2,0)</f>
        <v/>
      </c>
      <c r="J2454" s="39" t="n">
        <v>201210</v>
      </c>
      <c r="L2454" s="36">
        <f>VLOOKUP($P2454,매칭테이블!$G:$J,2,0)*H2454</f>
        <v/>
      </c>
      <c r="M2454" s="36">
        <f>L2454-L2454*VLOOKUP($P2454,매칭테이블!$G:$J,3,0)</f>
        <v/>
      </c>
      <c r="N2454" s="36">
        <f>VLOOKUP($P2454,매칭테이블!$G:$J,4,0)*H2454</f>
        <v/>
      </c>
      <c r="O2454" s="52">
        <f>L2454/1.1</f>
        <v/>
      </c>
      <c r="P2454" s="36">
        <f>F2454&amp;E2454&amp;G2454&amp;J2454</f>
        <v/>
      </c>
    </row>
    <row r="2455">
      <c r="B2455" s="51" t="n">
        <v>44187</v>
      </c>
      <c r="C2455" s="36">
        <f>TEXT(B2455,"aaa")</f>
        <v/>
      </c>
      <c r="E2455" s="36">
        <f>INDEX(매칭테이블!C:C,MATCH(RD!G2455,매칭테이블!D:D,0))</f>
        <v/>
      </c>
      <c r="F2455" s="39" t="inlineStr">
        <is>
          <t>카페24</t>
        </is>
      </c>
      <c r="G2455" s="39" t="inlineStr">
        <is>
          <t>유즈 이그나이트 솔리드퍼퓸 001제품선택=이그나이트 솔리드퍼퓸 - 30ml</t>
        </is>
      </c>
      <c r="H2455" s="39" t="n">
        <v>4</v>
      </c>
      <c r="I2455" s="36">
        <f>VLOOKUP(G2455,매칭테이블!D:E,2,0)</f>
        <v/>
      </c>
      <c r="J2455" s="39" t="n">
        <v>201210</v>
      </c>
      <c r="L2455" s="36">
        <f>VLOOKUP($P2455,매칭테이블!$G:$J,2,0)*H2455</f>
        <v/>
      </c>
      <c r="M2455" s="36">
        <f>L2455-L2455*VLOOKUP($P2455,매칭테이블!$G:$J,3,0)</f>
        <v/>
      </c>
      <c r="N2455" s="36">
        <f>VLOOKUP($P2455,매칭테이블!$G:$J,4,0)*H2455</f>
        <v/>
      </c>
      <c r="O2455" s="52">
        <f>L2455/1.1</f>
        <v/>
      </c>
      <c r="P2455" s="36">
        <f>F2455&amp;E2455&amp;G2455&amp;J2455</f>
        <v/>
      </c>
    </row>
    <row r="2456">
      <c r="B2456" s="51" t="n">
        <v>44187</v>
      </c>
      <c r="C2456" s="36">
        <f>TEXT(B2456,"aaa")</f>
        <v/>
      </c>
      <c r="E2456" s="36">
        <f>INDEX(매칭테이블!C:C,MATCH(RD!G2456,매칭테이블!D:D,0))</f>
        <v/>
      </c>
      <c r="F2456" s="39" t="inlineStr">
        <is>
          <t>카페24</t>
        </is>
      </c>
      <c r="G2456" s="39" t="inlineStr">
        <is>
          <t>유즈 이그나이트 솔리드퍼퓸 001쇼핑백=선물용 쇼핑백</t>
        </is>
      </c>
      <c r="H2456" s="39" t="n">
        <v>1</v>
      </c>
      <c r="I2456" s="36">
        <f>VLOOKUP(G2456,매칭테이블!D:E,2,0)</f>
        <v/>
      </c>
      <c r="J2456" s="39" t="n">
        <v>201210</v>
      </c>
      <c r="L2456" s="36">
        <f>VLOOKUP($P2456,매칭테이블!$G:$J,2,0)*H2456</f>
        <v/>
      </c>
      <c r="M2456" s="36">
        <f>L2456-L2456*VLOOKUP($P2456,매칭테이블!$G:$J,3,0)</f>
        <v/>
      </c>
      <c r="N2456" s="36">
        <f>VLOOKUP($P2456,매칭테이블!$G:$J,4,0)*H2456</f>
        <v/>
      </c>
      <c r="O2456" s="52">
        <f>L2456/1.1</f>
        <v/>
      </c>
      <c r="P2456" s="36">
        <f>F2456&amp;E2456&amp;G2456&amp;J2456</f>
        <v/>
      </c>
    </row>
    <row r="2457">
      <c r="B2457" s="51" t="n">
        <v>44188</v>
      </c>
      <c r="C2457" s="36">
        <f>TEXT(B2457,"aaa")</f>
        <v/>
      </c>
      <c r="E2457" s="36">
        <f>INDEX(매칭테이블!C:C,MATCH(RD!G2457,매칭테이블!D:D,0))</f>
        <v/>
      </c>
      <c r="F2457" s="39" t="inlineStr">
        <is>
          <t>카페24</t>
        </is>
      </c>
      <c r="G2457" s="39" t="inlineStr">
        <is>
          <t>스테이포에버 솔리드퍼퓸 002 (10차 재입고 완료제품선택=best</t>
        </is>
      </c>
      <c r="H2457" s="39" t="n">
        <v>1</v>
      </c>
      <c r="I2457" s="36">
        <f>VLOOKUP(G2457,매칭테이블!D:E,2,0)</f>
        <v/>
      </c>
      <c r="J2457" s="39" t="n">
        <v>201210</v>
      </c>
      <c r="L2457" s="36">
        <f>VLOOKUP($P2457,매칭테이블!$G:$J,2,0)*H2457</f>
        <v/>
      </c>
      <c r="M2457" s="36">
        <f>L2457-L2457*VLOOKUP($P2457,매칭테이블!$G:$J,3,0)</f>
        <v/>
      </c>
      <c r="N2457" s="36">
        <f>VLOOKUP($P2457,매칭테이블!$G:$J,4,0)*H2457</f>
        <v/>
      </c>
      <c r="O2457" s="52">
        <f>L2457/1.1</f>
        <v/>
      </c>
      <c r="P2457" s="36">
        <f>F2457&amp;E2457&amp;G2457&amp;J2457</f>
        <v/>
      </c>
    </row>
    <row r="2458">
      <c r="B2458" s="51" t="n">
        <v>44188</v>
      </c>
      <c r="C2458" s="36">
        <f>TEXT(B2458,"aaa")</f>
        <v/>
      </c>
      <c r="E2458" s="36">
        <f>INDEX(매칭테이블!C:C,MATCH(RD!G2458,매칭테이블!D:D,0))</f>
        <v/>
      </c>
      <c r="F2458" s="39" t="inlineStr">
        <is>
          <t>카페24</t>
        </is>
      </c>
      <c r="G2458" s="39" t="inlineStr">
        <is>
          <t>유즈 솔리드퍼퓸 - 30ml (10차 재입고 완료향=스테이포에버 002 SOLID PERFUME, 세트 선택=1개</t>
        </is>
      </c>
      <c r="H2458" s="39" t="n">
        <v>5</v>
      </c>
      <c r="I2458" s="36">
        <f>VLOOKUP(G2458,매칭테이블!D:E,2,0)</f>
        <v/>
      </c>
      <c r="J2458" s="39" t="n">
        <v>201210</v>
      </c>
      <c r="L2458" s="36">
        <f>VLOOKUP($P2458,매칭테이블!$G:$J,2,0)*H2458</f>
        <v/>
      </c>
      <c r="M2458" s="36">
        <f>L2458-L2458*VLOOKUP($P2458,매칭테이블!$G:$J,3,0)</f>
        <v/>
      </c>
      <c r="N2458" s="36">
        <f>VLOOKUP($P2458,매칭테이블!$G:$J,4,0)*H2458</f>
        <v/>
      </c>
      <c r="O2458" s="52">
        <f>L2458/1.1</f>
        <v/>
      </c>
      <c r="P2458" s="36">
        <f>F2458&amp;E2458&amp;G2458&amp;J2458</f>
        <v/>
      </c>
    </row>
    <row r="2459">
      <c r="B2459" s="51" t="n">
        <v>44188</v>
      </c>
      <c r="C2459" s="36">
        <f>TEXT(B2459,"aaa")</f>
        <v/>
      </c>
      <c r="E2459" s="36">
        <f>INDEX(매칭테이블!C:C,MATCH(RD!G2459,매칭테이블!D:D,0))</f>
        <v/>
      </c>
      <c r="F2459" s="39" t="inlineStr">
        <is>
          <t>카페24</t>
        </is>
      </c>
      <c r="G2459" s="39" t="inlineStr">
        <is>
          <t>유즈 솔리드퍼퓸 - 30ml (10차 재입고 완료향=스테이포에버 002 SOLID PERFUME, 세트 선택=best</t>
        </is>
      </c>
      <c r="H2459" s="39" t="n">
        <v>1</v>
      </c>
      <c r="I2459" s="36">
        <f>VLOOKUP(G2459,매칭테이블!D:E,2,0)</f>
        <v/>
      </c>
      <c r="J2459" s="39" t="n">
        <v>201210</v>
      </c>
      <c r="L2459" s="36">
        <f>VLOOKUP($P2459,매칭테이블!$G:$J,2,0)*H2459</f>
        <v/>
      </c>
      <c r="M2459" s="36">
        <f>L2459-L2459*VLOOKUP($P2459,매칭테이블!$G:$J,3,0)</f>
        <v/>
      </c>
      <c r="N2459" s="36">
        <f>VLOOKUP($P2459,매칭테이블!$G:$J,4,0)*H2459</f>
        <v/>
      </c>
      <c r="O2459" s="52">
        <f>L2459/1.1</f>
        <v/>
      </c>
      <c r="P2459" s="36">
        <f>F2459&amp;E2459&amp;G2459&amp;J2459</f>
        <v/>
      </c>
    </row>
    <row r="2460">
      <c r="B2460" s="51" t="n">
        <v>44188</v>
      </c>
      <c r="C2460" s="36">
        <f>TEXT(B2460,"aaa")</f>
        <v/>
      </c>
      <c r="E2460" s="36">
        <f>INDEX(매칭테이블!C:C,MATCH(RD!G2460,매칭테이블!D:D,0))</f>
        <v/>
      </c>
      <c r="F2460" s="39" t="inlineStr">
        <is>
          <t>카페24</t>
        </is>
      </c>
      <c r="G2460" s="39" t="inlineStr">
        <is>
          <t>유즈 솔리드퍼퓸 - 30ml (10차 재입고 완료향=커플세트</t>
        </is>
      </c>
      <c r="H2460" s="39" t="n">
        <v>6</v>
      </c>
      <c r="I2460" s="36">
        <f>VLOOKUP(G2460,매칭테이블!D:E,2,0)</f>
        <v/>
      </c>
      <c r="J2460" s="39" t="n">
        <v>201210</v>
      </c>
      <c r="L2460" s="36">
        <f>VLOOKUP($P2460,매칭테이블!$G:$J,2,0)*H2460</f>
        <v/>
      </c>
      <c r="M2460" s="36">
        <f>L2460-L2460*VLOOKUP($P2460,매칭테이블!$G:$J,3,0)</f>
        <v/>
      </c>
      <c r="N2460" s="36">
        <f>VLOOKUP($P2460,매칭테이블!$G:$J,4,0)*H2460</f>
        <v/>
      </c>
      <c r="O2460" s="52">
        <f>L2460/1.1</f>
        <v/>
      </c>
      <c r="P2460" s="36">
        <f>F2460&amp;E2460&amp;G2460&amp;J2460</f>
        <v/>
      </c>
    </row>
    <row r="2461">
      <c r="B2461" s="51" t="n">
        <v>44188</v>
      </c>
      <c r="C2461" s="36">
        <f>TEXT(B2461,"aaa")</f>
        <v/>
      </c>
      <c r="E2461" s="36">
        <f>INDEX(매칭테이블!C:C,MATCH(RD!G2461,매칭테이블!D:D,0))</f>
        <v/>
      </c>
      <c r="F2461" s="39" t="inlineStr">
        <is>
          <t>카페24</t>
        </is>
      </c>
      <c r="G2461" s="39" t="inlineStr">
        <is>
          <t>유즈 솔리드퍼퓸 - 30ml (10차 재입고 완료향=커플세트</t>
        </is>
      </c>
      <c r="H2461" s="39" t="n">
        <v>1</v>
      </c>
      <c r="I2461" s="36">
        <f>VLOOKUP(G2461,매칭테이블!D:E,2,0)</f>
        <v/>
      </c>
      <c r="J2461" s="39" t="n">
        <v>201210</v>
      </c>
      <c r="L2461" s="36">
        <f>VLOOKUP($P2461,매칭테이블!$G:$J,2,0)*H2461</f>
        <v/>
      </c>
      <c r="M2461" s="36">
        <f>L2461-L2461*VLOOKUP($P2461,매칭테이블!$G:$J,3,0)</f>
        <v/>
      </c>
      <c r="N2461" s="36">
        <f>VLOOKUP($P2461,매칭테이블!$G:$J,4,0)*H2461</f>
        <v/>
      </c>
      <c r="O2461" s="52">
        <f>L2461/1.1</f>
        <v/>
      </c>
      <c r="P2461" s="36">
        <f>F2461&amp;E2461&amp;G2461&amp;J2461</f>
        <v/>
      </c>
    </row>
    <row r="2462">
      <c r="B2462" s="51" t="n">
        <v>44188</v>
      </c>
      <c r="C2462" s="36">
        <f>TEXT(B2462,"aaa")</f>
        <v/>
      </c>
      <c r="E2462" s="36">
        <f>INDEX(매칭테이블!C:C,MATCH(RD!G2462,매칭테이블!D:D,0))</f>
        <v/>
      </c>
      <c r="F2462" s="39" t="inlineStr">
        <is>
          <t>카페24</t>
        </is>
      </c>
      <c r="G2462" s="39" t="inlineStr">
        <is>
          <t>유즈 솔리드퍼퓸 - 30ml (10차 재입고 완료 )향=스테이포에버 002 SOLID PERFUME, 세트 선택=1개</t>
        </is>
      </c>
      <c r="H2462" s="39" t="n">
        <v>8</v>
      </c>
      <c r="I2462" s="36">
        <f>VLOOKUP(G2462,매칭테이블!D:E,2,0)</f>
        <v/>
      </c>
      <c r="J2462" s="39" t="n">
        <v>201210</v>
      </c>
      <c r="L2462" s="36">
        <f>VLOOKUP($P2462,매칭테이블!$G:$J,2,0)*H2462</f>
        <v/>
      </c>
      <c r="M2462" s="36">
        <f>L2462-L2462*VLOOKUP($P2462,매칭테이블!$G:$J,3,0)</f>
        <v/>
      </c>
      <c r="N2462" s="36">
        <f>VLOOKUP($P2462,매칭테이블!$G:$J,4,0)*H2462</f>
        <v/>
      </c>
      <c r="O2462" s="52">
        <f>L2462/1.1</f>
        <v/>
      </c>
      <c r="P2462" s="36">
        <f>F2462&amp;E2462&amp;G2462&amp;J2462</f>
        <v/>
      </c>
    </row>
    <row r="2463">
      <c r="B2463" s="51" t="n">
        <v>44188</v>
      </c>
      <c r="C2463" s="36">
        <f>TEXT(B2463,"aaa")</f>
        <v/>
      </c>
      <c r="E2463" s="36">
        <f>INDEX(매칭테이블!C:C,MATCH(RD!G2463,매칭테이블!D:D,0))</f>
        <v/>
      </c>
      <c r="F2463" s="39" t="inlineStr">
        <is>
          <t>카페24</t>
        </is>
      </c>
      <c r="G2463" s="39" t="inlineStr">
        <is>
          <t>유즈 솔리드퍼퓸 - 30ml (10차 재입고 완료 )향=스테이포에버 002 SOLID PERFUME, 세트 선택=best 2개 (28% 할인)</t>
        </is>
      </c>
      <c r="H2463" s="39" t="n">
        <v>8</v>
      </c>
      <c r="I2463" s="36">
        <f>VLOOKUP(G2463,매칭테이블!D:E,2,0)</f>
        <v/>
      </c>
      <c r="J2463" s="39" t="n">
        <v>201210</v>
      </c>
      <c r="L2463" s="36">
        <f>VLOOKUP($P2463,매칭테이블!$G:$J,2,0)*H2463</f>
        <v/>
      </c>
      <c r="M2463" s="36">
        <f>L2463-L2463*VLOOKUP($P2463,매칭테이블!$G:$J,3,0)</f>
        <v/>
      </c>
      <c r="N2463" s="36">
        <f>VLOOKUP($P2463,매칭테이블!$G:$J,4,0)*H2463</f>
        <v/>
      </c>
      <c r="O2463" s="52">
        <f>L2463/1.1</f>
        <v/>
      </c>
      <c r="P2463" s="36">
        <f>F2463&amp;E2463&amp;G2463&amp;J2463</f>
        <v/>
      </c>
    </row>
    <row r="2464">
      <c r="B2464" s="51" t="n">
        <v>44188</v>
      </c>
      <c r="C2464" s="36">
        <f>TEXT(B2464,"aaa")</f>
        <v/>
      </c>
      <c r="E2464" s="36">
        <f>INDEX(매칭테이블!C:C,MATCH(RD!G2464,매칭테이블!D:D,0))</f>
        <v/>
      </c>
      <c r="F2464" s="39" t="inlineStr">
        <is>
          <t>카페24</t>
        </is>
      </c>
      <c r="G2464" s="39" t="inlineStr">
        <is>
          <t>유즈 솔리드퍼퓸 - 30ml (10차 재입고 완료 )향=커플세트(이그나이트 + 스테이포에버), 세트 선택=1 SET</t>
        </is>
      </c>
      <c r="H2464" s="39" t="n">
        <v>1</v>
      </c>
      <c r="I2464" s="36">
        <f>VLOOKUP(G2464,매칭테이블!D:E,2,0)</f>
        <v/>
      </c>
      <c r="J2464" s="39" t="n">
        <v>201210</v>
      </c>
      <c r="L2464" s="36">
        <f>VLOOKUP($P2464,매칭테이블!$G:$J,2,0)*H2464</f>
        <v/>
      </c>
      <c r="M2464" s="36">
        <f>L2464-L2464*VLOOKUP($P2464,매칭테이블!$G:$J,3,0)</f>
        <v/>
      </c>
      <c r="N2464" s="36">
        <f>VLOOKUP($P2464,매칭테이블!$G:$J,4,0)*H2464</f>
        <v/>
      </c>
      <c r="O2464" s="52">
        <f>L2464/1.1</f>
        <v/>
      </c>
      <c r="P2464" s="36">
        <f>F2464&amp;E2464&amp;G2464&amp;J2464</f>
        <v/>
      </c>
    </row>
    <row r="2465">
      <c r="B2465" s="51" t="n">
        <v>44188</v>
      </c>
      <c r="C2465" s="36">
        <f>TEXT(B2465,"aaa")</f>
        <v/>
      </c>
      <c r="E2465" s="36">
        <f>INDEX(매칭테이블!C:C,MATCH(RD!G2465,매칭테이블!D:D,0))</f>
        <v/>
      </c>
      <c r="F2465" s="39" t="inlineStr">
        <is>
          <t>카페24</t>
        </is>
      </c>
      <c r="G2465" s="39" t="inlineStr">
        <is>
          <t>유즈 스테이포에버 솔리드퍼퓸 002 (10차 재입고 완료제품선택=스테이포에버 1개</t>
        </is>
      </c>
      <c r="H2465" s="39" t="n">
        <v>85</v>
      </c>
      <c r="I2465" s="36">
        <f>VLOOKUP(G2465,매칭테이블!D:E,2,0)</f>
        <v/>
      </c>
      <c r="J2465" s="39" t="n">
        <v>201210</v>
      </c>
      <c r="L2465" s="36">
        <f>VLOOKUP($P2465,매칭테이블!$G:$J,2,0)*H2465</f>
        <v/>
      </c>
      <c r="M2465" s="36">
        <f>L2465-L2465*VLOOKUP($P2465,매칭테이블!$G:$J,3,0)</f>
        <v/>
      </c>
      <c r="N2465" s="36">
        <f>VLOOKUP($P2465,매칭테이블!$G:$J,4,0)*H2465</f>
        <v/>
      </c>
      <c r="O2465" s="52">
        <f>L2465/1.1</f>
        <v/>
      </c>
      <c r="P2465" s="36">
        <f>F2465&amp;E2465&amp;G2465&amp;J2465</f>
        <v/>
      </c>
    </row>
    <row r="2466">
      <c r="B2466" s="51" t="n">
        <v>44188</v>
      </c>
      <c r="C2466" s="36">
        <f>TEXT(B2466,"aaa")</f>
        <v/>
      </c>
      <c r="E2466" s="36">
        <f>INDEX(매칭테이블!C:C,MATCH(RD!G2466,매칭테이블!D:D,0))</f>
        <v/>
      </c>
      <c r="F2466" s="39" t="inlineStr">
        <is>
          <t>카페24</t>
        </is>
      </c>
      <c r="G2466" s="39" t="inlineStr">
        <is>
          <t>유즈 스테이포에버 솔리드퍼퓸 002 (10차 재입고 완료제품선택=best</t>
        </is>
      </c>
      <c r="H2466" s="39" t="n">
        <v>45</v>
      </c>
      <c r="I2466" s="36">
        <f>VLOOKUP(G2466,매칭테이블!D:E,2,0)</f>
        <v/>
      </c>
      <c r="J2466" s="39" t="n">
        <v>201210</v>
      </c>
      <c r="L2466" s="36">
        <f>VLOOKUP($P2466,매칭테이블!$G:$J,2,0)*H2466</f>
        <v/>
      </c>
      <c r="M2466" s="36">
        <f>L2466-L2466*VLOOKUP($P2466,매칭테이블!$G:$J,3,0)</f>
        <v/>
      </c>
      <c r="N2466" s="36">
        <f>VLOOKUP($P2466,매칭테이블!$G:$J,4,0)*H2466</f>
        <v/>
      </c>
      <c r="O2466" s="52">
        <f>L2466/1.1</f>
        <v/>
      </c>
      <c r="P2466" s="36">
        <f>F2466&amp;E2466&amp;G2466&amp;J2466</f>
        <v/>
      </c>
    </row>
    <row r="2467">
      <c r="B2467" s="51" t="n">
        <v>44188</v>
      </c>
      <c r="C2467" s="36">
        <f>TEXT(B2467,"aaa")</f>
        <v/>
      </c>
      <c r="E2467" s="36">
        <f>INDEX(매칭테이블!C:C,MATCH(RD!G2467,매칭테이블!D:D,0))</f>
        <v/>
      </c>
      <c r="F2467" s="39" t="inlineStr">
        <is>
          <t>카페24</t>
        </is>
      </c>
      <c r="G2467" s="39" t="inlineStr">
        <is>
          <t>유즈 스테이포에버 솔리드퍼퓸 002 (10차 재입고 완료제품선택=커플추천</t>
        </is>
      </c>
      <c r="H2467" s="39" t="n">
        <v>8</v>
      </c>
      <c r="I2467" s="36">
        <f>VLOOKUP(G2467,매칭테이블!D:E,2,0)</f>
        <v/>
      </c>
      <c r="J2467" s="39" t="n">
        <v>201210</v>
      </c>
      <c r="L2467" s="36">
        <f>VLOOKUP($P2467,매칭테이블!$G:$J,2,0)*H2467</f>
        <v/>
      </c>
      <c r="M2467" s="36">
        <f>L2467-L2467*VLOOKUP($P2467,매칭테이블!$G:$J,3,0)</f>
        <v/>
      </c>
      <c r="N2467" s="36">
        <f>VLOOKUP($P2467,매칭테이블!$G:$J,4,0)*H2467</f>
        <v/>
      </c>
      <c r="O2467" s="52">
        <f>L2467/1.1</f>
        <v/>
      </c>
      <c r="P2467" s="36">
        <f>F2467&amp;E2467&amp;G2467&amp;J2467</f>
        <v/>
      </c>
    </row>
    <row r="2468">
      <c r="B2468" s="51" t="n">
        <v>44188</v>
      </c>
      <c r="C2468" s="36">
        <f>TEXT(B2468,"aaa")</f>
        <v/>
      </c>
      <c r="E2468" s="36">
        <f>INDEX(매칭테이블!C:C,MATCH(RD!G2468,매칭테이블!D:D,0))</f>
        <v/>
      </c>
      <c r="F2468" s="39" t="inlineStr">
        <is>
          <t>카페24</t>
        </is>
      </c>
      <c r="G2468" s="39" t="inlineStr">
        <is>
          <t>유즈 스테이포에버 솔리드퍼퓸 002 (10차 재입고 완료쇼핑백=선물용 쇼핑백</t>
        </is>
      </c>
      <c r="H2468" s="39" t="n">
        <v>3</v>
      </c>
      <c r="I2468" s="36">
        <f>VLOOKUP(G2468,매칭테이블!D:E,2,0)</f>
        <v/>
      </c>
      <c r="J2468" s="39" t="n">
        <v>201210</v>
      </c>
      <c r="L2468" s="36">
        <f>VLOOKUP($P2468,매칭테이블!$G:$J,2,0)*H2468</f>
        <v/>
      </c>
      <c r="M2468" s="36">
        <f>L2468-L2468*VLOOKUP($P2468,매칭테이블!$G:$J,3,0)</f>
        <v/>
      </c>
      <c r="N2468" s="36">
        <f>VLOOKUP($P2468,매칭테이블!$G:$J,4,0)*H2468</f>
        <v/>
      </c>
      <c r="O2468" s="52">
        <f>L2468/1.1</f>
        <v/>
      </c>
      <c r="P2468" s="36">
        <f>F2468&amp;E2468&amp;G2468&amp;J2468</f>
        <v/>
      </c>
    </row>
    <row r="2469">
      <c r="B2469" s="51" t="n">
        <v>44188</v>
      </c>
      <c r="C2469" s="36">
        <f>TEXT(B2469,"aaa")</f>
        <v/>
      </c>
      <c r="E2469" s="36">
        <f>INDEX(매칭테이블!C:C,MATCH(RD!G2469,매칭테이블!D:D,0))</f>
        <v/>
      </c>
      <c r="F2469" s="39" t="inlineStr">
        <is>
          <t>카페24</t>
        </is>
      </c>
      <c r="G2469" s="39" t="inlineStr">
        <is>
          <t>유즈 스테이포에버 솔리드퍼퓸 002 (10차 재입고 완료)제품선택=스테이포에버 1개</t>
        </is>
      </c>
      <c r="H2469" s="39" t="n">
        <v>157</v>
      </c>
      <c r="I2469" s="36">
        <f>VLOOKUP(G2469,매칭테이블!D:E,2,0)</f>
        <v/>
      </c>
      <c r="J2469" s="39" t="n">
        <v>201210</v>
      </c>
      <c r="L2469" s="36">
        <f>VLOOKUP($P2469,매칭테이블!$G:$J,2,0)*H2469</f>
        <v/>
      </c>
      <c r="M2469" s="36">
        <f>L2469-L2469*VLOOKUP($P2469,매칭테이블!$G:$J,3,0)</f>
        <v/>
      </c>
      <c r="N2469" s="36">
        <f>VLOOKUP($P2469,매칭테이블!$G:$J,4,0)*H2469</f>
        <v/>
      </c>
      <c r="O2469" s="52">
        <f>L2469/1.1</f>
        <v/>
      </c>
      <c r="P2469" s="36">
        <f>F2469&amp;E2469&amp;G2469&amp;J2469</f>
        <v/>
      </c>
    </row>
    <row r="2470">
      <c r="B2470" s="51" t="n">
        <v>44188</v>
      </c>
      <c r="C2470" s="36">
        <f>TEXT(B2470,"aaa")</f>
        <v/>
      </c>
      <c r="E2470" s="36">
        <f>INDEX(매칭테이블!C:C,MATCH(RD!G2470,매칭테이블!D:D,0))</f>
        <v/>
      </c>
      <c r="F2470" s="39" t="inlineStr">
        <is>
          <t>카페24</t>
        </is>
      </c>
      <c r="G2470" s="39" t="inlineStr">
        <is>
          <t>유즈 스테이포에버 솔리드퍼퓸 002 (10차 재입고 완료)제품선택=best스테이포에버 2개[28% 할인]</t>
        </is>
      </c>
      <c r="H2470" s="39" t="n">
        <v>72</v>
      </c>
      <c r="I2470" s="36">
        <f>VLOOKUP(G2470,매칭테이블!D:E,2,0)</f>
        <v/>
      </c>
      <c r="J2470" s="39" t="n">
        <v>201210</v>
      </c>
      <c r="L2470" s="36">
        <f>VLOOKUP($P2470,매칭테이블!$G:$J,2,0)*H2470</f>
        <v/>
      </c>
      <c r="M2470" s="36">
        <f>L2470-L2470*VLOOKUP($P2470,매칭테이블!$G:$J,3,0)</f>
        <v/>
      </c>
      <c r="N2470" s="36">
        <f>VLOOKUP($P2470,매칭테이블!$G:$J,4,0)*H2470</f>
        <v/>
      </c>
      <c r="O2470" s="52">
        <f>L2470/1.1</f>
        <v/>
      </c>
      <c r="P2470" s="36">
        <f>F2470&amp;E2470&amp;G2470&amp;J2470</f>
        <v/>
      </c>
    </row>
    <row r="2471">
      <c r="B2471" s="51" t="n">
        <v>44188</v>
      </c>
      <c r="C2471" s="36">
        <f>TEXT(B2471,"aaa")</f>
        <v/>
      </c>
      <c r="E2471" s="36">
        <f>INDEX(매칭테이블!C:C,MATCH(RD!G2471,매칭테이블!D:D,0))</f>
        <v/>
      </c>
      <c r="F2471" s="39" t="inlineStr">
        <is>
          <t>카페24</t>
        </is>
      </c>
      <c r="G2471" s="39" t="inlineStr">
        <is>
          <t>유즈 스테이포에버 솔리드퍼퓸 002 (10차 재입고 완료)제품선택=커플추천스테이포에버 + 이그나이트 세트</t>
        </is>
      </c>
      <c r="H2471" s="39" t="n">
        <v>7</v>
      </c>
      <c r="I2471" s="36">
        <f>VLOOKUP(G2471,매칭테이블!D:E,2,0)</f>
        <v/>
      </c>
      <c r="J2471" s="39" t="n">
        <v>201210</v>
      </c>
      <c r="L2471" s="36">
        <f>VLOOKUP($P2471,매칭테이블!$G:$J,2,0)*H2471</f>
        <v/>
      </c>
      <c r="M2471" s="36">
        <f>L2471-L2471*VLOOKUP($P2471,매칭테이블!$G:$J,3,0)</f>
        <v/>
      </c>
      <c r="N2471" s="36">
        <f>VLOOKUP($P2471,매칭테이블!$G:$J,4,0)*H2471</f>
        <v/>
      </c>
      <c r="O2471" s="52">
        <f>L2471/1.1</f>
        <v/>
      </c>
      <c r="P2471" s="36">
        <f>F2471&amp;E2471&amp;G2471&amp;J2471</f>
        <v/>
      </c>
    </row>
    <row r="2472">
      <c r="B2472" s="51" t="n">
        <v>44188</v>
      </c>
      <c r="C2472" s="36">
        <f>TEXT(B2472,"aaa")</f>
        <v/>
      </c>
      <c r="E2472" s="36">
        <f>INDEX(매칭테이블!C:C,MATCH(RD!G2472,매칭테이블!D:D,0))</f>
        <v/>
      </c>
      <c r="F2472" s="39" t="inlineStr">
        <is>
          <t>카페24</t>
        </is>
      </c>
      <c r="G2472" s="39" t="inlineStr">
        <is>
          <t>유즈 스테이포에버 솔리드퍼퓸 002 (10차 재입고 완료)쇼핑백=선물용 쇼핑백</t>
        </is>
      </c>
      <c r="H2472" s="39" t="n">
        <v>9</v>
      </c>
      <c r="I2472" s="36">
        <f>VLOOKUP(G2472,매칭테이블!D:E,2,0)</f>
        <v/>
      </c>
      <c r="J2472" s="39" t="n">
        <v>201210</v>
      </c>
      <c r="L2472" s="36">
        <f>VLOOKUP($P2472,매칭테이블!$G:$J,2,0)*H2472</f>
        <v/>
      </c>
      <c r="M2472" s="36">
        <f>L2472-L2472*VLOOKUP($P2472,매칭테이블!$G:$J,3,0)</f>
        <v/>
      </c>
      <c r="N2472" s="36">
        <f>VLOOKUP($P2472,매칭테이블!$G:$J,4,0)*H2472</f>
        <v/>
      </c>
      <c r="O2472" s="52">
        <f>L2472/1.1</f>
        <v/>
      </c>
      <c r="P2472" s="36">
        <f>F2472&amp;E2472&amp;G2472&amp;J2472</f>
        <v/>
      </c>
    </row>
    <row r="2473">
      <c r="B2473" s="51" t="n">
        <v>44188</v>
      </c>
      <c r="C2473" s="36">
        <f>TEXT(B2473,"aaa")</f>
        <v/>
      </c>
      <c r="E2473" s="36">
        <f>INDEX(매칭테이블!C:C,MATCH(RD!G2473,매칭테이블!D:D,0))</f>
        <v/>
      </c>
      <c r="F2473" s="39" t="inlineStr">
        <is>
          <t>카페24</t>
        </is>
      </c>
      <c r="G2473" s="39" t="inlineStr">
        <is>
          <t>유즈 이그나이트 솔리드퍼퓸 001제품선택=이그나이트 솔리드퍼퓸 - 30ml</t>
        </is>
      </c>
      <c r="H2473" s="39" t="n">
        <v>4</v>
      </c>
      <c r="I2473" s="36">
        <f>VLOOKUP(G2473,매칭테이블!D:E,2,0)</f>
        <v/>
      </c>
      <c r="J2473" s="39" t="n">
        <v>201210</v>
      </c>
      <c r="L2473" s="36">
        <f>VLOOKUP($P2473,매칭테이블!$G:$J,2,0)*H2473</f>
        <v/>
      </c>
      <c r="M2473" s="36">
        <f>L2473-L2473*VLOOKUP($P2473,매칭테이블!$G:$J,3,0)</f>
        <v/>
      </c>
      <c r="N2473" s="36">
        <f>VLOOKUP($P2473,매칭테이블!$G:$J,4,0)*H2473</f>
        <v/>
      </c>
      <c r="O2473" s="52">
        <f>L2473/1.1</f>
        <v/>
      </c>
      <c r="P2473" s="36">
        <f>F2473&amp;E2473&amp;G2473&amp;J2473</f>
        <v/>
      </c>
    </row>
    <row r="2474">
      <c r="B2474" s="51" t="n">
        <v>44188</v>
      </c>
      <c r="C2474" s="36">
        <f>TEXT(B2474,"aaa")</f>
        <v/>
      </c>
      <c r="E2474" s="36">
        <f>INDEX(매칭테이블!C:C,MATCH(RD!G2474,매칭테이블!D:D,0))</f>
        <v/>
      </c>
      <c r="F2474" s="39" t="inlineStr">
        <is>
          <t>카페24</t>
        </is>
      </c>
      <c r="G2474" s="39" t="inlineStr">
        <is>
          <t>유즈 이그나이트 솔리드퍼퓸 001제품선택=이그나이트 2개 세트</t>
        </is>
      </c>
      <c r="H2474" s="39" t="n">
        <v>4</v>
      </c>
      <c r="I2474" s="36">
        <f>VLOOKUP(G2474,매칭테이블!D:E,2,0)</f>
        <v/>
      </c>
      <c r="J2474" s="39" t="n">
        <v>201210</v>
      </c>
      <c r="L2474" s="36">
        <f>VLOOKUP($P2474,매칭테이블!$G:$J,2,0)*H2474</f>
        <v/>
      </c>
      <c r="M2474" s="36">
        <f>L2474-L2474*VLOOKUP($P2474,매칭테이블!$G:$J,3,0)</f>
        <v/>
      </c>
      <c r="N2474" s="36">
        <f>VLOOKUP($P2474,매칭테이블!$G:$J,4,0)*H2474</f>
        <v/>
      </c>
      <c r="O2474" s="52">
        <f>L2474/1.1</f>
        <v/>
      </c>
      <c r="P2474" s="36">
        <f>F2474&amp;E2474&amp;G2474&amp;J2474</f>
        <v/>
      </c>
    </row>
    <row r="2475">
      <c r="B2475" s="51" t="n">
        <v>44189</v>
      </c>
      <c r="C2475" s="36">
        <f>TEXT(B2475,"aaa")</f>
        <v/>
      </c>
      <c r="E2475" s="36">
        <f>INDEX(매칭테이블!C:C,MATCH(RD!G2475,매칭테이블!D:D,0))</f>
        <v/>
      </c>
      <c r="F2475" s="39" t="inlineStr">
        <is>
          <t>유즈 CS</t>
        </is>
      </c>
      <c r="G2475" s="39" t="inlineStr">
        <is>
          <t>유즈 스테이포에버 솔리드퍼퓸 002 (10차 재입고 완료)제품선택=커플추천스테이포에버 + 이그나이트 세트</t>
        </is>
      </c>
      <c r="H2475" s="39" t="n">
        <v>1</v>
      </c>
      <c r="I2475" s="36">
        <f>VLOOKUP(G2475,매칭테이블!D:E,2,0)</f>
        <v/>
      </c>
      <c r="J2475" s="39" t="n">
        <v>201210</v>
      </c>
      <c r="L2475" s="36">
        <f>VLOOKUP($P2475,매칭테이블!$G:$J,2,0)*H2475</f>
        <v/>
      </c>
      <c r="M2475" s="36">
        <f>L2475-L2475*VLOOKUP($P2475,매칭테이블!$G:$J,3,0)</f>
        <v/>
      </c>
      <c r="N2475" s="36">
        <f>VLOOKUP($P2475,매칭테이블!$G:$J,4,0)*H2475</f>
        <v/>
      </c>
      <c r="O2475" s="52">
        <f>L2475/1.1</f>
        <v/>
      </c>
      <c r="P2475" s="36">
        <f>F2475&amp;E2475&amp;G2475&amp;J2475</f>
        <v/>
      </c>
    </row>
    <row r="2476">
      <c r="B2476" s="51" t="n">
        <v>44189</v>
      </c>
      <c r="C2476" s="36">
        <f>TEXT(B2476,"aaa")</f>
        <v/>
      </c>
      <c r="E2476" s="36">
        <f>INDEX(매칭테이블!C:C,MATCH(RD!G2476,매칭테이블!D:D,0))</f>
        <v/>
      </c>
      <c r="F2476" s="39" t="inlineStr">
        <is>
          <t>카페24</t>
        </is>
      </c>
      <c r="G2476" s="39" t="inlineStr">
        <is>
          <t>유즈 솔리드퍼퓸 - 30ml (10차 재입고 완료향=이그나이트 001 SOLID PERFUME, 세트 선택=1개</t>
        </is>
      </c>
      <c r="H2476" s="39" t="n">
        <v>1</v>
      </c>
      <c r="I2476" s="36">
        <f>VLOOKUP(G2476,매칭테이블!D:E,2,0)</f>
        <v/>
      </c>
      <c r="J2476" s="39" t="n">
        <v>201210</v>
      </c>
      <c r="L2476" s="36">
        <f>VLOOKUP($P2476,매칭테이블!$G:$J,2,0)*H2476</f>
        <v/>
      </c>
      <c r="M2476" s="36">
        <f>L2476-L2476*VLOOKUP($P2476,매칭테이블!$G:$J,3,0)</f>
        <v/>
      </c>
      <c r="N2476" s="36">
        <f>VLOOKUP($P2476,매칭테이블!$G:$J,4,0)*H2476</f>
        <v/>
      </c>
      <c r="O2476" s="52">
        <f>L2476/1.1</f>
        <v/>
      </c>
      <c r="P2476" s="36">
        <f>F2476&amp;E2476&amp;G2476&amp;J2476</f>
        <v/>
      </c>
    </row>
    <row r="2477">
      <c r="B2477" s="51" t="n">
        <v>44189</v>
      </c>
      <c r="C2477" s="36">
        <f>TEXT(B2477,"aaa")</f>
        <v/>
      </c>
      <c r="E2477" s="36">
        <f>INDEX(매칭테이블!C:C,MATCH(RD!G2477,매칭테이블!D:D,0))</f>
        <v/>
      </c>
      <c r="F2477" s="39" t="inlineStr">
        <is>
          <t>카페24</t>
        </is>
      </c>
      <c r="G2477" s="39" t="inlineStr">
        <is>
          <t>유즈 솔리드퍼퓸 - 30ml (10차 재입고 완료향=스테이포에버 002 SOLID PERFUME, 세트 선택=1개</t>
        </is>
      </c>
      <c r="H2477" s="39" t="n">
        <v>8</v>
      </c>
      <c r="I2477" s="36">
        <f>VLOOKUP(G2477,매칭테이블!D:E,2,0)</f>
        <v/>
      </c>
      <c r="J2477" s="39" t="n">
        <v>201210</v>
      </c>
      <c r="L2477" s="36">
        <f>VLOOKUP($P2477,매칭테이블!$G:$J,2,0)*H2477</f>
        <v/>
      </c>
      <c r="M2477" s="36">
        <f>L2477-L2477*VLOOKUP($P2477,매칭테이블!$G:$J,3,0)</f>
        <v/>
      </c>
      <c r="N2477" s="36">
        <f>VLOOKUP($P2477,매칭테이블!$G:$J,4,0)*H2477</f>
        <v/>
      </c>
      <c r="O2477" s="52">
        <f>L2477/1.1</f>
        <v/>
      </c>
      <c r="P2477" s="36">
        <f>F2477&amp;E2477&amp;G2477&amp;J2477</f>
        <v/>
      </c>
    </row>
    <row r="2478">
      <c r="B2478" s="51" t="n">
        <v>44189</v>
      </c>
      <c r="C2478" s="36">
        <f>TEXT(B2478,"aaa")</f>
        <v/>
      </c>
      <c r="E2478" s="36">
        <f>INDEX(매칭테이블!C:C,MATCH(RD!G2478,매칭테이블!D:D,0))</f>
        <v/>
      </c>
      <c r="F2478" s="39" t="inlineStr">
        <is>
          <t>카페24</t>
        </is>
      </c>
      <c r="G2478" s="39" t="inlineStr">
        <is>
          <t>유즈 솔리드퍼퓸 - 30ml (10차 재입고 완료향=스테이포에버 002 SOLID PERFUME, 세트 선택=best</t>
        </is>
      </c>
      <c r="H2478" s="39" t="n">
        <v>3</v>
      </c>
      <c r="I2478" s="36">
        <f>VLOOKUP(G2478,매칭테이블!D:E,2,0)</f>
        <v/>
      </c>
      <c r="J2478" s="39" t="n">
        <v>201210</v>
      </c>
      <c r="L2478" s="36">
        <f>VLOOKUP($P2478,매칭테이블!$G:$J,2,0)*H2478</f>
        <v/>
      </c>
      <c r="M2478" s="36">
        <f>L2478-L2478*VLOOKUP($P2478,매칭테이블!$G:$J,3,0)</f>
        <v/>
      </c>
      <c r="N2478" s="36">
        <f>VLOOKUP($P2478,매칭테이블!$G:$J,4,0)*H2478</f>
        <v/>
      </c>
      <c r="O2478" s="52">
        <f>L2478/1.1</f>
        <v/>
      </c>
      <c r="P2478" s="36">
        <f>F2478&amp;E2478&amp;G2478&amp;J2478</f>
        <v/>
      </c>
    </row>
    <row r="2479">
      <c r="B2479" s="51" t="n">
        <v>44189</v>
      </c>
      <c r="C2479" s="36">
        <f>TEXT(B2479,"aaa")</f>
        <v/>
      </c>
      <c r="E2479" s="36">
        <f>INDEX(매칭테이블!C:C,MATCH(RD!G2479,매칭테이블!D:D,0))</f>
        <v/>
      </c>
      <c r="F2479" s="39" t="inlineStr">
        <is>
          <t>카페24</t>
        </is>
      </c>
      <c r="G2479" s="39" t="inlineStr">
        <is>
          <t>유즈 솔리드퍼퓸 - 30ml (10차 재입고 완료향=커플세트</t>
        </is>
      </c>
      <c r="H2479" s="39" t="n">
        <v>7</v>
      </c>
      <c r="I2479" s="36">
        <f>VLOOKUP(G2479,매칭테이블!D:E,2,0)</f>
        <v/>
      </c>
      <c r="J2479" s="39" t="n">
        <v>201210</v>
      </c>
      <c r="L2479" s="36">
        <f>VLOOKUP($P2479,매칭테이블!$G:$J,2,0)*H2479</f>
        <v/>
      </c>
      <c r="M2479" s="36">
        <f>L2479-L2479*VLOOKUP($P2479,매칭테이블!$G:$J,3,0)</f>
        <v/>
      </c>
      <c r="N2479" s="36">
        <f>VLOOKUP($P2479,매칭테이블!$G:$J,4,0)*H2479</f>
        <v/>
      </c>
      <c r="O2479" s="52">
        <f>L2479/1.1</f>
        <v/>
      </c>
      <c r="P2479" s="36">
        <f>F2479&amp;E2479&amp;G2479&amp;J2479</f>
        <v/>
      </c>
    </row>
    <row r="2480">
      <c r="B2480" s="51" t="n">
        <v>44189</v>
      </c>
      <c r="C2480" s="36">
        <f>TEXT(B2480,"aaa")</f>
        <v/>
      </c>
      <c r="E2480" s="36">
        <f>INDEX(매칭테이블!C:C,MATCH(RD!G2480,매칭테이블!D:D,0))</f>
        <v/>
      </c>
      <c r="F2480" s="39" t="inlineStr">
        <is>
          <t>카페24</t>
        </is>
      </c>
      <c r="G2480" s="39" t="inlineStr">
        <is>
          <t>유즈 솔리드퍼퓸 - 30ml (10차 재입고 완료 )향=이그나이트 001 SOLID PERFUME, 세트 선택=1개</t>
        </is>
      </c>
      <c r="H2480" s="39" t="n">
        <v>1</v>
      </c>
      <c r="I2480" s="36">
        <f>VLOOKUP(G2480,매칭테이블!D:E,2,0)</f>
        <v/>
      </c>
      <c r="J2480" s="39" t="n">
        <v>201210</v>
      </c>
      <c r="L2480" s="36">
        <f>VLOOKUP($P2480,매칭테이블!$G:$J,2,0)*H2480</f>
        <v/>
      </c>
      <c r="M2480" s="36">
        <f>L2480-L2480*VLOOKUP($P2480,매칭테이블!$G:$J,3,0)</f>
        <v/>
      </c>
      <c r="N2480" s="36">
        <f>VLOOKUP($P2480,매칭테이블!$G:$J,4,0)*H2480</f>
        <v/>
      </c>
      <c r="O2480" s="52">
        <f>L2480/1.1</f>
        <v/>
      </c>
      <c r="P2480" s="36">
        <f>F2480&amp;E2480&amp;G2480&amp;J2480</f>
        <v/>
      </c>
    </row>
    <row r="2481">
      <c r="B2481" s="51" t="n">
        <v>44189</v>
      </c>
      <c r="C2481" s="36">
        <f>TEXT(B2481,"aaa")</f>
        <v/>
      </c>
      <c r="E2481" s="36">
        <f>INDEX(매칭테이블!C:C,MATCH(RD!G2481,매칭테이블!D:D,0))</f>
        <v/>
      </c>
      <c r="F2481" s="39" t="inlineStr">
        <is>
          <t>카페24</t>
        </is>
      </c>
      <c r="G2481" s="39" t="inlineStr">
        <is>
          <t>유즈 솔리드퍼퓸 - 30ml (10차 재입고 완료 )향=스테이포에버 002 SOLID PERFUME, 세트 선택=1개</t>
        </is>
      </c>
      <c r="H2481" s="39" t="n">
        <v>4</v>
      </c>
      <c r="I2481" s="36">
        <f>VLOOKUP(G2481,매칭테이블!D:E,2,0)</f>
        <v/>
      </c>
      <c r="J2481" s="39" t="n">
        <v>201210</v>
      </c>
      <c r="L2481" s="36">
        <f>VLOOKUP($P2481,매칭테이블!$G:$J,2,0)*H2481</f>
        <v/>
      </c>
      <c r="M2481" s="36">
        <f>L2481-L2481*VLOOKUP($P2481,매칭테이블!$G:$J,3,0)</f>
        <v/>
      </c>
      <c r="N2481" s="36">
        <f>VLOOKUP($P2481,매칭테이블!$G:$J,4,0)*H2481</f>
        <v/>
      </c>
      <c r="O2481" s="52">
        <f>L2481/1.1</f>
        <v/>
      </c>
      <c r="P2481" s="36">
        <f>F2481&amp;E2481&amp;G2481&amp;J2481</f>
        <v/>
      </c>
    </row>
    <row r="2482">
      <c r="B2482" s="51" t="n">
        <v>44189</v>
      </c>
      <c r="C2482" s="36">
        <f>TEXT(B2482,"aaa")</f>
        <v/>
      </c>
      <c r="E2482" s="36">
        <f>INDEX(매칭테이블!C:C,MATCH(RD!G2482,매칭테이블!D:D,0))</f>
        <v/>
      </c>
      <c r="F2482" s="39" t="inlineStr">
        <is>
          <t>카페24</t>
        </is>
      </c>
      <c r="G2482" s="39" t="inlineStr">
        <is>
          <t>유즈 솔리드퍼퓸 - 30ml (10차 재입고 완료 )향=스테이포에버 002 SOLID PERFUME, 세트 선택=best 2개 (28% 할인)</t>
        </is>
      </c>
      <c r="H2482" s="39" t="n">
        <v>1</v>
      </c>
      <c r="I2482" s="36">
        <f>VLOOKUP(G2482,매칭테이블!D:E,2,0)</f>
        <v/>
      </c>
      <c r="J2482" s="39" t="n">
        <v>201210</v>
      </c>
      <c r="L2482" s="36">
        <f>VLOOKUP($P2482,매칭테이블!$G:$J,2,0)*H2482</f>
        <v/>
      </c>
      <c r="M2482" s="36">
        <f>L2482-L2482*VLOOKUP($P2482,매칭테이블!$G:$J,3,0)</f>
        <v/>
      </c>
      <c r="N2482" s="36">
        <f>VLOOKUP($P2482,매칭테이블!$G:$J,4,0)*H2482</f>
        <v/>
      </c>
      <c r="O2482" s="52">
        <f>L2482/1.1</f>
        <v/>
      </c>
      <c r="P2482" s="36">
        <f>F2482&amp;E2482&amp;G2482&amp;J2482</f>
        <v/>
      </c>
    </row>
    <row r="2483">
      <c r="B2483" s="51" t="n">
        <v>44189</v>
      </c>
      <c r="C2483" s="36">
        <f>TEXT(B2483,"aaa")</f>
        <v/>
      </c>
      <c r="E2483" s="36">
        <f>INDEX(매칭테이블!C:C,MATCH(RD!G2483,매칭테이블!D:D,0))</f>
        <v/>
      </c>
      <c r="F2483" s="39" t="inlineStr">
        <is>
          <t>카페24</t>
        </is>
      </c>
      <c r="G2483" s="39" t="inlineStr">
        <is>
          <t>유즈 스테이포에버 솔리드퍼퓸 002 (10차 재입고 완료제품선택=스테이포에버 1개</t>
        </is>
      </c>
      <c r="H2483" s="39" t="n">
        <v>95</v>
      </c>
      <c r="I2483" s="36">
        <f>VLOOKUP(G2483,매칭테이블!D:E,2,0)</f>
        <v/>
      </c>
      <c r="J2483" s="39" t="n">
        <v>201210</v>
      </c>
      <c r="L2483" s="36">
        <f>VLOOKUP($P2483,매칭테이블!$G:$J,2,0)*H2483</f>
        <v/>
      </c>
      <c r="M2483" s="36">
        <f>L2483-L2483*VLOOKUP($P2483,매칭테이블!$G:$J,3,0)</f>
        <v/>
      </c>
      <c r="N2483" s="36">
        <f>VLOOKUP($P2483,매칭테이블!$G:$J,4,0)*H2483</f>
        <v/>
      </c>
      <c r="O2483" s="52">
        <f>L2483/1.1</f>
        <v/>
      </c>
      <c r="P2483" s="36">
        <f>F2483&amp;E2483&amp;G2483&amp;J2483</f>
        <v/>
      </c>
    </row>
    <row r="2484">
      <c r="B2484" s="51" t="n">
        <v>44189</v>
      </c>
      <c r="C2484" s="36">
        <f>TEXT(B2484,"aaa")</f>
        <v/>
      </c>
      <c r="E2484" s="36">
        <f>INDEX(매칭테이블!C:C,MATCH(RD!G2484,매칭테이블!D:D,0))</f>
        <v/>
      </c>
      <c r="F2484" s="39" t="inlineStr">
        <is>
          <t>카페24</t>
        </is>
      </c>
      <c r="G2484" s="39" t="inlineStr">
        <is>
          <t>유즈 스테이포에버 솔리드퍼퓸 002 (10차 재입고 완료제품선택=best</t>
        </is>
      </c>
      <c r="H2484" s="39" t="n">
        <v>50</v>
      </c>
      <c r="I2484" s="36">
        <f>VLOOKUP(G2484,매칭테이블!D:E,2,0)</f>
        <v/>
      </c>
      <c r="J2484" s="39" t="n">
        <v>201210</v>
      </c>
      <c r="L2484" s="36">
        <f>VLOOKUP($P2484,매칭테이블!$G:$J,2,0)*H2484</f>
        <v/>
      </c>
      <c r="M2484" s="36">
        <f>L2484-L2484*VLOOKUP($P2484,매칭테이블!$G:$J,3,0)</f>
        <v/>
      </c>
      <c r="N2484" s="36">
        <f>VLOOKUP($P2484,매칭테이블!$G:$J,4,0)*H2484</f>
        <v/>
      </c>
      <c r="O2484" s="52">
        <f>L2484/1.1</f>
        <v/>
      </c>
      <c r="P2484" s="36">
        <f>F2484&amp;E2484&amp;G2484&amp;J2484</f>
        <v/>
      </c>
    </row>
    <row r="2485">
      <c r="B2485" s="51" t="n">
        <v>44189</v>
      </c>
      <c r="C2485" s="36">
        <f>TEXT(B2485,"aaa")</f>
        <v/>
      </c>
      <c r="E2485" s="36">
        <f>INDEX(매칭테이블!C:C,MATCH(RD!G2485,매칭테이블!D:D,0))</f>
        <v/>
      </c>
      <c r="F2485" s="39" t="inlineStr">
        <is>
          <t>카페24</t>
        </is>
      </c>
      <c r="G2485" s="39" t="inlineStr">
        <is>
          <t>유즈 스테이포에버 솔리드퍼퓸 002 (10차 재입고 완료제품선택=커플추천</t>
        </is>
      </c>
      <c r="H2485" s="39" t="n">
        <v>7</v>
      </c>
      <c r="I2485" s="36">
        <f>VLOOKUP(G2485,매칭테이블!D:E,2,0)</f>
        <v/>
      </c>
      <c r="J2485" s="39" t="n">
        <v>201210</v>
      </c>
      <c r="L2485" s="36">
        <f>VLOOKUP($P2485,매칭테이블!$G:$J,2,0)*H2485</f>
        <v/>
      </c>
      <c r="M2485" s="36">
        <f>L2485-L2485*VLOOKUP($P2485,매칭테이블!$G:$J,3,0)</f>
        <v/>
      </c>
      <c r="N2485" s="36">
        <f>VLOOKUP($P2485,매칭테이블!$G:$J,4,0)*H2485</f>
        <v/>
      </c>
      <c r="O2485" s="52">
        <f>L2485/1.1</f>
        <v/>
      </c>
      <c r="P2485" s="36">
        <f>F2485&amp;E2485&amp;G2485&amp;J2485</f>
        <v/>
      </c>
    </row>
    <row r="2486">
      <c r="B2486" s="51" t="n">
        <v>44189</v>
      </c>
      <c r="C2486" s="36">
        <f>TEXT(B2486,"aaa")</f>
        <v/>
      </c>
      <c r="E2486" s="36">
        <f>INDEX(매칭테이블!C:C,MATCH(RD!G2486,매칭테이블!D:D,0))</f>
        <v/>
      </c>
      <c r="F2486" s="39" t="inlineStr">
        <is>
          <t>카페24</t>
        </is>
      </c>
      <c r="G2486" s="39" t="inlineStr">
        <is>
          <t>유즈 스테이포에버 솔리드퍼퓸 002 (10차 재입고 완료쇼핑백=선물용 쇼핑백</t>
        </is>
      </c>
      <c r="H2486" s="39" t="n">
        <v>4</v>
      </c>
      <c r="I2486" s="36">
        <f>VLOOKUP(G2486,매칭테이블!D:E,2,0)</f>
        <v/>
      </c>
      <c r="J2486" s="39" t="n">
        <v>201210</v>
      </c>
      <c r="L2486" s="36">
        <f>VLOOKUP($P2486,매칭테이블!$G:$J,2,0)*H2486</f>
        <v/>
      </c>
      <c r="M2486" s="36">
        <f>L2486-L2486*VLOOKUP($P2486,매칭테이블!$G:$J,3,0)</f>
        <v/>
      </c>
      <c r="N2486" s="36">
        <f>VLOOKUP($P2486,매칭테이블!$G:$J,4,0)*H2486</f>
        <v/>
      </c>
      <c r="O2486" s="52">
        <f>L2486/1.1</f>
        <v/>
      </c>
      <c r="P2486" s="36">
        <f>F2486&amp;E2486&amp;G2486&amp;J2486</f>
        <v/>
      </c>
    </row>
    <row r="2487">
      <c r="B2487" s="51" t="n">
        <v>44189</v>
      </c>
      <c r="C2487" s="36">
        <f>TEXT(B2487,"aaa")</f>
        <v/>
      </c>
      <c r="E2487" s="36">
        <f>INDEX(매칭테이블!C:C,MATCH(RD!G2487,매칭테이블!D:D,0))</f>
        <v/>
      </c>
      <c r="F2487" s="39" t="inlineStr">
        <is>
          <t>카페24</t>
        </is>
      </c>
      <c r="G2487" s="39" t="inlineStr">
        <is>
          <t>유즈 스테이포에버 솔리드퍼퓸 002 (10차 재입고 완료)제품선택=스테이포에버 1개</t>
        </is>
      </c>
      <c r="H2487" s="39" t="n">
        <v>168</v>
      </c>
      <c r="I2487" s="36">
        <f>VLOOKUP(G2487,매칭테이블!D:E,2,0)</f>
        <v/>
      </c>
      <c r="J2487" s="39" t="n">
        <v>201210</v>
      </c>
      <c r="L2487" s="36">
        <f>VLOOKUP($P2487,매칭테이블!$G:$J,2,0)*H2487</f>
        <v/>
      </c>
      <c r="M2487" s="36">
        <f>L2487-L2487*VLOOKUP($P2487,매칭테이블!$G:$J,3,0)</f>
        <v/>
      </c>
      <c r="N2487" s="36">
        <f>VLOOKUP($P2487,매칭테이블!$G:$J,4,0)*H2487</f>
        <v/>
      </c>
      <c r="O2487" s="52">
        <f>L2487/1.1</f>
        <v/>
      </c>
      <c r="P2487" s="36">
        <f>F2487&amp;E2487&amp;G2487&amp;J2487</f>
        <v/>
      </c>
    </row>
    <row r="2488">
      <c r="B2488" s="51" t="n">
        <v>44189</v>
      </c>
      <c r="C2488" s="36">
        <f>TEXT(B2488,"aaa")</f>
        <v/>
      </c>
      <c r="E2488" s="36">
        <f>INDEX(매칭테이블!C:C,MATCH(RD!G2488,매칭테이블!D:D,0))</f>
        <v/>
      </c>
      <c r="F2488" s="39" t="inlineStr">
        <is>
          <t>카페24</t>
        </is>
      </c>
      <c r="G2488" s="39" t="inlineStr">
        <is>
          <t>유즈 스테이포에버 솔리드퍼퓸 002 (10차 재입고 완료)제품선택=best스테이포에버 2개[28% 할인]</t>
        </is>
      </c>
      <c r="H2488" s="39" t="n">
        <v>69</v>
      </c>
      <c r="I2488" s="36">
        <f>VLOOKUP(G2488,매칭테이블!D:E,2,0)</f>
        <v/>
      </c>
      <c r="J2488" s="39" t="n">
        <v>201210</v>
      </c>
      <c r="L2488" s="36">
        <f>VLOOKUP($P2488,매칭테이블!$G:$J,2,0)*H2488</f>
        <v/>
      </c>
      <c r="M2488" s="36">
        <f>L2488-L2488*VLOOKUP($P2488,매칭테이블!$G:$J,3,0)</f>
        <v/>
      </c>
      <c r="N2488" s="36">
        <f>VLOOKUP($P2488,매칭테이블!$G:$J,4,0)*H2488</f>
        <v/>
      </c>
      <c r="O2488" s="52">
        <f>L2488/1.1</f>
        <v/>
      </c>
      <c r="P2488" s="36">
        <f>F2488&amp;E2488&amp;G2488&amp;J2488</f>
        <v/>
      </c>
    </row>
    <row r="2489">
      <c r="B2489" s="51" t="n">
        <v>44189</v>
      </c>
      <c r="C2489" s="36">
        <f>TEXT(B2489,"aaa")</f>
        <v/>
      </c>
      <c r="E2489" s="36">
        <f>INDEX(매칭테이블!C:C,MATCH(RD!G2489,매칭테이블!D:D,0))</f>
        <v/>
      </c>
      <c r="F2489" s="39" t="inlineStr">
        <is>
          <t>카페24</t>
        </is>
      </c>
      <c r="G2489" s="39" t="inlineStr">
        <is>
          <t>유즈 스테이포에버 솔리드퍼퓸 002 (10차 재입고 완료)제품선택=커플추천스테이포에버 + 이그나이트 세트</t>
        </is>
      </c>
      <c r="H2489" s="39" t="n">
        <v>10</v>
      </c>
      <c r="I2489" s="36">
        <f>VLOOKUP(G2489,매칭테이블!D:E,2,0)</f>
        <v/>
      </c>
      <c r="J2489" s="39" t="n">
        <v>201210</v>
      </c>
      <c r="L2489" s="36">
        <f>VLOOKUP($P2489,매칭테이블!$G:$J,2,0)*H2489</f>
        <v/>
      </c>
      <c r="M2489" s="36">
        <f>L2489-L2489*VLOOKUP($P2489,매칭테이블!$G:$J,3,0)</f>
        <v/>
      </c>
      <c r="N2489" s="36">
        <f>VLOOKUP($P2489,매칭테이블!$G:$J,4,0)*H2489</f>
        <v/>
      </c>
      <c r="O2489" s="52">
        <f>L2489/1.1</f>
        <v/>
      </c>
      <c r="P2489" s="36">
        <f>F2489&amp;E2489&amp;G2489&amp;J2489</f>
        <v/>
      </c>
    </row>
    <row r="2490">
      <c r="B2490" s="51" t="n">
        <v>44189</v>
      </c>
      <c r="C2490" s="36">
        <f>TEXT(B2490,"aaa")</f>
        <v/>
      </c>
      <c r="E2490" s="36">
        <f>INDEX(매칭테이블!C:C,MATCH(RD!G2490,매칭테이블!D:D,0))</f>
        <v/>
      </c>
      <c r="F2490" s="39" t="inlineStr">
        <is>
          <t>카페24</t>
        </is>
      </c>
      <c r="G2490" s="39" t="inlineStr">
        <is>
          <t>유즈 스테이포에버 솔리드퍼퓸 002 (10차 재입고 완료)쇼핑백=선물용 쇼핑백</t>
        </is>
      </c>
      <c r="H2490" s="39" t="n">
        <v>6</v>
      </c>
      <c r="I2490" s="36">
        <f>VLOOKUP(G2490,매칭테이블!D:E,2,0)</f>
        <v/>
      </c>
      <c r="J2490" s="39" t="n">
        <v>201210</v>
      </c>
      <c r="L2490" s="36">
        <f>VLOOKUP($P2490,매칭테이블!$G:$J,2,0)*H2490</f>
        <v/>
      </c>
      <c r="M2490" s="36">
        <f>L2490-L2490*VLOOKUP($P2490,매칭테이블!$G:$J,3,0)</f>
        <v/>
      </c>
      <c r="N2490" s="36">
        <f>VLOOKUP($P2490,매칭테이블!$G:$J,4,0)*H2490</f>
        <v/>
      </c>
      <c r="O2490" s="52">
        <f>L2490/1.1</f>
        <v/>
      </c>
      <c r="P2490" s="36">
        <f>F2490&amp;E2490&amp;G2490&amp;J2490</f>
        <v/>
      </c>
    </row>
    <row r="2491">
      <c r="B2491" s="51" t="n">
        <v>44189</v>
      </c>
      <c r="C2491" s="36">
        <f>TEXT(B2491,"aaa")</f>
        <v/>
      </c>
      <c r="E2491" s="36">
        <f>INDEX(매칭테이블!C:C,MATCH(RD!G2491,매칭테이블!D:D,0))</f>
        <v/>
      </c>
      <c r="F2491" s="39" t="inlineStr">
        <is>
          <t>카페24</t>
        </is>
      </c>
      <c r="G2491" s="39" t="inlineStr">
        <is>
          <t>유즈 이그나이트 솔리드퍼퓸 001제품선택=이그나이트 솔리드퍼퓸 - 30ml</t>
        </is>
      </c>
      <c r="H2491" s="39" t="n">
        <v>2</v>
      </c>
      <c r="I2491" s="36">
        <f>VLOOKUP(G2491,매칭테이블!D:E,2,0)</f>
        <v/>
      </c>
      <c r="J2491" s="39" t="n">
        <v>201210</v>
      </c>
      <c r="L2491" s="36">
        <f>VLOOKUP($P2491,매칭테이블!$G:$J,2,0)*H2491</f>
        <v/>
      </c>
      <c r="M2491" s="36">
        <f>L2491-L2491*VLOOKUP($P2491,매칭테이블!$G:$J,3,0)</f>
        <v/>
      </c>
      <c r="N2491" s="36">
        <f>VLOOKUP($P2491,매칭테이블!$G:$J,4,0)*H2491</f>
        <v/>
      </c>
      <c r="O2491" s="52">
        <f>L2491/1.1</f>
        <v/>
      </c>
      <c r="P2491" s="36">
        <f>F2491&amp;E2491&amp;G2491&amp;J2491</f>
        <v/>
      </c>
    </row>
    <row r="2492">
      <c r="B2492" s="51" t="n">
        <v>44190</v>
      </c>
      <c r="C2492" s="36">
        <f>TEXT(B2492,"aaa")</f>
        <v/>
      </c>
      <c r="E2492" s="36">
        <f>INDEX(매칭테이블!C:C,MATCH(RD!G2492,매칭테이블!D:D,0))</f>
        <v/>
      </c>
      <c r="F2492" s="39" t="inlineStr">
        <is>
          <t>카페24</t>
        </is>
      </c>
      <c r="G2492" s="39" t="inlineStr">
        <is>
          <t>유즈 솔리드퍼퓸 - 30ml (10차 재입고 완료향=이그나이트 001 SOLID PERFUME, 세트 선택=1개</t>
        </is>
      </c>
      <c r="H2492" s="39" t="n">
        <v>1</v>
      </c>
      <c r="I2492" s="36">
        <f>VLOOKUP(G2492,매칭테이블!D:E,2,0)</f>
        <v/>
      </c>
      <c r="J2492" s="39" t="n">
        <v>201210</v>
      </c>
      <c r="L2492" s="36">
        <f>VLOOKUP($P2492,매칭테이블!$G:$J,2,0)*H2492</f>
        <v/>
      </c>
      <c r="M2492" s="36">
        <f>L2492-L2492*VLOOKUP($P2492,매칭테이블!$G:$J,3,0)</f>
        <v/>
      </c>
      <c r="N2492" s="36">
        <f>VLOOKUP($P2492,매칭테이블!$G:$J,4,0)*H2492</f>
        <v/>
      </c>
      <c r="O2492" s="52">
        <f>L2492/1.1</f>
        <v/>
      </c>
      <c r="P2492" s="36">
        <f>F2492&amp;E2492&amp;G2492&amp;J2492</f>
        <v/>
      </c>
    </row>
    <row r="2493">
      <c r="B2493" s="51" t="n">
        <v>44190</v>
      </c>
      <c r="C2493" s="36">
        <f>TEXT(B2493,"aaa")</f>
        <v/>
      </c>
      <c r="E2493" s="36">
        <f>INDEX(매칭테이블!C:C,MATCH(RD!G2493,매칭테이블!D:D,0))</f>
        <v/>
      </c>
      <c r="F2493" s="39" t="inlineStr">
        <is>
          <t>카페24</t>
        </is>
      </c>
      <c r="G2493" s="39" t="inlineStr">
        <is>
          <t>유즈 솔리드퍼퓸 - 30ml (10차 재입고 완료향=이그나이트 001 SOLID PERFUME, 세트 선택=best</t>
        </is>
      </c>
      <c r="H2493" s="39" t="n">
        <v>1</v>
      </c>
      <c r="I2493" s="36">
        <f>VLOOKUP(G2493,매칭테이블!D:E,2,0)</f>
        <v/>
      </c>
      <c r="J2493" s="39" t="n">
        <v>201210</v>
      </c>
      <c r="L2493" s="36">
        <f>VLOOKUP($P2493,매칭테이블!$G:$J,2,0)*H2493</f>
        <v/>
      </c>
      <c r="M2493" s="36">
        <f>L2493-L2493*VLOOKUP($P2493,매칭테이블!$G:$J,3,0)</f>
        <v/>
      </c>
      <c r="N2493" s="36">
        <f>VLOOKUP($P2493,매칭테이블!$G:$J,4,0)*H2493</f>
        <v/>
      </c>
      <c r="O2493" s="52">
        <f>L2493/1.1</f>
        <v/>
      </c>
      <c r="P2493" s="36">
        <f>F2493&amp;E2493&amp;G2493&amp;J2493</f>
        <v/>
      </c>
    </row>
    <row r="2494">
      <c r="B2494" s="51" t="n">
        <v>44190</v>
      </c>
      <c r="C2494" s="36">
        <f>TEXT(B2494,"aaa")</f>
        <v/>
      </c>
      <c r="E2494" s="36">
        <f>INDEX(매칭테이블!C:C,MATCH(RD!G2494,매칭테이블!D:D,0))</f>
        <v/>
      </c>
      <c r="F2494" s="39" t="inlineStr">
        <is>
          <t>카페24</t>
        </is>
      </c>
      <c r="G2494" s="39" t="inlineStr">
        <is>
          <t>유즈 솔리드퍼퓸 - 30ml (10차 재입고 완료향=스테이포에버 002 SOLID PERFUME, 세트 선택=1개</t>
        </is>
      </c>
      <c r="H2494" s="39" t="n">
        <v>9</v>
      </c>
      <c r="I2494" s="36">
        <f>VLOOKUP(G2494,매칭테이블!D:E,2,0)</f>
        <v/>
      </c>
      <c r="J2494" s="39" t="n">
        <v>201210</v>
      </c>
      <c r="L2494" s="36">
        <f>VLOOKUP($P2494,매칭테이블!$G:$J,2,0)*H2494</f>
        <v/>
      </c>
      <c r="M2494" s="36">
        <f>L2494-L2494*VLOOKUP($P2494,매칭테이블!$G:$J,3,0)</f>
        <v/>
      </c>
      <c r="N2494" s="36">
        <f>VLOOKUP($P2494,매칭테이블!$G:$J,4,0)*H2494</f>
        <v/>
      </c>
      <c r="O2494" s="52">
        <f>L2494/1.1</f>
        <v/>
      </c>
      <c r="P2494" s="36">
        <f>F2494&amp;E2494&amp;G2494&amp;J2494</f>
        <v/>
      </c>
    </row>
    <row r="2495">
      <c r="B2495" s="51" t="n">
        <v>44190</v>
      </c>
      <c r="C2495" s="36">
        <f>TEXT(B2495,"aaa")</f>
        <v/>
      </c>
      <c r="E2495" s="36">
        <f>INDEX(매칭테이블!C:C,MATCH(RD!G2495,매칭테이블!D:D,0))</f>
        <v/>
      </c>
      <c r="F2495" s="39" t="inlineStr">
        <is>
          <t>카페24</t>
        </is>
      </c>
      <c r="G2495" s="39" t="inlineStr">
        <is>
          <t>유즈 솔리드퍼퓸 - 30ml (10차 재입고 완료향=스테이포에버 002 SOLID PERFUME, 세트 선택=best</t>
        </is>
      </c>
      <c r="H2495" s="39" t="n">
        <v>4</v>
      </c>
      <c r="I2495" s="36">
        <f>VLOOKUP(G2495,매칭테이블!D:E,2,0)</f>
        <v/>
      </c>
      <c r="J2495" s="39" t="n">
        <v>201210</v>
      </c>
      <c r="L2495" s="36">
        <f>VLOOKUP($P2495,매칭테이블!$G:$J,2,0)*H2495</f>
        <v/>
      </c>
      <c r="M2495" s="36">
        <f>L2495-L2495*VLOOKUP($P2495,매칭테이블!$G:$J,3,0)</f>
        <v/>
      </c>
      <c r="N2495" s="36">
        <f>VLOOKUP($P2495,매칭테이블!$G:$J,4,0)*H2495</f>
        <v/>
      </c>
      <c r="O2495" s="52">
        <f>L2495/1.1</f>
        <v/>
      </c>
      <c r="P2495" s="36">
        <f>F2495&amp;E2495&amp;G2495&amp;J2495</f>
        <v/>
      </c>
    </row>
    <row r="2496">
      <c r="B2496" s="51" t="n">
        <v>44190</v>
      </c>
      <c r="C2496" s="36">
        <f>TEXT(B2496,"aaa")</f>
        <v/>
      </c>
      <c r="E2496" s="36">
        <f>INDEX(매칭테이블!C:C,MATCH(RD!G2496,매칭테이블!D:D,0))</f>
        <v/>
      </c>
      <c r="F2496" s="39" t="inlineStr">
        <is>
          <t>카페24</t>
        </is>
      </c>
      <c r="G2496" s="39" t="inlineStr">
        <is>
          <t>유즈 솔리드퍼퓸 - 30ml (10차 재입고 완료향=커플세트</t>
        </is>
      </c>
      <c r="H2496" s="39" t="n">
        <v>4</v>
      </c>
      <c r="I2496" s="36">
        <f>VLOOKUP(G2496,매칭테이블!D:E,2,0)</f>
        <v/>
      </c>
      <c r="J2496" s="39" t="n">
        <v>201210</v>
      </c>
      <c r="L2496" s="36">
        <f>VLOOKUP($P2496,매칭테이블!$G:$J,2,0)*H2496</f>
        <v/>
      </c>
      <c r="M2496" s="36">
        <f>L2496-L2496*VLOOKUP($P2496,매칭테이블!$G:$J,3,0)</f>
        <v/>
      </c>
      <c r="N2496" s="36">
        <f>VLOOKUP($P2496,매칭테이블!$G:$J,4,0)*H2496</f>
        <v/>
      </c>
      <c r="O2496" s="52">
        <f>L2496/1.1</f>
        <v/>
      </c>
      <c r="P2496" s="36">
        <f>F2496&amp;E2496&amp;G2496&amp;J2496</f>
        <v/>
      </c>
    </row>
    <row r="2497">
      <c r="B2497" s="51" t="n">
        <v>44190</v>
      </c>
      <c r="C2497" s="36">
        <f>TEXT(B2497,"aaa")</f>
        <v/>
      </c>
      <c r="E2497" s="36">
        <f>INDEX(매칭테이블!C:C,MATCH(RD!G2497,매칭테이블!D:D,0))</f>
        <v/>
      </c>
      <c r="F2497" s="39" t="inlineStr">
        <is>
          <t>카페24</t>
        </is>
      </c>
      <c r="G2497" s="39" t="inlineStr">
        <is>
          <t>유즈 솔리드퍼퓸 - 30ml (10차 재입고 완료향=커플세트</t>
        </is>
      </c>
      <c r="H2497" s="39" t="n">
        <v>2</v>
      </c>
      <c r="I2497" s="36">
        <f>VLOOKUP(G2497,매칭테이블!D:E,2,0)</f>
        <v/>
      </c>
      <c r="J2497" s="39" t="n">
        <v>201210</v>
      </c>
      <c r="L2497" s="36">
        <f>VLOOKUP($P2497,매칭테이블!$G:$J,2,0)*H2497</f>
        <v/>
      </c>
      <c r="M2497" s="36">
        <f>L2497-L2497*VLOOKUP($P2497,매칭테이블!$G:$J,3,0)</f>
        <v/>
      </c>
      <c r="N2497" s="36">
        <f>VLOOKUP($P2497,매칭테이블!$G:$J,4,0)*H2497</f>
        <v/>
      </c>
      <c r="O2497" s="52">
        <f>L2497/1.1</f>
        <v/>
      </c>
      <c r="P2497" s="36">
        <f>F2497&amp;E2497&amp;G2497&amp;J2497</f>
        <v/>
      </c>
    </row>
    <row r="2498">
      <c r="B2498" s="51" t="n">
        <v>44190</v>
      </c>
      <c r="C2498" s="36">
        <f>TEXT(B2498,"aaa")</f>
        <v/>
      </c>
      <c r="E2498" s="36">
        <f>INDEX(매칭테이블!C:C,MATCH(RD!G2498,매칭테이블!D:D,0))</f>
        <v/>
      </c>
      <c r="F2498" s="39" t="inlineStr">
        <is>
          <t>카페24</t>
        </is>
      </c>
      <c r="G2498" s="39" t="inlineStr">
        <is>
          <t>유즈 솔리드퍼퓸 - 30ml (10차 재입고 완료 )향=스테이포에버 002 SOLID PERFUME, 세트 선택=1개</t>
        </is>
      </c>
      <c r="H2498" s="39" t="n">
        <v>4</v>
      </c>
      <c r="I2498" s="36">
        <f>VLOOKUP(G2498,매칭테이블!D:E,2,0)</f>
        <v/>
      </c>
      <c r="J2498" s="39" t="n">
        <v>201210</v>
      </c>
      <c r="L2498" s="36">
        <f>VLOOKUP($P2498,매칭테이블!$G:$J,2,0)*H2498</f>
        <v/>
      </c>
      <c r="M2498" s="36">
        <f>L2498-L2498*VLOOKUP($P2498,매칭테이블!$G:$J,3,0)</f>
        <v/>
      </c>
      <c r="N2498" s="36">
        <f>VLOOKUP($P2498,매칭테이블!$G:$J,4,0)*H2498</f>
        <v/>
      </c>
      <c r="O2498" s="52">
        <f>L2498/1.1</f>
        <v/>
      </c>
      <c r="P2498" s="36">
        <f>F2498&amp;E2498&amp;G2498&amp;J2498</f>
        <v/>
      </c>
    </row>
    <row r="2499">
      <c r="B2499" s="51" t="n">
        <v>44190</v>
      </c>
      <c r="C2499" s="36">
        <f>TEXT(B2499,"aaa")</f>
        <v/>
      </c>
      <c r="E2499" s="36">
        <f>INDEX(매칭테이블!C:C,MATCH(RD!G2499,매칭테이블!D:D,0))</f>
        <v/>
      </c>
      <c r="F2499" s="39" t="inlineStr">
        <is>
          <t>카페24</t>
        </is>
      </c>
      <c r="G2499" s="39" t="inlineStr">
        <is>
          <t>유즈 솔리드퍼퓸 - 30ml (10차 재입고 완료 )향=스테이포에버 002 SOLID PERFUME, 세트 선택=best 2개 (28% 할인)</t>
        </is>
      </c>
      <c r="H2499" s="39" t="n">
        <v>2</v>
      </c>
      <c r="I2499" s="36">
        <f>VLOOKUP(G2499,매칭테이블!D:E,2,0)</f>
        <v/>
      </c>
      <c r="J2499" s="39" t="n">
        <v>201210</v>
      </c>
      <c r="L2499" s="36">
        <f>VLOOKUP($P2499,매칭테이블!$G:$J,2,0)*H2499</f>
        <v/>
      </c>
      <c r="M2499" s="36">
        <f>L2499-L2499*VLOOKUP($P2499,매칭테이블!$G:$J,3,0)</f>
        <v/>
      </c>
      <c r="N2499" s="36">
        <f>VLOOKUP($P2499,매칭테이블!$G:$J,4,0)*H2499</f>
        <v/>
      </c>
      <c r="O2499" s="52">
        <f>L2499/1.1</f>
        <v/>
      </c>
      <c r="P2499" s="36">
        <f>F2499&amp;E2499&amp;G2499&amp;J2499</f>
        <v/>
      </c>
    </row>
    <row r="2500">
      <c r="B2500" s="51" t="n">
        <v>44190</v>
      </c>
      <c r="C2500" s="36">
        <f>TEXT(B2500,"aaa")</f>
        <v/>
      </c>
      <c r="E2500" s="36">
        <f>INDEX(매칭테이블!C:C,MATCH(RD!G2500,매칭테이블!D:D,0))</f>
        <v/>
      </c>
      <c r="F2500" s="39" t="inlineStr">
        <is>
          <t>카페24</t>
        </is>
      </c>
      <c r="G2500" s="39" t="inlineStr">
        <is>
          <t>유즈 솔리드퍼퓸 - 30ml (10차 재입고 완료 )향=커플세트(이그나이트 + 스테이포에버), 세트 선택=1 SET</t>
        </is>
      </c>
      <c r="H2500" s="39" t="n">
        <v>5</v>
      </c>
      <c r="I2500" s="36">
        <f>VLOOKUP(G2500,매칭테이블!D:E,2,0)</f>
        <v/>
      </c>
      <c r="J2500" s="39" t="n">
        <v>201210</v>
      </c>
      <c r="L2500" s="36">
        <f>VLOOKUP($P2500,매칭테이블!$G:$J,2,0)*H2500</f>
        <v/>
      </c>
      <c r="M2500" s="36">
        <f>L2500-L2500*VLOOKUP($P2500,매칭테이블!$G:$J,3,0)</f>
        <v/>
      </c>
      <c r="N2500" s="36">
        <f>VLOOKUP($P2500,매칭테이블!$G:$J,4,0)*H2500</f>
        <v/>
      </c>
      <c r="O2500" s="52">
        <f>L2500/1.1</f>
        <v/>
      </c>
      <c r="P2500" s="36">
        <f>F2500&amp;E2500&amp;G2500&amp;J2500</f>
        <v/>
      </c>
    </row>
    <row r="2501">
      <c r="B2501" s="51" t="n">
        <v>44190</v>
      </c>
      <c r="C2501" s="36">
        <f>TEXT(B2501,"aaa")</f>
        <v/>
      </c>
      <c r="E2501" s="36">
        <f>INDEX(매칭테이블!C:C,MATCH(RD!G2501,매칭테이블!D:D,0))</f>
        <v/>
      </c>
      <c r="F2501" s="39" t="inlineStr">
        <is>
          <t>카페24</t>
        </is>
      </c>
      <c r="G2501" s="39" t="inlineStr">
        <is>
          <t>유즈 솔리드퍼퓸 - 30ml (10차 재입고 완료)향=커플세트</t>
        </is>
      </c>
      <c r="H2501" s="39" t="n">
        <v>1</v>
      </c>
      <c r="I2501" s="36">
        <f>VLOOKUP(G2501,매칭테이블!D:E,2,0)</f>
        <v/>
      </c>
      <c r="J2501" s="39" t="n">
        <v>201210</v>
      </c>
      <c r="L2501" s="36">
        <f>VLOOKUP($P2501,매칭테이블!$G:$J,2,0)*H2501</f>
        <v/>
      </c>
      <c r="M2501" s="36">
        <f>L2501-L2501*VLOOKUP($P2501,매칭테이블!$G:$J,3,0)</f>
        <v/>
      </c>
      <c r="N2501" s="36">
        <f>VLOOKUP($P2501,매칭테이블!$G:$J,4,0)*H2501</f>
        <v/>
      </c>
      <c r="O2501" s="52">
        <f>L2501/1.1</f>
        <v/>
      </c>
      <c r="P2501" s="36">
        <f>F2501&amp;E2501&amp;G2501&amp;J2501</f>
        <v/>
      </c>
    </row>
    <row r="2502">
      <c r="B2502" s="51" t="n">
        <v>44190</v>
      </c>
      <c r="C2502" s="36">
        <f>TEXT(B2502,"aaa")</f>
        <v/>
      </c>
      <c r="E2502" s="36">
        <f>INDEX(매칭테이블!C:C,MATCH(RD!G2502,매칭테이블!D:D,0))</f>
        <v/>
      </c>
      <c r="F2502" s="39" t="inlineStr">
        <is>
          <t>카페24</t>
        </is>
      </c>
      <c r="G2502" s="39" t="inlineStr">
        <is>
          <t>유즈 스테이포에버 솔리드퍼퓸 002 (10차 재입고 완료제품선택=스테이포에버 1개</t>
        </is>
      </c>
      <c r="H2502" s="39" t="n">
        <v>141</v>
      </c>
      <c r="I2502" s="36">
        <f>VLOOKUP(G2502,매칭테이블!D:E,2,0)</f>
        <v/>
      </c>
      <c r="J2502" s="39" t="n">
        <v>201210</v>
      </c>
      <c r="L2502" s="36">
        <f>VLOOKUP($P2502,매칭테이블!$G:$J,2,0)*H2502</f>
        <v/>
      </c>
      <c r="M2502" s="36">
        <f>L2502-L2502*VLOOKUP($P2502,매칭테이블!$G:$J,3,0)</f>
        <v/>
      </c>
      <c r="N2502" s="36">
        <f>VLOOKUP($P2502,매칭테이블!$G:$J,4,0)*H2502</f>
        <v/>
      </c>
      <c r="O2502" s="52">
        <f>L2502/1.1</f>
        <v/>
      </c>
      <c r="P2502" s="36">
        <f>F2502&amp;E2502&amp;G2502&amp;J2502</f>
        <v/>
      </c>
    </row>
    <row r="2503">
      <c r="B2503" s="51" t="n">
        <v>44190</v>
      </c>
      <c r="C2503" s="36">
        <f>TEXT(B2503,"aaa")</f>
        <v/>
      </c>
      <c r="E2503" s="36">
        <f>INDEX(매칭테이블!C:C,MATCH(RD!G2503,매칭테이블!D:D,0))</f>
        <v/>
      </c>
      <c r="F2503" s="39" t="inlineStr">
        <is>
          <t>카페24</t>
        </is>
      </c>
      <c r="G2503" s="39" t="inlineStr">
        <is>
          <t>유즈 스테이포에버 솔리드퍼퓸 002 (10차 재입고 완료제품선택=best</t>
        </is>
      </c>
      <c r="H2503" s="39" t="n">
        <v>76</v>
      </c>
      <c r="I2503" s="36">
        <f>VLOOKUP(G2503,매칭테이블!D:E,2,0)</f>
        <v/>
      </c>
      <c r="J2503" s="39" t="n">
        <v>201210</v>
      </c>
      <c r="L2503" s="36">
        <f>VLOOKUP($P2503,매칭테이블!$G:$J,2,0)*H2503</f>
        <v/>
      </c>
      <c r="M2503" s="36">
        <f>L2503-L2503*VLOOKUP($P2503,매칭테이블!$G:$J,3,0)</f>
        <v/>
      </c>
      <c r="N2503" s="36">
        <f>VLOOKUP($P2503,매칭테이블!$G:$J,4,0)*H2503</f>
        <v/>
      </c>
      <c r="O2503" s="52">
        <f>L2503/1.1</f>
        <v/>
      </c>
      <c r="P2503" s="36">
        <f>F2503&amp;E2503&amp;G2503&amp;J2503</f>
        <v/>
      </c>
    </row>
    <row r="2504">
      <c r="B2504" s="51" t="n">
        <v>44190</v>
      </c>
      <c r="C2504" s="36">
        <f>TEXT(B2504,"aaa")</f>
        <v/>
      </c>
      <c r="E2504" s="36">
        <f>INDEX(매칭테이블!C:C,MATCH(RD!G2504,매칭테이블!D:D,0))</f>
        <v/>
      </c>
      <c r="F2504" s="39" t="inlineStr">
        <is>
          <t>카페24</t>
        </is>
      </c>
      <c r="G2504" s="39" t="inlineStr">
        <is>
          <t>유즈 스테이포에버 솔리드퍼퓸 002 (10차 재입고 완료제품선택=커플추천</t>
        </is>
      </c>
      <c r="H2504" s="39" t="n">
        <v>11</v>
      </c>
      <c r="I2504" s="36">
        <f>VLOOKUP(G2504,매칭테이블!D:E,2,0)</f>
        <v/>
      </c>
      <c r="J2504" s="39" t="n">
        <v>201210</v>
      </c>
      <c r="L2504" s="36">
        <f>VLOOKUP($P2504,매칭테이블!$G:$J,2,0)*H2504</f>
        <v/>
      </c>
      <c r="M2504" s="36">
        <f>L2504-L2504*VLOOKUP($P2504,매칭테이블!$G:$J,3,0)</f>
        <v/>
      </c>
      <c r="N2504" s="36">
        <f>VLOOKUP($P2504,매칭테이블!$G:$J,4,0)*H2504</f>
        <v/>
      </c>
      <c r="O2504" s="52">
        <f>L2504/1.1</f>
        <v/>
      </c>
      <c r="P2504" s="36">
        <f>F2504&amp;E2504&amp;G2504&amp;J2504</f>
        <v/>
      </c>
    </row>
    <row r="2505">
      <c r="B2505" s="51" t="n">
        <v>44190</v>
      </c>
      <c r="C2505" s="36">
        <f>TEXT(B2505,"aaa")</f>
        <v/>
      </c>
      <c r="E2505" s="36">
        <f>INDEX(매칭테이블!C:C,MATCH(RD!G2505,매칭테이블!D:D,0))</f>
        <v/>
      </c>
      <c r="F2505" s="39" t="inlineStr">
        <is>
          <t>카페24</t>
        </is>
      </c>
      <c r="G2505" s="39" t="inlineStr">
        <is>
          <t>유즈 스테이포에버 솔리드퍼퓸 002 (10차 재입고 완료쇼핑백=선물용 쇼핑백</t>
        </is>
      </c>
      <c r="H2505" s="39" t="n">
        <v>4</v>
      </c>
      <c r="I2505" s="36">
        <f>VLOOKUP(G2505,매칭테이블!D:E,2,0)</f>
        <v/>
      </c>
      <c r="J2505" s="39" t="n">
        <v>201210</v>
      </c>
      <c r="L2505" s="36">
        <f>VLOOKUP($P2505,매칭테이블!$G:$J,2,0)*H2505</f>
        <v/>
      </c>
      <c r="M2505" s="36">
        <f>L2505-L2505*VLOOKUP($P2505,매칭테이블!$G:$J,3,0)</f>
        <v/>
      </c>
      <c r="N2505" s="36">
        <f>VLOOKUP($P2505,매칭테이블!$G:$J,4,0)*H2505</f>
        <v/>
      </c>
      <c r="O2505" s="52">
        <f>L2505/1.1</f>
        <v/>
      </c>
      <c r="P2505" s="36">
        <f>F2505&amp;E2505&amp;G2505&amp;J2505</f>
        <v/>
      </c>
    </row>
    <row r="2506">
      <c r="B2506" s="51" t="n">
        <v>44190</v>
      </c>
      <c r="C2506" s="36">
        <f>TEXT(B2506,"aaa")</f>
        <v/>
      </c>
      <c r="E2506" s="36">
        <f>INDEX(매칭테이블!C:C,MATCH(RD!G2506,매칭테이블!D:D,0))</f>
        <v/>
      </c>
      <c r="F2506" s="39" t="inlineStr">
        <is>
          <t>카페24</t>
        </is>
      </c>
      <c r="G2506" s="39" t="inlineStr">
        <is>
          <t>유즈 스테이포에버 솔리드퍼퓸 002 (10차 재입고 완료)제품선택=스테이포에버 1개</t>
        </is>
      </c>
      <c r="H2506" s="39" t="n">
        <v>264</v>
      </c>
      <c r="I2506" s="36">
        <f>VLOOKUP(G2506,매칭테이블!D:E,2,0)</f>
        <v/>
      </c>
      <c r="J2506" s="39" t="n">
        <v>201210</v>
      </c>
      <c r="L2506" s="36">
        <f>VLOOKUP($P2506,매칭테이블!$G:$J,2,0)*H2506</f>
        <v/>
      </c>
      <c r="M2506" s="36">
        <f>L2506-L2506*VLOOKUP($P2506,매칭테이블!$G:$J,3,0)</f>
        <v/>
      </c>
      <c r="N2506" s="36">
        <f>VLOOKUP($P2506,매칭테이블!$G:$J,4,0)*H2506</f>
        <v/>
      </c>
      <c r="O2506" s="52">
        <f>L2506/1.1</f>
        <v/>
      </c>
      <c r="P2506" s="36">
        <f>F2506&amp;E2506&amp;G2506&amp;J2506</f>
        <v/>
      </c>
    </row>
    <row r="2507">
      <c r="B2507" s="51" t="n">
        <v>44190</v>
      </c>
      <c r="C2507" s="36">
        <f>TEXT(B2507,"aaa")</f>
        <v/>
      </c>
      <c r="E2507" s="36">
        <f>INDEX(매칭테이블!C:C,MATCH(RD!G2507,매칭테이블!D:D,0))</f>
        <v/>
      </c>
      <c r="F2507" s="39" t="inlineStr">
        <is>
          <t>카페24</t>
        </is>
      </c>
      <c r="G2507" s="39" t="inlineStr">
        <is>
          <t>유즈 스테이포에버 솔리드퍼퓸 002 (10차 재입고 완료)제품선택=best스테이포에버 2개[28% 할인]</t>
        </is>
      </c>
      <c r="H2507" s="39" t="n">
        <v>115</v>
      </c>
      <c r="I2507" s="36">
        <f>VLOOKUP(G2507,매칭테이블!D:E,2,0)</f>
        <v/>
      </c>
      <c r="J2507" s="39" t="n">
        <v>201210</v>
      </c>
      <c r="L2507" s="36">
        <f>VLOOKUP($P2507,매칭테이블!$G:$J,2,0)*H2507</f>
        <v/>
      </c>
      <c r="M2507" s="36">
        <f>L2507-L2507*VLOOKUP($P2507,매칭테이블!$G:$J,3,0)</f>
        <v/>
      </c>
      <c r="N2507" s="36">
        <f>VLOOKUP($P2507,매칭테이블!$G:$J,4,0)*H2507</f>
        <v/>
      </c>
      <c r="O2507" s="52">
        <f>L2507/1.1</f>
        <v/>
      </c>
      <c r="P2507" s="36">
        <f>F2507&amp;E2507&amp;G2507&amp;J2507</f>
        <v/>
      </c>
    </row>
    <row r="2508">
      <c r="B2508" s="51" t="n">
        <v>44190</v>
      </c>
      <c r="C2508" s="36">
        <f>TEXT(B2508,"aaa")</f>
        <v/>
      </c>
      <c r="E2508" s="36">
        <f>INDEX(매칭테이블!C:C,MATCH(RD!G2508,매칭테이블!D:D,0))</f>
        <v/>
      </c>
      <c r="F2508" s="39" t="inlineStr">
        <is>
          <t>카페24</t>
        </is>
      </c>
      <c r="G2508" s="39" t="inlineStr">
        <is>
          <t>유즈 스테이포에버 솔리드퍼퓸 002 (10차 재입고 완료)제품선택=커플추천스테이포에버 + 이그나이트 세트</t>
        </is>
      </c>
      <c r="H2508" s="39" t="n">
        <v>21</v>
      </c>
      <c r="I2508" s="36">
        <f>VLOOKUP(G2508,매칭테이블!D:E,2,0)</f>
        <v/>
      </c>
      <c r="J2508" s="39" t="n">
        <v>201210</v>
      </c>
      <c r="L2508" s="36">
        <f>VLOOKUP($P2508,매칭테이블!$G:$J,2,0)*H2508</f>
        <v/>
      </c>
      <c r="M2508" s="36">
        <f>L2508-L2508*VLOOKUP($P2508,매칭테이블!$G:$J,3,0)</f>
        <v/>
      </c>
      <c r="N2508" s="36">
        <f>VLOOKUP($P2508,매칭테이블!$G:$J,4,0)*H2508</f>
        <v/>
      </c>
      <c r="O2508" s="52">
        <f>L2508/1.1</f>
        <v/>
      </c>
      <c r="P2508" s="36">
        <f>F2508&amp;E2508&amp;G2508&amp;J2508</f>
        <v/>
      </c>
    </row>
    <row r="2509">
      <c r="B2509" s="51" t="n">
        <v>44190</v>
      </c>
      <c r="C2509" s="36">
        <f>TEXT(B2509,"aaa")</f>
        <v/>
      </c>
      <c r="E2509" s="36">
        <f>INDEX(매칭테이블!C:C,MATCH(RD!G2509,매칭테이블!D:D,0))</f>
        <v/>
      </c>
      <c r="F2509" s="39" t="inlineStr">
        <is>
          <t>카페24</t>
        </is>
      </c>
      <c r="G2509" s="39" t="inlineStr">
        <is>
          <t>유즈 스테이포에버 솔리드퍼퓸 002 (10차 재입고 완료)쇼핑백=선물용 쇼핑백</t>
        </is>
      </c>
      <c r="H2509" s="39" t="n">
        <v>13</v>
      </c>
      <c r="I2509" s="36">
        <f>VLOOKUP(G2509,매칭테이블!D:E,2,0)</f>
        <v/>
      </c>
      <c r="J2509" s="39" t="n">
        <v>201210</v>
      </c>
      <c r="L2509" s="36">
        <f>VLOOKUP($P2509,매칭테이블!$G:$J,2,0)*H2509</f>
        <v/>
      </c>
      <c r="M2509" s="36">
        <f>L2509-L2509*VLOOKUP($P2509,매칭테이블!$G:$J,3,0)</f>
        <v/>
      </c>
      <c r="N2509" s="36">
        <f>VLOOKUP($P2509,매칭테이블!$G:$J,4,0)*H2509</f>
        <v/>
      </c>
      <c r="O2509" s="52">
        <f>L2509/1.1</f>
        <v/>
      </c>
      <c r="P2509" s="36">
        <f>F2509&amp;E2509&amp;G2509&amp;J2509</f>
        <v/>
      </c>
    </row>
    <row r="2510">
      <c r="B2510" s="51" t="n">
        <v>44190</v>
      </c>
      <c r="C2510" s="36">
        <f>TEXT(B2510,"aaa")</f>
        <v/>
      </c>
      <c r="E2510" s="36">
        <f>INDEX(매칭테이블!C:C,MATCH(RD!G2510,매칭테이블!D:D,0))</f>
        <v/>
      </c>
      <c r="F2510" s="39" t="inlineStr">
        <is>
          <t>카페24</t>
        </is>
      </c>
      <c r="G2510" s="39" t="inlineStr">
        <is>
          <t>유즈 이그나이트 솔리드퍼퓸 001제품선택=이그나이트 솔리드퍼퓸 - 30ml</t>
        </is>
      </c>
      <c r="H2510" s="39" t="n">
        <v>6</v>
      </c>
      <c r="I2510" s="36">
        <f>VLOOKUP(G2510,매칭테이블!D:E,2,0)</f>
        <v/>
      </c>
      <c r="J2510" s="39" t="n">
        <v>201210</v>
      </c>
      <c r="L2510" s="36">
        <f>VLOOKUP($P2510,매칭테이블!$G:$J,2,0)*H2510</f>
        <v/>
      </c>
      <c r="M2510" s="36">
        <f>L2510-L2510*VLOOKUP($P2510,매칭테이블!$G:$J,3,0)</f>
        <v/>
      </c>
      <c r="N2510" s="36">
        <f>VLOOKUP($P2510,매칭테이블!$G:$J,4,0)*H2510</f>
        <v/>
      </c>
      <c r="O2510" s="52">
        <f>L2510/1.1</f>
        <v/>
      </c>
      <c r="P2510" s="36">
        <f>F2510&amp;E2510&amp;G2510&amp;J2510</f>
        <v/>
      </c>
    </row>
    <row r="2511">
      <c r="B2511" s="51" t="n">
        <v>44190</v>
      </c>
      <c r="C2511" s="36">
        <f>TEXT(B2511,"aaa")</f>
        <v/>
      </c>
      <c r="E2511" s="36">
        <f>INDEX(매칭테이블!C:C,MATCH(RD!G2511,매칭테이블!D:D,0))</f>
        <v/>
      </c>
      <c r="F2511" s="39" t="inlineStr">
        <is>
          <t>카페24</t>
        </is>
      </c>
      <c r="G2511" s="39" t="inlineStr">
        <is>
          <t>유즈 이그나이트 솔리드퍼퓸 001제품선택=이그나이트 2개 세트</t>
        </is>
      </c>
      <c r="H2511" s="39" t="n">
        <v>2</v>
      </c>
      <c r="I2511" s="36">
        <f>VLOOKUP(G2511,매칭테이블!D:E,2,0)</f>
        <v/>
      </c>
      <c r="J2511" s="39" t="n">
        <v>201210</v>
      </c>
      <c r="L2511" s="36">
        <f>VLOOKUP($P2511,매칭테이블!$G:$J,2,0)*H2511</f>
        <v/>
      </c>
      <c r="M2511" s="36">
        <f>L2511-L2511*VLOOKUP($P2511,매칭테이블!$G:$J,3,0)</f>
        <v/>
      </c>
      <c r="N2511" s="36">
        <f>VLOOKUP($P2511,매칭테이블!$G:$J,4,0)*H2511</f>
        <v/>
      </c>
      <c r="O2511" s="52">
        <f>L2511/1.1</f>
        <v/>
      </c>
      <c r="P2511" s="36">
        <f>F2511&amp;E2511&amp;G2511&amp;J2511</f>
        <v/>
      </c>
    </row>
    <row r="2512">
      <c r="B2512" s="51" t="n">
        <v>44191</v>
      </c>
      <c r="C2512" s="36">
        <f>TEXT(B2512,"aaa")</f>
        <v/>
      </c>
      <c r="E2512" s="36">
        <f>INDEX(매칭테이블!C:C,MATCH(RD!G2512,매칭테이블!D:D,0))</f>
        <v/>
      </c>
      <c r="F2512" s="39" t="inlineStr">
        <is>
          <t>카페24</t>
        </is>
      </c>
      <c r="G2512" s="39" t="inlineStr">
        <is>
          <t>유즈 솔리드퍼퓸 - 30ml (10차 재입고 완료향=스테이포에버 002 SOLID PERFUME, 세트 선택=1개</t>
        </is>
      </c>
      <c r="H2512" s="39" t="n">
        <v>7</v>
      </c>
      <c r="I2512" s="36">
        <f>VLOOKUP(G2512,매칭테이블!D:E,2,0)</f>
        <v/>
      </c>
      <c r="J2512" s="39" t="n">
        <v>201210</v>
      </c>
      <c r="L2512" s="36">
        <f>VLOOKUP($P2512,매칭테이블!$G:$J,2,0)*H2512</f>
        <v/>
      </c>
      <c r="M2512" s="36">
        <f>L2512-L2512*VLOOKUP($P2512,매칭테이블!$G:$J,3,0)</f>
        <v/>
      </c>
      <c r="N2512" s="36">
        <f>VLOOKUP($P2512,매칭테이블!$G:$J,4,0)*H2512</f>
        <v/>
      </c>
      <c r="O2512" s="52">
        <f>L2512/1.1</f>
        <v/>
      </c>
      <c r="P2512" s="36">
        <f>F2512&amp;E2512&amp;G2512&amp;J2512</f>
        <v/>
      </c>
    </row>
    <row r="2513">
      <c r="B2513" s="51" t="n">
        <v>44191</v>
      </c>
      <c r="C2513" s="36">
        <f>TEXT(B2513,"aaa")</f>
        <v/>
      </c>
      <c r="E2513" s="36">
        <f>INDEX(매칭테이블!C:C,MATCH(RD!G2513,매칭테이블!D:D,0))</f>
        <v/>
      </c>
      <c r="F2513" s="39" t="inlineStr">
        <is>
          <t>카페24</t>
        </is>
      </c>
      <c r="G2513" s="39" t="inlineStr">
        <is>
          <t>유즈 솔리드퍼퓸 - 30ml (10차 재입고 완료향=스테이포에버 002 SOLID PERFUME, 세트 선택=best</t>
        </is>
      </c>
      <c r="H2513" s="39" t="n">
        <v>5</v>
      </c>
      <c r="I2513" s="36">
        <f>VLOOKUP(G2513,매칭테이블!D:E,2,0)</f>
        <v/>
      </c>
      <c r="J2513" s="39" t="n">
        <v>201210</v>
      </c>
      <c r="L2513" s="36">
        <f>VLOOKUP($P2513,매칭테이블!$G:$J,2,0)*H2513</f>
        <v/>
      </c>
      <c r="M2513" s="36">
        <f>L2513-L2513*VLOOKUP($P2513,매칭테이블!$G:$J,3,0)</f>
        <v/>
      </c>
      <c r="N2513" s="36">
        <f>VLOOKUP($P2513,매칭테이블!$G:$J,4,0)*H2513</f>
        <v/>
      </c>
      <c r="O2513" s="52">
        <f>L2513/1.1</f>
        <v/>
      </c>
      <c r="P2513" s="36">
        <f>F2513&amp;E2513&amp;G2513&amp;J2513</f>
        <v/>
      </c>
    </row>
    <row r="2514">
      <c r="B2514" s="51" t="n">
        <v>44191</v>
      </c>
      <c r="C2514" s="36">
        <f>TEXT(B2514,"aaa")</f>
        <v/>
      </c>
      <c r="E2514" s="36">
        <f>INDEX(매칭테이블!C:C,MATCH(RD!G2514,매칭테이블!D:D,0))</f>
        <v/>
      </c>
      <c r="F2514" s="39" t="inlineStr">
        <is>
          <t>카페24</t>
        </is>
      </c>
      <c r="G2514" s="39" t="inlineStr">
        <is>
          <t>유즈 솔리드퍼퓸 - 30ml (10차 재입고 완료향=커플세트</t>
        </is>
      </c>
      <c r="H2514" s="39" t="n">
        <v>7</v>
      </c>
      <c r="I2514" s="36">
        <f>VLOOKUP(G2514,매칭테이블!D:E,2,0)</f>
        <v/>
      </c>
      <c r="J2514" s="39" t="n">
        <v>201210</v>
      </c>
      <c r="L2514" s="36">
        <f>VLOOKUP($P2514,매칭테이블!$G:$J,2,0)*H2514</f>
        <v/>
      </c>
      <c r="M2514" s="36">
        <f>L2514-L2514*VLOOKUP($P2514,매칭테이블!$G:$J,3,0)</f>
        <v/>
      </c>
      <c r="N2514" s="36">
        <f>VLOOKUP($P2514,매칭테이블!$G:$J,4,0)*H2514</f>
        <v/>
      </c>
      <c r="O2514" s="52">
        <f>L2514/1.1</f>
        <v/>
      </c>
      <c r="P2514" s="36">
        <f>F2514&amp;E2514&amp;G2514&amp;J2514</f>
        <v/>
      </c>
    </row>
    <row r="2515">
      <c r="B2515" s="51" t="n">
        <v>44191</v>
      </c>
      <c r="C2515" s="36">
        <f>TEXT(B2515,"aaa")</f>
        <v/>
      </c>
      <c r="E2515" s="36">
        <f>INDEX(매칭테이블!C:C,MATCH(RD!G2515,매칭테이블!D:D,0))</f>
        <v/>
      </c>
      <c r="F2515" s="39" t="inlineStr">
        <is>
          <t>카페24</t>
        </is>
      </c>
      <c r="G2515" s="39" t="inlineStr">
        <is>
          <t>유즈 솔리드퍼퓸 - 30ml (10차 재입고 완료 )향=스테이포에버 002 SOLID PERFUME, 세트 선택=1개</t>
        </is>
      </c>
      <c r="H2515" s="39" t="n">
        <v>11</v>
      </c>
      <c r="I2515" s="36">
        <f>VLOOKUP(G2515,매칭테이블!D:E,2,0)</f>
        <v/>
      </c>
      <c r="J2515" s="39" t="n">
        <v>201210</v>
      </c>
      <c r="L2515" s="36">
        <f>VLOOKUP($P2515,매칭테이블!$G:$J,2,0)*H2515</f>
        <v/>
      </c>
      <c r="M2515" s="36">
        <f>L2515-L2515*VLOOKUP($P2515,매칭테이블!$G:$J,3,0)</f>
        <v/>
      </c>
      <c r="N2515" s="36">
        <f>VLOOKUP($P2515,매칭테이블!$G:$J,4,0)*H2515</f>
        <v/>
      </c>
      <c r="O2515" s="52">
        <f>L2515/1.1</f>
        <v/>
      </c>
      <c r="P2515" s="36">
        <f>F2515&amp;E2515&amp;G2515&amp;J2515</f>
        <v/>
      </c>
    </row>
    <row r="2516">
      <c r="B2516" s="51" t="n">
        <v>44191</v>
      </c>
      <c r="C2516" s="36">
        <f>TEXT(B2516,"aaa")</f>
        <v/>
      </c>
      <c r="E2516" s="36">
        <f>INDEX(매칭테이블!C:C,MATCH(RD!G2516,매칭테이블!D:D,0))</f>
        <v/>
      </c>
      <c r="F2516" s="39" t="inlineStr">
        <is>
          <t>카페24</t>
        </is>
      </c>
      <c r="G2516" s="39" t="inlineStr">
        <is>
          <t>유즈 솔리드퍼퓸 - 30ml (10차 재입고 완료 )향=스테이포에버 002 SOLID PERFUME, 세트 선택=best 2개 (28% 할인)</t>
        </is>
      </c>
      <c r="H2516" s="39" t="n">
        <v>2</v>
      </c>
      <c r="I2516" s="36">
        <f>VLOOKUP(G2516,매칭테이블!D:E,2,0)</f>
        <v/>
      </c>
      <c r="J2516" s="39" t="n">
        <v>201210</v>
      </c>
      <c r="L2516" s="36">
        <f>VLOOKUP($P2516,매칭테이블!$G:$J,2,0)*H2516</f>
        <v/>
      </c>
      <c r="M2516" s="36">
        <f>L2516-L2516*VLOOKUP($P2516,매칭테이블!$G:$J,3,0)</f>
        <v/>
      </c>
      <c r="N2516" s="36">
        <f>VLOOKUP($P2516,매칭테이블!$G:$J,4,0)*H2516</f>
        <v/>
      </c>
      <c r="O2516" s="52">
        <f>L2516/1.1</f>
        <v/>
      </c>
      <c r="P2516" s="36">
        <f>F2516&amp;E2516&amp;G2516&amp;J2516</f>
        <v/>
      </c>
    </row>
    <row r="2517">
      <c r="B2517" s="51" t="n">
        <v>44191</v>
      </c>
      <c r="C2517" s="36">
        <f>TEXT(B2517,"aaa")</f>
        <v/>
      </c>
      <c r="E2517" s="36">
        <f>INDEX(매칭테이블!C:C,MATCH(RD!G2517,매칭테이블!D:D,0))</f>
        <v/>
      </c>
      <c r="F2517" s="39" t="inlineStr">
        <is>
          <t>카페24</t>
        </is>
      </c>
      <c r="G2517" s="39" t="inlineStr">
        <is>
          <t>유즈 솔리드퍼퓸 - 30ml (10차 재입고 완료 )향=커플세트(이그나이트 + 스테이포에버), 세트 선택=1 SET</t>
        </is>
      </c>
      <c r="H2517" s="39" t="n">
        <v>4</v>
      </c>
      <c r="I2517" s="36">
        <f>VLOOKUP(G2517,매칭테이블!D:E,2,0)</f>
        <v/>
      </c>
      <c r="J2517" s="39" t="n">
        <v>201210</v>
      </c>
      <c r="L2517" s="36">
        <f>VLOOKUP($P2517,매칭테이블!$G:$J,2,0)*H2517</f>
        <v/>
      </c>
      <c r="M2517" s="36">
        <f>L2517-L2517*VLOOKUP($P2517,매칭테이블!$G:$J,3,0)</f>
        <v/>
      </c>
      <c r="N2517" s="36">
        <f>VLOOKUP($P2517,매칭테이블!$G:$J,4,0)*H2517</f>
        <v/>
      </c>
      <c r="O2517" s="52">
        <f>L2517/1.1</f>
        <v/>
      </c>
      <c r="P2517" s="36">
        <f>F2517&amp;E2517&amp;G2517&amp;J2517</f>
        <v/>
      </c>
    </row>
    <row r="2518">
      <c r="B2518" s="51" t="n">
        <v>44191</v>
      </c>
      <c r="C2518" s="36">
        <f>TEXT(B2518,"aaa")</f>
        <v/>
      </c>
      <c r="E2518" s="36">
        <f>INDEX(매칭테이블!C:C,MATCH(RD!G2518,매칭테이블!D:D,0))</f>
        <v/>
      </c>
      <c r="F2518" s="39" t="inlineStr">
        <is>
          <t>카페24</t>
        </is>
      </c>
      <c r="G2518" s="39" t="inlineStr">
        <is>
          <t>유즈 스테이포에버 솔리드퍼퓸 002 (10차 재입고 완료제품선택=스테이포에버 1개</t>
        </is>
      </c>
      <c r="H2518" s="39" t="n">
        <v>179</v>
      </c>
      <c r="I2518" s="36">
        <f>VLOOKUP(G2518,매칭테이블!D:E,2,0)</f>
        <v/>
      </c>
      <c r="J2518" s="39" t="n">
        <v>201210</v>
      </c>
      <c r="L2518" s="36">
        <f>VLOOKUP($P2518,매칭테이블!$G:$J,2,0)*H2518</f>
        <v/>
      </c>
      <c r="M2518" s="36">
        <f>L2518-L2518*VLOOKUP($P2518,매칭테이블!$G:$J,3,0)</f>
        <v/>
      </c>
      <c r="N2518" s="36">
        <f>VLOOKUP($P2518,매칭테이블!$G:$J,4,0)*H2518</f>
        <v/>
      </c>
      <c r="O2518" s="52">
        <f>L2518/1.1</f>
        <v/>
      </c>
      <c r="P2518" s="36">
        <f>F2518&amp;E2518&amp;G2518&amp;J2518</f>
        <v/>
      </c>
    </row>
    <row r="2519">
      <c r="B2519" s="51" t="n">
        <v>44191</v>
      </c>
      <c r="C2519" s="36">
        <f>TEXT(B2519,"aaa")</f>
        <v/>
      </c>
      <c r="E2519" s="36">
        <f>INDEX(매칭테이블!C:C,MATCH(RD!G2519,매칭테이블!D:D,0))</f>
        <v/>
      </c>
      <c r="F2519" s="39" t="inlineStr">
        <is>
          <t>카페24</t>
        </is>
      </c>
      <c r="G2519" s="39" t="inlineStr">
        <is>
          <t>유즈 스테이포에버 솔리드퍼퓸 002 (10차 재입고 완료제품선택=best</t>
        </is>
      </c>
      <c r="H2519" s="39" t="n">
        <v>93</v>
      </c>
      <c r="I2519" s="36">
        <f>VLOOKUP(G2519,매칭테이블!D:E,2,0)</f>
        <v/>
      </c>
      <c r="J2519" s="39" t="n">
        <v>201210</v>
      </c>
      <c r="L2519" s="36">
        <f>VLOOKUP($P2519,매칭테이블!$G:$J,2,0)*H2519</f>
        <v/>
      </c>
      <c r="M2519" s="36">
        <f>L2519-L2519*VLOOKUP($P2519,매칭테이블!$G:$J,3,0)</f>
        <v/>
      </c>
      <c r="N2519" s="36">
        <f>VLOOKUP($P2519,매칭테이블!$G:$J,4,0)*H2519</f>
        <v/>
      </c>
      <c r="O2519" s="52">
        <f>L2519/1.1</f>
        <v/>
      </c>
      <c r="P2519" s="36">
        <f>F2519&amp;E2519&amp;G2519&amp;J2519</f>
        <v/>
      </c>
    </row>
    <row r="2520">
      <c r="B2520" s="51" t="n">
        <v>44191</v>
      </c>
      <c r="C2520" s="36">
        <f>TEXT(B2520,"aaa")</f>
        <v/>
      </c>
      <c r="E2520" s="36">
        <f>INDEX(매칭테이블!C:C,MATCH(RD!G2520,매칭테이블!D:D,0))</f>
        <v/>
      </c>
      <c r="F2520" s="39" t="inlineStr">
        <is>
          <t>카페24</t>
        </is>
      </c>
      <c r="G2520" s="39" t="inlineStr">
        <is>
          <t>유즈 스테이포에버 솔리드퍼퓸 002 (10차 재입고 완료제품선택=커플추천</t>
        </is>
      </c>
      <c r="H2520" s="39" t="n">
        <v>7</v>
      </c>
      <c r="I2520" s="36">
        <f>VLOOKUP(G2520,매칭테이블!D:E,2,0)</f>
        <v/>
      </c>
      <c r="J2520" s="39" t="n">
        <v>201210</v>
      </c>
      <c r="L2520" s="36">
        <f>VLOOKUP($P2520,매칭테이블!$G:$J,2,0)*H2520</f>
        <v/>
      </c>
      <c r="M2520" s="36">
        <f>L2520-L2520*VLOOKUP($P2520,매칭테이블!$G:$J,3,0)</f>
        <v/>
      </c>
      <c r="N2520" s="36">
        <f>VLOOKUP($P2520,매칭테이블!$G:$J,4,0)*H2520</f>
        <v/>
      </c>
      <c r="O2520" s="52">
        <f>L2520/1.1</f>
        <v/>
      </c>
      <c r="P2520" s="36">
        <f>F2520&amp;E2520&amp;G2520&amp;J2520</f>
        <v/>
      </c>
    </row>
    <row r="2521">
      <c r="B2521" s="51" t="n">
        <v>44191</v>
      </c>
      <c r="C2521" s="36">
        <f>TEXT(B2521,"aaa")</f>
        <v/>
      </c>
      <c r="E2521" s="36">
        <f>INDEX(매칭테이블!C:C,MATCH(RD!G2521,매칭테이블!D:D,0))</f>
        <v/>
      </c>
      <c r="F2521" s="39" t="inlineStr">
        <is>
          <t>카페24</t>
        </is>
      </c>
      <c r="G2521" s="39" t="inlineStr">
        <is>
          <t>유즈 스테이포에버 솔리드퍼퓸 002 (10차 재입고 완료쇼핑백=선물용 쇼핑백</t>
        </is>
      </c>
      <c r="H2521" s="39" t="n">
        <v>4</v>
      </c>
      <c r="I2521" s="36">
        <f>VLOOKUP(G2521,매칭테이블!D:E,2,0)</f>
        <v/>
      </c>
      <c r="J2521" s="39" t="n">
        <v>201210</v>
      </c>
      <c r="L2521" s="36">
        <f>VLOOKUP($P2521,매칭테이블!$G:$J,2,0)*H2521</f>
        <v/>
      </c>
      <c r="M2521" s="36">
        <f>L2521-L2521*VLOOKUP($P2521,매칭테이블!$G:$J,3,0)</f>
        <v/>
      </c>
      <c r="N2521" s="36">
        <f>VLOOKUP($P2521,매칭테이블!$G:$J,4,0)*H2521</f>
        <v/>
      </c>
      <c r="O2521" s="52">
        <f>L2521/1.1</f>
        <v/>
      </c>
      <c r="P2521" s="36">
        <f>F2521&amp;E2521&amp;G2521&amp;J2521</f>
        <v/>
      </c>
    </row>
    <row r="2522">
      <c r="B2522" s="51" t="n">
        <v>44191</v>
      </c>
      <c r="C2522" s="36">
        <f>TEXT(B2522,"aaa")</f>
        <v/>
      </c>
      <c r="E2522" s="36">
        <f>INDEX(매칭테이블!C:C,MATCH(RD!G2522,매칭테이블!D:D,0))</f>
        <v/>
      </c>
      <c r="F2522" s="39" t="inlineStr">
        <is>
          <t>카페24</t>
        </is>
      </c>
      <c r="G2522" s="39" t="inlineStr">
        <is>
          <t>유즈 스테이포에버 솔리드퍼퓸 002 (10차 재입고 완료)제품선택=스테이포에버 1개</t>
        </is>
      </c>
      <c r="H2522" s="39" t="n">
        <v>317</v>
      </c>
      <c r="I2522" s="36">
        <f>VLOOKUP(G2522,매칭테이블!D:E,2,0)</f>
        <v/>
      </c>
      <c r="J2522" s="39" t="n">
        <v>201210</v>
      </c>
      <c r="L2522" s="36">
        <f>VLOOKUP($P2522,매칭테이블!$G:$J,2,0)*H2522</f>
        <v/>
      </c>
      <c r="M2522" s="36">
        <f>L2522-L2522*VLOOKUP($P2522,매칭테이블!$G:$J,3,0)</f>
        <v/>
      </c>
      <c r="N2522" s="36">
        <f>VLOOKUP($P2522,매칭테이블!$G:$J,4,0)*H2522</f>
        <v/>
      </c>
      <c r="O2522" s="52">
        <f>L2522/1.1</f>
        <v/>
      </c>
      <c r="P2522" s="36">
        <f>F2522&amp;E2522&amp;G2522&amp;J2522</f>
        <v/>
      </c>
    </row>
    <row r="2523">
      <c r="B2523" s="51" t="n">
        <v>44191</v>
      </c>
      <c r="C2523" s="36">
        <f>TEXT(B2523,"aaa")</f>
        <v/>
      </c>
      <c r="E2523" s="36">
        <f>INDEX(매칭테이블!C:C,MATCH(RD!G2523,매칭테이블!D:D,0))</f>
        <v/>
      </c>
      <c r="F2523" s="39" t="inlineStr">
        <is>
          <t>카페24</t>
        </is>
      </c>
      <c r="G2523" s="39" t="inlineStr">
        <is>
          <t>유즈 스테이포에버 솔리드퍼퓸 002 (10차 재입고 완료)제품선택=best스테이포에버 2개[28% 할인]</t>
        </is>
      </c>
      <c r="H2523" s="39" t="n">
        <v>112</v>
      </c>
      <c r="I2523" s="36">
        <f>VLOOKUP(G2523,매칭테이블!D:E,2,0)</f>
        <v/>
      </c>
      <c r="J2523" s="39" t="n">
        <v>201210</v>
      </c>
      <c r="L2523" s="36">
        <f>VLOOKUP($P2523,매칭테이블!$G:$J,2,0)*H2523</f>
        <v/>
      </c>
      <c r="M2523" s="36">
        <f>L2523-L2523*VLOOKUP($P2523,매칭테이블!$G:$J,3,0)</f>
        <v/>
      </c>
      <c r="N2523" s="36">
        <f>VLOOKUP($P2523,매칭테이블!$G:$J,4,0)*H2523</f>
        <v/>
      </c>
      <c r="O2523" s="52">
        <f>L2523/1.1</f>
        <v/>
      </c>
      <c r="P2523" s="36">
        <f>F2523&amp;E2523&amp;G2523&amp;J2523</f>
        <v/>
      </c>
    </row>
    <row r="2524">
      <c r="B2524" s="51" t="n">
        <v>44191</v>
      </c>
      <c r="C2524" s="36">
        <f>TEXT(B2524,"aaa")</f>
        <v/>
      </c>
      <c r="E2524" s="36">
        <f>INDEX(매칭테이블!C:C,MATCH(RD!G2524,매칭테이블!D:D,0))</f>
        <v/>
      </c>
      <c r="F2524" s="39" t="inlineStr">
        <is>
          <t>카페24</t>
        </is>
      </c>
      <c r="G2524" s="39" t="inlineStr">
        <is>
          <t>유즈 스테이포에버 솔리드퍼퓸 002 (10차 재입고 완료)제품선택=커플추천스테이포에버 + 이그나이트 세트</t>
        </is>
      </c>
      <c r="H2524" s="39" t="n">
        <v>19</v>
      </c>
      <c r="I2524" s="36">
        <f>VLOOKUP(G2524,매칭테이블!D:E,2,0)</f>
        <v/>
      </c>
      <c r="J2524" s="39" t="n">
        <v>201210</v>
      </c>
      <c r="L2524" s="36">
        <f>VLOOKUP($P2524,매칭테이블!$G:$J,2,0)*H2524</f>
        <v/>
      </c>
      <c r="M2524" s="36">
        <f>L2524-L2524*VLOOKUP($P2524,매칭테이블!$G:$J,3,0)</f>
        <v/>
      </c>
      <c r="N2524" s="36">
        <f>VLOOKUP($P2524,매칭테이블!$G:$J,4,0)*H2524</f>
        <v/>
      </c>
      <c r="O2524" s="52">
        <f>L2524/1.1</f>
        <v/>
      </c>
      <c r="P2524" s="36">
        <f>F2524&amp;E2524&amp;G2524&amp;J2524</f>
        <v/>
      </c>
    </row>
    <row r="2525">
      <c r="B2525" s="51" t="n">
        <v>44191</v>
      </c>
      <c r="C2525" s="36">
        <f>TEXT(B2525,"aaa")</f>
        <v/>
      </c>
      <c r="E2525" s="36">
        <f>INDEX(매칭테이블!C:C,MATCH(RD!G2525,매칭테이블!D:D,0))</f>
        <v/>
      </c>
      <c r="F2525" s="39" t="inlineStr">
        <is>
          <t>카페24</t>
        </is>
      </c>
      <c r="G2525" s="39" t="inlineStr">
        <is>
          <t>유즈 스테이포에버 솔리드퍼퓸 002 (10차 재입고 완료)쇼핑백=선물용 쇼핑백</t>
        </is>
      </c>
      <c r="H2525" s="39" t="n">
        <v>9</v>
      </c>
      <c r="I2525" s="36">
        <f>VLOOKUP(G2525,매칭테이블!D:E,2,0)</f>
        <v/>
      </c>
      <c r="J2525" s="39" t="n">
        <v>201210</v>
      </c>
      <c r="L2525" s="36">
        <f>VLOOKUP($P2525,매칭테이블!$G:$J,2,0)*H2525</f>
        <v/>
      </c>
      <c r="M2525" s="36">
        <f>L2525-L2525*VLOOKUP($P2525,매칭테이블!$G:$J,3,0)</f>
        <v/>
      </c>
      <c r="N2525" s="36">
        <f>VLOOKUP($P2525,매칭테이블!$G:$J,4,0)*H2525</f>
        <v/>
      </c>
      <c r="O2525" s="52">
        <f>L2525/1.1</f>
        <v/>
      </c>
      <c r="P2525" s="36">
        <f>F2525&amp;E2525&amp;G2525&amp;J2525</f>
        <v/>
      </c>
    </row>
    <row r="2526">
      <c r="B2526" s="51" t="n">
        <v>44191</v>
      </c>
      <c r="C2526" s="36">
        <f>TEXT(B2526,"aaa")</f>
        <v/>
      </c>
      <c r="E2526" s="36">
        <f>INDEX(매칭테이블!C:C,MATCH(RD!G2526,매칭테이블!D:D,0))</f>
        <v/>
      </c>
      <c r="F2526" s="39" t="inlineStr">
        <is>
          <t>카페24</t>
        </is>
      </c>
      <c r="G2526" s="39" t="inlineStr">
        <is>
          <t>유즈 이그나이트 솔리드퍼퓸 001제품선택=이그나이트 솔리드퍼퓸 - 30ml</t>
        </is>
      </c>
      <c r="H2526" s="39" t="n">
        <v>6</v>
      </c>
      <c r="I2526" s="36">
        <f>VLOOKUP(G2526,매칭테이블!D:E,2,0)</f>
        <v/>
      </c>
      <c r="J2526" s="39" t="n">
        <v>201210</v>
      </c>
      <c r="L2526" s="36">
        <f>VLOOKUP($P2526,매칭테이블!$G:$J,2,0)*H2526</f>
        <v/>
      </c>
      <c r="M2526" s="36">
        <f>L2526-L2526*VLOOKUP($P2526,매칭테이블!$G:$J,3,0)</f>
        <v/>
      </c>
      <c r="N2526" s="36">
        <f>VLOOKUP($P2526,매칭테이블!$G:$J,4,0)*H2526</f>
        <v/>
      </c>
      <c r="O2526" s="52">
        <f>L2526/1.1</f>
        <v/>
      </c>
      <c r="P2526" s="36">
        <f>F2526&amp;E2526&amp;G2526&amp;J2526</f>
        <v/>
      </c>
    </row>
    <row r="2527">
      <c r="B2527" s="51" t="n">
        <v>44192</v>
      </c>
      <c r="C2527" s="36">
        <f>TEXT(B2527,"aaa")</f>
        <v/>
      </c>
      <c r="E2527" s="36">
        <f>INDEX(매칭테이블!C:C,MATCH(RD!G2527,매칭테이블!D:D,0))</f>
        <v/>
      </c>
      <c r="F2527" s="39" t="inlineStr">
        <is>
          <t>카페24</t>
        </is>
      </c>
      <c r="G2527" s="39" t="inlineStr">
        <is>
          <t>SHOPPING BAG</t>
        </is>
      </c>
      <c r="H2527" s="39" t="n">
        <v>3</v>
      </c>
      <c r="I2527" s="36">
        <f>VLOOKUP(G2527,매칭테이블!D:E,2,0)</f>
        <v/>
      </c>
      <c r="J2527" s="39" t="n">
        <v>201210</v>
      </c>
      <c r="L2527" s="36">
        <f>VLOOKUP($P2527,매칭테이블!$G:$J,2,0)*H2527</f>
        <v/>
      </c>
      <c r="M2527" s="36">
        <f>L2527-L2527*VLOOKUP($P2527,매칭테이블!$G:$J,3,0)</f>
        <v/>
      </c>
      <c r="N2527" s="36">
        <f>VLOOKUP($P2527,매칭테이블!$G:$J,4,0)*H2527</f>
        <v/>
      </c>
      <c r="O2527" s="52">
        <f>L2527/1.1</f>
        <v/>
      </c>
      <c r="P2527" s="36">
        <f>F2527&amp;E2527&amp;G2527&amp;J2527</f>
        <v/>
      </c>
    </row>
    <row r="2528">
      <c r="B2528" s="51" t="n">
        <v>44192</v>
      </c>
      <c r="C2528" s="36">
        <f>TEXT(B2528,"aaa")</f>
        <v/>
      </c>
      <c r="E2528" s="36">
        <f>INDEX(매칭테이블!C:C,MATCH(RD!G2528,매칭테이블!D:D,0))</f>
        <v/>
      </c>
      <c r="F2528" s="39" t="inlineStr">
        <is>
          <t>카페24</t>
        </is>
      </c>
      <c r="G2528" s="39" t="inlineStr">
        <is>
          <t>유즈 솔리드퍼퓸 - 30ml (10차 재입고 완료향=이그나이트 001 SOLID PERFUME, 세트 선택=1개</t>
        </is>
      </c>
      <c r="H2528" s="39" t="n">
        <v>1</v>
      </c>
      <c r="I2528" s="36">
        <f>VLOOKUP(G2528,매칭테이블!D:E,2,0)</f>
        <v/>
      </c>
      <c r="J2528" s="39" t="n">
        <v>201210</v>
      </c>
      <c r="L2528" s="36">
        <f>VLOOKUP($P2528,매칭테이블!$G:$J,2,0)*H2528</f>
        <v/>
      </c>
      <c r="M2528" s="36">
        <f>L2528-L2528*VLOOKUP($P2528,매칭테이블!$G:$J,3,0)</f>
        <v/>
      </c>
      <c r="N2528" s="36">
        <f>VLOOKUP($P2528,매칭테이블!$G:$J,4,0)*H2528</f>
        <v/>
      </c>
      <c r="O2528" s="52">
        <f>L2528/1.1</f>
        <v/>
      </c>
      <c r="P2528" s="36">
        <f>F2528&amp;E2528&amp;G2528&amp;J2528</f>
        <v/>
      </c>
    </row>
    <row r="2529">
      <c r="B2529" s="51" t="n">
        <v>44192</v>
      </c>
      <c r="C2529" s="36">
        <f>TEXT(B2529,"aaa")</f>
        <v/>
      </c>
      <c r="E2529" s="36">
        <f>INDEX(매칭테이블!C:C,MATCH(RD!G2529,매칭테이블!D:D,0))</f>
        <v/>
      </c>
      <c r="F2529" s="39" t="inlineStr">
        <is>
          <t>카페24</t>
        </is>
      </c>
      <c r="G2529" s="39" t="inlineStr">
        <is>
          <t>유즈 솔리드퍼퓸 - 30ml (10차 재입고 완료향=이그나이트 001 SOLID PERFUME, 세트 선택=best</t>
        </is>
      </c>
      <c r="H2529" s="39" t="n">
        <v>1</v>
      </c>
      <c r="I2529" s="36">
        <f>VLOOKUP(G2529,매칭테이블!D:E,2,0)</f>
        <v/>
      </c>
      <c r="J2529" s="39" t="n">
        <v>201210</v>
      </c>
      <c r="L2529" s="36">
        <f>VLOOKUP($P2529,매칭테이블!$G:$J,2,0)*H2529</f>
        <v/>
      </c>
      <c r="M2529" s="36">
        <f>L2529-L2529*VLOOKUP($P2529,매칭테이블!$G:$J,3,0)</f>
        <v/>
      </c>
      <c r="N2529" s="36">
        <f>VLOOKUP($P2529,매칭테이블!$G:$J,4,0)*H2529</f>
        <v/>
      </c>
      <c r="O2529" s="52">
        <f>L2529/1.1</f>
        <v/>
      </c>
      <c r="P2529" s="36">
        <f>F2529&amp;E2529&amp;G2529&amp;J2529</f>
        <v/>
      </c>
    </row>
    <row r="2530">
      <c r="B2530" s="51" t="n">
        <v>44192</v>
      </c>
      <c r="C2530" s="36">
        <f>TEXT(B2530,"aaa")</f>
        <v/>
      </c>
      <c r="E2530" s="36">
        <f>INDEX(매칭테이블!C:C,MATCH(RD!G2530,매칭테이블!D:D,0))</f>
        <v/>
      </c>
      <c r="F2530" s="39" t="inlineStr">
        <is>
          <t>카페24</t>
        </is>
      </c>
      <c r="G2530" s="39" t="inlineStr">
        <is>
          <t>유즈 솔리드퍼퓸 - 30ml (10차 재입고 완료향=스테이포에버 002 SOLID PERFUME, 세트 선택=1개</t>
        </is>
      </c>
      <c r="H2530" s="39" t="n">
        <v>6</v>
      </c>
      <c r="I2530" s="36">
        <f>VLOOKUP(G2530,매칭테이블!D:E,2,0)</f>
        <v/>
      </c>
      <c r="J2530" s="39" t="n">
        <v>201210</v>
      </c>
      <c r="L2530" s="36">
        <f>VLOOKUP($P2530,매칭테이블!$G:$J,2,0)*H2530</f>
        <v/>
      </c>
      <c r="M2530" s="36">
        <f>L2530-L2530*VLOOKUP($P2530,매칭테이블!$G:$J,3,0)</f>
        <v/>
      </c>
      <c r="N2530" s="36">
        <f>VLOOKUP($P2530,매칭테이블!$G:$J,4,0)*H2530</f>
        <v/>
      </c>
      <c r="O2530" s="52">
        <f>L2530/1.1</f>
        <v/>
      </c>
      <c r="P2530" s="36">
        <f>F2530&amp;E2530&amp;G2530&amp;J2530</f>
        <v/>
      </c>
    </row>
    <row r="2531">
      <c r="B2531" s="51" t="n">
        <v>44192</v>
      </c>
      <c r="C2531" s="36">
        <f>TEXT(B2531,"aaa")</f>
        <v/>
      </c>
      <c r="E2531" s="36">
        <f>INDEX(매칭테이블!C:C,MATCH(RD!G2531,매칭테이블!D:D,0))</f>
        <v/>
      </c>
      <c r="F2531" s="39" t="inlineStr">
        <is>
          <t>카페24</t>
        </is>
      </c>
      <c r="G2531" s="39" t="inlineStr">
        <is>
          <t>유즈 솔리드퍼퓸 - 30ml (10차 재입고 완료향=스테이포에버 002 SOLID PERFUME, 세트 선택=best</t>
        </is>
      </c>
      <c r="H2531" s="39" t="n">
        <v>2</v>
      </c>
      <c r="I2531" s="36">
        <f>VLOOKUP(G2531,매칭테이블!D:E,2,0)</f>
        <v/>
      </c>
      <c r="J2531" s="39" t="n">
        <v>201210</v>
      </c>
      <c r="L2531" s="36">
        <f>VLOOKUP($P2531,매칭테이블!$G:$J,2,0)*H2531</f>
        <v/>
      </c>
      <c r="M2531" s="36">
        <f>L2531-L2531*VLOOKUP($P2531,매칭테이블!$G:$J,3,0)</f>
        <v/>
      </c>
      <c r="N2531" s="36">
        <f>VLOOKUP($P2531,매칭테이블!$G:$J,4,0)*H2531</f>
        <v/>
      </c>
      <c r="O2531" s="52">
        <f>L2531/1.1</f>
        <v/>
      </c>
      <c r="P2531" s="36">
        <f>F2531&amp;E2531&amp;G2531&amp;J2531</f>
        <v/>
      </c>
    </row>
    <row r="2532">
      <c r="B2532" s="51" t="n">
        <v>44192</v>
      </c>
      <c r="C2532" s="36">
        <f>TEXT(B2532,"aaa")</f>
        <v/>
      </c>
      <c r="E2532" s="36">
        <f>INDEX(매칭테이블!C:C,MATCH(RD!G2532,매칭테이블!D:D,0))</f>
        <v/>
      </c>
      <c r="F2532" s="39" t="inlineStr">
        <is>
          <t>카페24</t>
        </is>
      </c>
      <c r="G2532" s="39" t="inlineStr">
        <is>
          <t>유즈 솔리드퍼퓸 - 30ml (10차 재입고 완료향=커플세트</t>
        </is>
      </c>
      <c r="H2532" s="39" t="n">
        <v>3</v>
      </c>
      <c r="I2532" s="36">
        <f>VLOOKUP(G2532,매칭테이블!D:E,2,0)</f>
        <v/>
      </c>
      <c r="J2532" s="39" t="n">
        <v>201210</v>
      </c>
      <c r="L2532" s="36">
        <f>VLOOKUP($P2532,매칭테이블!$G:$J,2,0)*H2532</f>
        <v/>
      </c>
      <c r="M2532" s="36">
        <f>L2532-L2532*VLOOKUP($P2532,매칭테이블!$G:$J,3,0)</f>
        <v/>
      </c>
      <c r="N2532" s="36">
        <f>VLOOKUP($P2532,매칭테이블!$G:$J,4,0)*H2532</f>
        <v/>
      </c>
      <c r="O2532" s="52">
        <f>L2532/1.1</f>
        <v/>
      </c>
      <c r="P2532" s="36">
        <f>F2532&amp;E2532&amp;G2532&amp;J2532</f>
        <v/>
      </c>
    </row>
    <row r="2533">
      <c r="B2533" s="51" t="n">
        <v>44192</v>
      </c>
      <c r="C2533" s="36">
        <f>TEXT(B2533,"aaa")</f>
        <v/>
      </c>
      <c r="E2533" s="36">
        <f>INDEX(매칭테이블!C:C,MATCH(RD!G2533,매칭테이블!D:D,0))</f>
        <v/>
      </c>
      <c r="F2533" s="39" t="inlineStr">
        <is>
          <t>카페24</t>
        </is>
      </c>
      <c r="G2533" s="39" t="inlineStr">
        <is>
          <t>유즈 솔리드퍼퓸 - 30ml (10차 재입고 완료향=커플세트</t>
        </is>
      </c>
      <c r="H2533" s="39" t="n">
        <v>2</v>
      </c>
      <c r="I2533" s="36">
        <f>VLOOKUP(G2533,매칭테이블!D:E,2,0)</f>
        <v/>
      </c>
      <c r="J2533" s="39" t="n">
        <v>201210</v>
      </c>
      <c r="L2533" s="36">
        <f>VLOOKUP($P2533,매칭테이블!$G:$J,2,0)*H2533</f>
        <v/>
      </c>
      <c r="M2533" s="36">
        <f>L2533-L2533*VLOOKUP($P2533,매칭테이블!$G:$J,3,0)</f>
        <v/>
      </c>
      <c r="N2533" s="36">
        <f>VLOOKUP($P2533,매칭테이블!$G:$J,4,0)*H2533</f>
        <v/>
      </c>
      <c r="O2533" s="52">
        <f>L2533/1.1</f>
        <v/>
      </c>
      <c r="P2533" s="36">
        <f>F2533&amp;E2533&amp;G2533&amp;J2533</f>
        <v/>
      </c>
    </row>
    <row r="2534">
      <c r="B2534" s="51" t="n">
        <v>44192</v>
      </c>
      <c r="C2534" s="36">
        <f>TEXT(B2534,"aaa")</f>
        <v/>
      </c>
      <c r="E2534" s="36">
        <f>INDEX(매칭테이블!C:C,MATCH(RD!G2534,매칭테이블!D:D,0))</f>
        <v/>
      </c>
      <c r="F2534" s="39" t="inlineStr">
        <is>
          <t>카페24</t>
        </is>
      </c>
      <c r="G2534" s="39" t="inlineStr">
        <is>
          <t>유즈 솔리드퍼퓸 - 30ml (10차 재입고 완료 )향=이그나이트 001 SOLID PERFUME, 세트 선택=1개</t>
        </is>
      </c>
      <c r="H2534" s="39" t="n">
        <v>1</v>
      </c>
      <c r="I2534" s="36">
        <f>VLOOKUP(G2534,매칭테이블!D:E,2,0)</f>
        <v/>
      </c>
      <c r="J2534" s="39" t="n">
        <v>201210</v>
      </c>
      <c r="L2534" s="36">
        <f>VLOOKUP($P2534,매칭테이블!$G:$J,2,0)*H2534</f>
        <v/>
      </c>
      <c r="M2534" s="36">
        <f>L2534-L2534*VLOOKUP($P2534,매칭테이블!$G:$J,3,0)</f>
        <v/>
      </c>
      <c r="N2534" s="36">
        <f>VLOOKUP($P2534,매칭테이블!$G:$J,4,0)*H2534</f>
        <v/>
      </c>
      <c r="O2534" s="52">
        <f>L2534/1.1</f>
        <v/>
      </c>
      <c r="P2534" s="36">
        <f>F2534&amp;E2534&amp;G2534&amp;J2534</f>
        <v/>
      </c>
    </row>
    <row r="2535">
      <c r="B2535" s="51" t="n">
        <v>44192</v>
      </c>
      <c r="C2535" s="36">
        <f>TEXT(B2535,"aaa")</f>
        <v/>
      </c>
      <c r="E2535" s="36">
        <f>INDEX(매칭테이블!C:C,MATCH(RD!G2535,매칭테이블!D:D,0))</f>
        <v/>
      </c>
      <c r="F2535" s="39" t="inlineStr">
        <is>
          <t>카페24</t>
        </is>
      </c>
      <c r="G2535" s="39" t="inlineStr">
        <is>
          <t>유즈 솔리드퍼퓸 - 30ml (10차 재입고 완료 )향=스테이포에버 002 SOLID PERFUME, 세트 선택=1개</t>
        </is>
      </c>
      <c r="H2535" s="39" t="n">
        <v>8</v>
      </c>
      <c r="I2535" s="36">
        <f>VLOOKUP(G2535,매칭테이블!D:E,2,0)</f>
        <v/>
      </c>
      <c r="J2535" s="39" t="n">
        <v>201210</v>
      </c>
      <c r="L2535" s="36">
        <f>VLOOKUP($P2535,매칭테이블!$G:$J,2,0)*H2535</f>
        <v/>
      </c>
      <c r="M2535" s="36">
        <f>L2535-L2535*VLOOKUP($P2535,매칭테이블!$G:$J,3,0)</f>
        <v/>
      </c>
      <c r="N2535" s="36">
        <f>VLOOKUP($P2535,매칭테이블!$G:$J,4,0)*H2535</f>
        <v/>
      </c>
      <c r="O2535" s="52">
        <f>L2535/1.1</f>
        <v/>
      </c>
      <c r="P2535" s="36">
        <f>F2535&amp;E2535&amp;G2535&amp;J2535</f>
        <v/>
      </c>
    </row>
    <row r="2536">
      <c r="B2536" s="51" t="n">
        <v>44192</v>
      </c>
      <c r="C2536" s="36">
        <f>TEXT(B2536,"aaa")</f>
        <v/>
      </c>
      <c r="E2536" s="36">
        <f>INDEX(매칭테이블!C:C,MATCH(RD!G2536,매칭테이블!D:D,0))</f>
        <v/>
      </c>
      <c r="F2536" s="39" t="inlineStr">
        <is>
          <t>카페24</t>
        </is>
      </c>
      <c r="G2536" s="39" t="inlineStr">
        <is>
          <t>유즈 솔리드퍼퓸 - 30ml (10차 재입고 완료 )향=스테이포에버 002 SOLID PERFUME, 세트 선택=best 2개 (28% 할인)</t>
        </is>
      </c>
      <c r="H2536" s="39" t="n">
        <v>1</v>
      </c>
      <c r="I2536" s="36">
        <f>VLOOKUP(G2536,매칭테이블!D:E,2,0)</f>
        <v/>
      </c>
      <c r="J2536" s="39" t="n">
        <v>201210</v>
      </c>
      <c r="L2536" s="36">
        <f>VLOOKUP($P2536,매칭테이블!$G:$J,2,0)*H2536</f>
        <v/>
      </c>
      <c r="M2536" s="36">
        <f>L2536-L2536*VLOOKUP($P2536,매칭테이블!$G:$J,3,0)</f>
        <v/>
      </c>
      <c r="N2536" s="36">
        <f>VLOOKUP($P2536,매칭테이블!$G:$J,4,0)*H2536</f>
        <v/>
      </c>
      <c r="O2536" s="52">
        <f>L2536/1.1</f>
        <v/>
      </c>
      <c r="P2536" s="36">
        <f>F2536&amp;E2536&amp;G2536&amp;J2536</f>
        <v/>
      </c>
    </row>
    <row r="2537">
      <c r="B2537" s="51" t="n">
        <v>44192</v>
      </c>
      <c r="C2537" s="36">
        <f>TEXT(B2537,"aaa")</f>
        <v/>
      </c>
      <c r="E2537" s="36">
        <f>INDEX(매칭테이블!C:C,MATCH(RD!G2537,매칭테이블!D:D,0))</f>
        <v/>
      </c>
      <c r="F2537" s="39" t="inlineStr">
        <is>
          <t>카페24</t>
        </is>
      </c>
      <c r="G2537" s="39" t="inlineStr">
        <is>
          <t>유즈 솔리드퍼퓸 - 30ml (10차 재입고 완료 )향=커플세트(이그나이트 + 스테이포에버), 세트 선택=1 SET</t>
        </is>
      </c>
      <c r="H2537" s="39" t="n">
        <v>7</v>
      </c>
      <c r="I2537" s="36">
        <f>VLOOKUP(G2537,매칭테이블!D:E,2,0)</f>
        <v/>
      </c>
      <c r="J2537" s="39" t="n">
        <v>201210</v>
      </c>
      <c r="L2537" s="36">
        <f>VLOOKUP($P2537,매칭테이블!$G:$J,2,0)*H2537</f>
        <v/>
      </c>
      <c r="M2537" s="36">
        <f>L2537-L2537*VLOOKUP($P2537,매칭테이블!$G:$J,3,0)</f>
        <v/>
      </c>
      <c r="N2537" s="36">
        <f>VLOOKUP($P2537,매칭테이블!$G:$J,4,0)*H2537</f>
        <v/>
      </c>
      <c r="O2537" s="52">
        <f>L2537/1.1</f>
        <v/>
      </c>
      <c r="P2537" s="36">
        <f>F2537&amp;E2537&amp;G2537&amp;J2537</f>
        <v/>
      </c>
    </row>
    <row r="2538">
      <c r="B2538" s="51" t="n">
        <v>44192</v>
      </c>
      <c r="C2538" s="36">
        <f>TEXT(B2538,"aaa")</f>
        <v/>
      </c>
      <c r="E2538" s="36">
        <f>INDEX(매칭테이블!C:C,MATCH(RD!G2538,매칭테이블!D:D,0))</f>
        <v/>
      </c>
      <c r="F2538" s="39" t="inlineStr">
        <is>
          <t>카페24</t>
        </is>
      </c>
      <c r="G2538" s="39" t="inlineStr">
        <is>
          <t>유즈 스테이포에버 솔리드퍼퓸 002 (10차 재입고 완료제품선택=스테이포에버 1개</t>
        </is>
      </c>
      <c r="H2538" s="39" t="n">
        <v>143</v>
      </c>
      <c r="I2538" s="36">
        <f>VLOOKUP(G2538,매칭테이블!D:E,2,0)</f>
        <v/>
      </c>
      <c r="J2538" s="39" t="n">
        <v>201210</v>
      </c>
      <c r="L2538" s="36">
        <f>VLOOKUP($P2538,매칭테이블!$G:$J,2,0)*H2538</f>
        <v/>
      </c>
      <c r="M2538" s="36">
        <f>L2538-L2538*VLOOKUP($P2538,매칭테이블!$G:$J,3,0)</f>
        <v/>
      </c>
      <c r="N2538" s="36">
        <f>VLOOKUP($P2538,매칭테이블!$G:$J,4,0)*H2538</f>
        <v/>
      </c>
      <c r="O2538" s="52">
        <f>L2538/1.1</f>
        <v/>
      </c>
      <c r="P2538" s="36">
        <f>F2538&amp;E2538&amp;G2538&amp;J2538</f>
        <v/>
      </c>
    </row>
    <row r="2539">
      <c r="B2539" s="51" t="n">
        <v>44192</v>
      </c>
      <c r="C2539" s="36">
        <f>TEXT(B2539,"aaa")</f>
        <v/>
      </c>
      <c r="E2539" s="36">
        <f>INDEX(매칭테이블!C:C,MATCH(RD!G2539,매칭테이블!D:D,0))</f>
        <v/>
      </c>
      <c r="F2539" s="39" t="inlineStr">
        <is>
          <t>카페24</t>
        </is>
      </c>
      <c r="G2539" s="39" t="inlineStr">
        <is>
          <t>유즈 스테이포에버 솔리드퍼퓸 002 (10차 재입고 완료제품선택=best</t>
        </is>
      </c>
      <c r="H2539" s="39" t="n">
        <v>114</v>
      </c>
      <c r="I2539" s="36">
        <f>VLOOKUP(G2539,매칭테이블!D:E,2,0)</f>
        <v/>
      </c>
      <c r="J2539" s="39" t="n">
        <v>201210</v>
      </c>
      <c r="L2539" s="36">
        <f>VLOOKUP($P2539,매칭테이블!$G:$J,2,0)*H2539</f>
        <v/>
      </c>
      <c r="M2539" s="36">
        <f>L2539-L2539*VLOOKUP($P2539,매칭테이블!$G:$J,3,0)</f>
        <v/>
      </c>
      <c r="N2539" s="36">
        <f>VLOOKUP($P2539,매칭테이블!$G:$J,4,0)*H2539</f>
        <v/>
      </c>
      <c r="O2539" s="52">
        <f>L2539/1.1</f>
        <v/>
      </c>
      <c r="P2539" s="36">
        <f>F2539&amp;E2539&amp;G2539&amp;J2539</f>
        <v/>
      </c>
    </row>
    <row r="2540">
      <c r="B2540" s="51" t="n">
        <v>44192</v>
      </c>
      <c r="C2540" s="36">
        <f>TEXT(B2540,"aaa")</f>
        <v/>
      </c>
      <c r="E2540" s="36">
        <f>INDEX(매칭테이블!C:C,MATCH(RD!G2540,매칭테이블!D:D,0))</f>
        <v/>
      </c>
      <c r="F2540" s="39" t="inlineStr">
        <is>
          <t>카페24</t>
        </is>
      </c>
      <c r="G2540" s="39" t="inlineStr">
        <is>
          <t>유즈 스테이포에버 솔리드퍼퓸 002 (10차 재입고 완료제품선택=커플추천</t>
        </is>
      </c>
      <c r="H2540" s="39" t="n">
        <v>10</v>
      </c>
      <c r="I2540" s="36">
        <f>VLOOKUP(G2540,매칭테이블!D:E,2,0)</f>
        <v/>
      </c>
      <c r="J2540" s="39" t="n">
        <v>201210</v>
      </c>
      <c r="L2540" s="36">
        <f>VLOOKUP($P2540,매칭테이블!$G:$J,2,0)*H2540</f>
        <v/>
      </c>
      <c r="M2540" s="36">
        <f>L2540-L2540*VLOOKUP($P2540,매칭테이블!$G:$J,3,0)</f>
        <v/>
      </c>
      <c r="N2540" s="36">
        <f>VLOOKUP($P2540,매칭테이블!$G:$J,4,0)*H2540</f>
        <v/>
      </c>
      <c r="O2540" s="52">
        <f>L2540/1.1</f>
        <v/>
      </c>
      <c r="P2540" s="36">
        <f>F2540&amp;E2540&amp;G2540&amp;J2540</f>
        <v/>
      </c>
    </row>
    <row r="2541">
      <c r="B2541" s="51" t="n">
        <v>44192</v>
      </c>
      <c r="C2541" s="36">
        <f>TEXT(B2541,"aaa")</f>
        <v/>
      </c>
      <c r="E2541" s="36">
        <f>INDEX(매칭테이블!C:C,MATCH(RD!G2541,매칭테이블!D:D,0))</f>
        <v/>
      </c>
      <c r="F2541" s="39" t="inlineStr">
        <is>
          <t>카페24</t>
        </is>
      </c>
      <c r="G2541" s="39" t="inlineStr">
        <is>
          <t>유즈 스테이포에버 솔리드퍼퓸 002 (10차 재입고 완료쇼핑백=선물용 쇼핑백</t>
        </is>
      </c>
      <c r="H2541" s="39" t="n">
        <v>3</v>
      </c>
      <c r="I2541" s="36">
        <f>VLOOKUP(G2541,매칭테이블!D:E,2,0)</f>
        <v/>
      </c>
      <c r="J2541" s="39" t="n">
        <v>201210</v>
      </c>
      <c r="L2541" s="36">
        <f>VLOOKUP($P2541,매칭테이블!$G:$J,2,0)*H2541</f>
        <v/>
      </c>
      <c r="M2541" s="36">
        <f>L2541-L2541*VLOOKUP($P2541,매칭테이블!$G:$J,3,0)</f>
        <v/>
      </c>
      <c r="N2541" s="36">
        <f>VLOOKUP($P2541,매칭테이블!$G:$J,4,0)*H2541</f>
        <v/>
      </c>
      <c r="O2541" s="52">
        <f>L2541/1.1</f>
        <v/>
      </c>
      <c r="P2541" s="36">
        <f>F2541&amp;E2541&amp;G2541&amp;J2541</f>
        <v/>
      </c>
    </row>
    <row r="2542">
      <c r="B2542" s="51" t="n">
        <v>44192</v>
      </c>
      <c r="C2542" s="36">
        <f>TEXT(B2542,"aaa")</f>
        <v/>
      </c>
      <c r="E2542" s="36">
        <f>INDEX(매칭테이블!C:C,MATCH(RD!G2542,매칭테이블!D:D,0))</f>
        <v/>
      </c>
      <c r="F2542" s="39" t="inlineStr">
        <is>
          <t>카페24</t>
        </is>
      </c>
      <c r="G2542" s="39" t="inlineStr">
        <is>
          <t>유즈 스테이포에버 솔리드퍼퓸 002 (10차 재입고 완료)제품선택=스테이포에버 1개</t>
        </is>
      </c>
      <c r="H2542" s="39" t="n">
        <v>226</v>
      </c>
      <c r="I2542" s="36">
        <f>VLOOKUP(G2542,매칭테이블!D:E,2,0)</f>
        <v/>
      </c>
      <c r="J2542" s="39" t="n">
        <v>201210</v>
      </c>
      <c r="L2542" s="36">
        <f>VLOOKUP($P2542,매칭테이블!$G:$J,2,0)*H2542</f>
        <v/>
      </c>
      <c r="M2542" s="36">
        <f>L2542-L2542*VLOOKUP($P2542,매칭테이블!$G:$J,3,0)</f>
        <v/>
      </c>
      <c r="N2542" s="36">
        <f>VLOOKUP($P2542,매칭테이블!$G:$J,4,0)*H2542</f>
        <v/>
      </c>
      <c r="O2542" s="52">
        <f>L2542/1.1</f>
        <v/>
      </c>
      <c r="P2542" s="36">
        <f>F2542&amp;E2542&amp;G2542&amp;J2542</f>
        <v/>
      </c>
    </row>
    <row r="2543">
      <c r="B2543" s="51" t="n">
        <v>44192</v>
      </c>
      <c r="C2543" s="36">
        <f>TEXT(B2543,"aaa")</f>
        <v/>
      </c>
      <c r="E2543" s="36">
        <f>INDEX(매칭테이블!C:C,MATCH(RD!G2543,매칭테이블!D:D,0))</f>
        <v/>
      </c>
      <c r="F2543" s="39" t="inlineStr">
        <is>
          <t>카페24</t>
        </is>
      </c>
      <c r="G2543" s="39" t="inlineStr">
        <is>
          <t>유즈 스테이포에버 솔리드퍼퓸 002 (10차 재입고 완료)제품선택=best스테이포에버 2개[28% 할인]</t>
        </is>
      </c>
      <c r="H2543" s="39" t="n">
        <v>117</v>
      </c>
      <c r="I2543" s="36">
        <f>VLOOKUP(G2543,매칭테이블!D:E,2,0)</f>
        <v/>
      </c>
      <c r="J2543" s="39" t="n">
        <v>201210</v>
      </c>
      <c r="L2543" s="36">
        <f>VLOOKUP($P2543,매칭테이블!$G:$J,2,0)*H2543</f>
        <v/>
      </c>
      <c r="M2543" s="36">
        <f>L2543-L2543*VLOOKUP($P2543,매칭테이블!$G:$J,3,0)</f>
        <v/>
      </c>
      <c r="N2543" s="36">
        <f>VLOOKUP($P2543,매칭테이블!$G:$J,4,0)*H2543</f>
        <v/>
      </c>
      <c r="O2543" s="52">
        <f>L2543/1.1</f>
        <v/>
      </c>
      <c r="P2543" s="36">
        <f>F2543&amp;E2543&amp;G2543&amp;J2543</f>
        <v/>
      </c>
    </row>
    <row r="2544">
      <c r="B2544" s="51" t="n">
        <v>44192</v>
      </c>
      <c r="C2544" s="36">
        <f>TEXT(B2544,"aaa")</f>
        <v/>
      </c>
      <c r="E2544" s="36">
        <f>INDEX(매칭테이블!C:C,MATCH(RD!G2544,매칭테이블!D:D,0))</f>
        <v/>
      </c>
      <c r="F2544" s="39" t="inlineStr">
        <is>
          <t>카페24</t>
        </is>
      </c>
      <c r="G2544" s="39" t="inlineStr">
        <is>
          <t>유즈 스테이포에버 솔리드퍼퓸 002 (10차 재입고 완료)제품선택=커플추천스테이포에버 + 이그나이트 세트</t>
        </is>
      </c>
      <c r="H2544" s="39" t="n">
        <v>21</v>
      </c>
      <c r="I2544" s="36">
        <f>VLOOKUP(G2544,매칭테이블!D:E,2,0)</f>
        <v/>
      </c>
      <c r="J2544" s="39" t="n">
        <v>201210</v>
      </c>
      <c r="L2544" s="36">
        <f>VLOOKUP($P2544,매칭테이블!$G:$J,2,0)*H2544</f>
        <v/>
      </c>
      <c r="M2544" s="36">
        <f>L2544-L2544*VLOOKUP($P2544,매칭테이블!$G:$J,3,0)</f>
        <v/>
      </c>
      <c r="N2544" s="36">
        <f>VLOOKUP($P2544,매칭테이블!$G:$J,4,0)*H2544</f>
        <v/>
      </c>
      <c r="O2544" s="52">
        <f>L2544/1.1</f>
        <v/>
      </c>
      <c r="P2544" s="36">
        <f>F2544&amp;E2544&amp;G2544&amp;J2544</f>
        <v/>
      </c>
    </row>
    <row r="2545">
      <c r="B2545" s="51" t="n">
        <v>44192</v>
      </c>
      <c r="C2545" s="36">
        <f>TEXT(B2545,"aaa")</f>
        <v/>
      </c>
      <c r="E2545" s="36">
        <f>INDEX(매칭테이블!C:C,MATCH(RD!G2545,매칭테이블!D:D,0))</f>
        <v/>
      </c>
      <c r="F2545" s="39" t="inlineStr">
        <is>
          <t>카페24</t>
        </is>
      </c>
      <c r="G2545" s="39" t="inlineStr">
        <is>
          <t>유즈 스테이포에버 솔리드퍼퓸 002 (10차 재입고 완료)쇼핑백=선물용 쇼핑백</t>
        </is>
      </c>
      <c r="H2545" s="39" t="n">
        <v>15</v>
      </c>
      <c r="I2545" s="36">
        <f>VLOOKUP(G2545,매칭테이블!D:E,2,0)</f>
        <v/>
      </c>
      <c r="J2545" s="39" t="n">
        <v>201210</v>
      </c>
      <c r="L2545" s="36">
        <f>VLOOKUP($P2545,매칭테이블!$G:$J,2,0)*H2545</f>
        <v/>
      </c>
      <c r="M2545" s="36">
        <f>L2545-L2545*VLOOKUP($P2545,매칭테이블!$G:$J,3,0)</f>
        <v/>
      </c>
      <c r="N2545" s="36">
        <f>VLOOKUP($P2545,매칭테이블!$G:$J,4,0)*H2545</f>
        <v/>
      </c>
      <c r="O2545" s="52">
        <f>L2545/1.1</f>
        <v/>
      </c>
      <c r="P2545" s="36">
        <f>F2545&amp;E2545&amp;G2545&amp;J2545</f>
        <v/>
      </c>
    </row>
    <row r="2546">
      <c r="B2546" s="51" t="n">
        <v>44192</v>
      </c>
      <c r="C2546" s="36">
        <f>TEXT(B2546,"aaa")</f>
        <v/>
      </c>
      <c r="E2546" s="36">
        <f>INDEX(매칭테이블!C:C,MATCH(RD!G2546,매칭테이블!D:D,0))</f>
        <v/>
      </c>
      <c r="F2546" s="39" t="inlineStr">
        <is>
          <t>카페24</t>
        </is>
      </c>
      <c r="G2546" s="39" t="inlineStr">
        <is>
          <t>유즈 이그나이트 솔리드퍼퓸 001제품선택=이그나이트 솔리드퍼퓸 - 30ml</t>
        </is>
      </c>
      <c r="H2546" s="39" t="n">
        <v>3</v>
      </c>
      <c r="I2546" s="36">
        <f>VLOOKUP(G2546,매칭테이블!D:E,2,0)</f>
        <v/>
      </c>
      <c r="J2546" s="39" t="n">
        <v>201210</v>
      </c>
      <c r="L2546" s="36">
        <f>VLOOKUP($P2546,매칭테이블!$G:$J,2,0)*H2546</f>
        <v/>
      </c>
      <c r="M2546" s="36">
        <f>L2546-L2546*VLOOKUP($P2546,매칭테이블!$G:$J,3,0)</f>
        <v/>
      </c>
      <c r="N2546" s="36">
        <f>VLOOKUP($P2546,매칭테이블!$G:$J,4,0)*H2546</f>
        <v/>
      </c>
      <c r="O2546" s="52">
        <f>L2546/1.1</f>
        <v/>
      </c>
      <c r="P2546" s="36">
        <f>F2546&amp;E2546&amp;G2546&amp;J2546</f>
        <v/>
      </c>
    </row>
    <row r="2547">
      <c r="B2547" s="51" t="n">
        <v>44192</v>
      </c>
      <c r="C2547" s="36">
        <f>TEXT(B2547,"aaa")</f>
        <v/>
      </c>
      <c r="E2547" s="36">
        <f>INDEX(매칭테이블!C:C,MATCH(RD!G2547,매칭테이블!D:D,0))</f>
        <v/>
      </c>
      <c r="F2547" s="39" t="inlineStr">
        <is>
          <t>카페24</t>
        </is>
      </c>
      <c r="G2547" s="39" t="inlineStr">
        <is>
          <t>유즈 이그나이트 솔리드퍼퓸 001제품선택=이그나이트 2개 세트</t>
        </is>
      </c>
      <c r="H2547" s="39" t="n">
        <v>1</v>
      </c>
      <c r="I2547" s="36">
        <f>VLOOKUP(G2547,매칭테이블!D:E,2,0)</f>
        <v/>
      </c>
      <c r="J2547" s="39" t="n">
        <v>201210</v>
      </c>
      <c r="L2547" s="36">
        <f>VLOOKUP($P2547,매칭테이블!$G:$J,2,0)*H2547</f>
        <v/>
      </c>
      <c r="M2547" s="36">
        <f>L2547-L2547*VLOOKUP($P2547,매칭테이블!$G:$J,3,0)</f>
        <v/>
      </c>
      <c r="N2547" s="36">
        <f>VLOOKUP($P2547,매칭테이블!$G:$J,4,0)*H2547</f>
        <v/>
      </c>
      <c r="O2547" s="52">
        <f>L2547/1.1</f>
        <v/>
      </c>
      <c r="P2547" s="36">
        <f>F2547&amp;E2547&amp;G2547&amp;J2547</f>
        <v/>
      </c>
    </row>
    <row r="2548">
      <c r="B2548" s="51" t="n">
        <v>44193</v>
      </c>
      <c r="C2548" s="36">
        <f>TEXT(B2548,"aaa")</f>
        <v/>
      </c>
      <c r="E2548" s="36">
        <f>INDEX(매칭테이블!C:C,MATCH(RD!G2548,매칭테이블!D:D,0))</f>
        <v/>
      </c>
      <c r="F2548" s="39" t="inlineStr">
        <is>
          <t>카페24</t>
        </is>
      </c>
      <c r="G2548" s="39" t="inlineStr">
        <is>
          <t>유즈 솔리드퍼퓸 - 30ml (10차 재입고 완료향=스테이포에버 002 SOLID PERFUME, 세트 선택=1개</t>
        </is>
      </c>
      <c r="H2548" s="39" t="n">
        <v>2</v>
      </c>
      <c r="I2548" s="36">
        <f>VLOOKUP(G2548,매칭테이블!D:E,2,0)</f>
        <v/>
      </c>
      <c r="J2548" s="39" t="n">
        <v>201210</v>
      </c>
      <c r="L2548" s="36">
        <f>VLOOKUP($P2548,매칭테이블!$G:$J,2,0)*H2548</f>
        <v/>
      </c>
      <c r="M2548" s="36">
        <f>L2548-L2548*VLOOKUP($P2548,매칭테이블!$G:$J,3,0)</f>
        <v/>
      </c>
      <c r="N2548" s="36">
        <f>VLOOKUP($P2548,매칭테이블!$G:$J,4,0)*H2548</f>
        <v/>
      </c>
      <c r="O2548" s="52">
        <f>L2548/1.1</f>
        <v/>
      </c>
      <c r="P2548" s="36">
        <f>F2548&amp;E2548&amp;G2548&amp;J2548</f>
        <v/>
      </c>
    </row>
    <row r="2549">
      <c r="B2549" s="51" t="n">
        <v>44193</v>
      </c>
      <c r="C2549" s="36">
        <f>TEXT(B2549,"aaa")</f>
        <v/>
      </c>
      <c r="E2549" s="36">
        <f>INDEX(매칭테이블!C:C,MATCH(RD!G2549,매칭테이블!D:D,0))</f>
        <v/>
      </c>
      <c r="F2549" s="39" t="inlineStr">
        <is>
          <t>카페24</t>
        </is>
      </c>
      <c r="G2549" s="39" t="inlineStr">
        <is>
          <t>유즈 솔리드퍼퓸 - 30ml (10차 재입고 완료 )향=스테이포에버 002 SOLID PERFUME, 세트 선택=1개</t>
        </is>
      </c>
      <c r="H2549" s="39" t="n">
        <v>1</v>
      </c>
      <c r="I2549" s="36">
        <f>VLOOKUP(G2549,매칭테이블!D:E,2,0)</f>
        <v/>
      </c>
      <c r="J2549" s="39" t="n">
        <v>201210</v>
      </c>
      <c r="L2549" s="36">
        <f>VLOOKUP($P2549,매칭테이블!$G:$J,2,0)*H2549</f>
        <v/>
      </c>
      <c r="M2549" s="36">
        <f>L2549-L2549*VLOOKUP($P2549,매칭테이블!$G:$J,3,0)</f>
        <v/>
      </c>
      <c r="N2549" s="36">
        <f>VLOOKUP($P2549,매칭테이블!$G:$J,4,0)*H2549</f>
        <v/>
      </c>
      <c r="O2549" s="52">
        <f>L2549/1.1</f>
        <v/>
      </c>
      <c r="P2549" s="36">
        <f>F2549&amp;E2549&amp;G2549&amp;J2549</f>
        <v/>
      </c>
    </row>
    <row r="2550">
      <c r="B2550" s="51" t="n">
        <v>44193</v>
      </c>
      <c r="C2550" s="36">
        <f>TEXT(B2550,"aaa")</f>
        <v/>
      </c>
      <c r="E2550" s="36">
        <f>INDEX(매칭테이블!C:C,MATCH(RD!G2550,매칭테이블!D:D,0))</f>
        <v/>
      </c>
      <c r="F2550" s="39" t="inlineStr">
        <is>
          <t>카페24</t>
        </is>
      </c>
      <c r="G2550" s="39" t="inlineStr">
        <is>
          <t>유즈 솔리드퍼퓸 - 30ml (10차 재입고 완료 )향=스테이포에버 002 SOLID PERFUME, 세트 선택=best 2개 (28% 할인)</t>
        </is>
      </c>
      <c r="H2550" s="39" t="n">
        <v>1</v>
      </c>
      <c r="I2550" s="36">
        <f>VLOOKUP(G2550,매칭테이블!D:E,2,0)</f>
        <v/>
      </c>
      <c r="J2550" s="39" t="n">
        <v>201210</v>
      </c>
      <c r="L2550" s="36">
        <f>VLOOKUP($P2550,매칭테이블!$G:$J,2,0)*H2550</f>
        <v/>
      </c>
      <c r="M2550" s="36">
        <f>L2550-L2550*VLOOKUP($P2550,매칭테이블!$G:$J,3,0)</f>
        <v/>
      </c>
      <c r="N2550" s="36">
        <f>VLOOKUP($P2550,매칭테이블!$G:$J,4,0)*H2550</f>
        <v/>
      </c>
      <c r="O2550" s="52">
        <f>L2550/1.1</f>
        <v/>
      </c>
      <c r="P2550" s="36">
        <f>F2550&amp;E2550&amp;G2550&amp;J2550</f>
        <v/>
      </c>
    </row>
    <row r="2551">
      <c r="B2551" s="51" t="n">
        <v>44193</v>
      </c>
      <c r="C2551" s="36">
        <f>TEXT(B2551,"aaa")</f>
        <v/>
      </c>
      <c r="E2551" s="36">
        <f>INDEX(매칭테이블!C:C,MATCH(RD!G2551,매칭테이블!D:D,0))</f>
        <v/>
      </c>
      <c r="F2551" s="39" t="inlineStr">
        <is>
          <t>카페24</t>
        </is>
      </c>
      <c r="G2551" s="39" t="inlineStr">
        <is>
          <t>유즈 솔리드퍼퓸 - 30ml (10차 재입고 완료)향=이그나이트 001 SOLID PERFUME, 세트 선택=1개</t>
        </is>
      </c>
      <c r="H2551" s="39" t="n">
        <v>1</v>
      </c>
      <c r="I2551" s="36">
        <f>VLOOKUP(G2551,매칭테이블!D:E,2,0)</f>
        <v/>
      </c>
      <c r="J2551" s="39" t="n">
        <v>201210</v>
      </c>
      <c r="L2551" s="36">
        <f>VLOOKUP($P2551,매칭테이블!$G:$J,2,0)*H2551</f>
        <v/>
      </c>
      <c r="M2551" s="36">
        <f>L2551-L2551*VLOOKUP($P2551,매칭테이블!$G:$J,3,0)</f>
        <v/>
      </c>
      <c r="N2551" s="36">
        <f>VLOOKUP($P2551,매칭테이블!$G:$J,4,0)*H2551</f>
        <v/>
      </c>
      <c r="O2551" s="52">
        <f>L2551/1.1</f>
        <v/>
      </c>
      <c r="P2551" s="36">
        <f>F2551&amp;E2551&amp;G2551&amp;J2551</f>
        <v/>
      </c>
    </row>
    <row r="2552">
      <c r="B2552" s="51" t="n">
        <v>44193</v>
      </c>
      <c r="C2552" s="36">
        <f>TEXT(B2552,"aaa")</f>
        <v/>
      </c>
      <c r="E2552" s="36">
        <f>INDEX(매칭테이블!C:C,MATCH(RD!G2552,매칭테이블!D:D,0))</f>
        <v/>
      </c>
      <c r="F2552" s="39" t="inlineStr">
        <is>
          <t>카페24</t>
        </is>
      </c>
      <c r="G2552" s="39" t="inlineStr">
        <is>
          <t>유즈 솔리드퍼퓸 - 30ml (10차 재입고 완료)향=이그나이트 001 SOLID PERFUME, 세트 선택=best</t>
        </is>
      </c>
      <c r="H2552" s="39" t="n">
        <v>1</v>
      </c>
      <c r="I2552" s="36">
        <f>VLOOKUP(G2552,매칭테이블!D:E,2,0)</f>
        <v/>
      </c>
      <c r="J2552" s="39" t="n">
        <v>201210</v>
      </c>
      <c r="L2552" s="36">
        <f>VLOOKUP($P2552,매칭테이블!$G:$J,2,0)*H2552</f>
        <v/>
      </c>
      <c r="M2552" s="36">
        <f>L2552-L2552*VLOOKUP($P2552,매칭테이블!$G:$J,3,0)</f>
        <v/>
      </c>
      <c r="N2552" s="36">
        <f>VLOOKUP($P2552,매칭테이블!$G:$J,4,0)*H2552</f>
        <v/>
      </c>
      <c r="O2552" s="52">
        <f>L2552/1.1</f>
        <v/>
      </c>
      <c r="P2552" s="36">
        <f>F2552&amp;E2552&amp;G2552&amp;J2552</f>
        <v/>
      </c>
    </row>
    <row r="2553">
      <c r="B2553" s="51" t="n">
        <v>44193</v>
      </c>
      <c r="C2553" s="36">
        <f>TEXT(B2553,"aaa")</f>
        <v/>
      </c>
      <c r="E2553" s="36">
        <f>INDEX(매칭테이블!C:C,MATCH(RD!G2553,매칭테이블!D:D,0))</f>
        <v/>
      </c>
      <c r="F2553" s="39" t="inlineStr">
        <is>
          <t>카페24</t>
        </is>
      </c>
      <c r="G2553" s="39" t="inlineStr">
        <is>
          <t>유즈 솔리드퍼퓸 - 30ml (10차 재입고 완료)향=스테이포에버 002 SOLID PERFUME, 세트 선택=1개</t>
        </is>
      </c>
      <c r="H2553" s="39" t="n">
        <v>8</v>
      </c>
      <c r="I2553" s="36">
        <f>VLOOKUP(G2553,매칭테이블!D:E,2,0)</f>
        <v/>
      </c>
      <c r="J2553" s="39" t="n">
        <v>201210</v>
      </c>
      <c r="L2553" s="36">
        <f>VLOOKUP($P2553,매칭테이블!$G:$J,2,0)*H2553</f>
        <v/>
      </c>
      <c r="M2553" s="36">
        <f>L2553-L2553*VLOOKUP($P2553,매칭테이블!$G:$J,3,0)</f>
        <v/>
      </c>
      <c r="N2553" s="36">
        <f>VLOOKUP($P2553,매칭테이블!$G:$J,4,0)*H2553</f>
        <v/>
      </c>
      <c r="O2553" s="52">
        <f>L2553/1.1</f>
        <v/>
      </c>
      <c r="P2553" s="36">
        <f>F2553&amp;E2553&amp;G2553&amp;J2553</f>
        <v/>
      </c>
    </row>
    <row r="2554">
      <c r="B2554" s="51" t="n">
        <v>44193</v>
      </c>
      <c r="C2554" s="36">
        <f>TEXT(B2554,"aaa")</f>
        <v/>
      </c>
      <c r="E2554" s="36">
        <f>INDEX(매칭테이블!C:C,MATCH(RD!G2554,매칭테이블!D:D,0))</f>
        <v/>
      </c>
      <c r="F2554" s="39" t="inlineStr">
        <is>
          <t>카페24</t>
        </is>
      </c>
      <c r="G2554" s="39" t="inlineStr">
        <is>
          <t>유즈 솔리드퍼퓸 - 30ml (10차 재입고 완료)향=스테이포에버 002 SOLID PERFUME, 세트 선택=best 2개 (28% 할인)</t>
        </is>
      </c>
      <c r="H2554" s="39" t="n">
        <v>2</v>
      </c>
      <c r="I2554" s="36">
        <f>VLOOKUP(G2554,매칭테이블!D:E,2,0)</f>
        <v/>
      </c>
      <c r="J2554" s="39" t="n">
        <v>201210</v>
      </c>
      <c r="L2554" s="36">
        <f>VLOOKUP($P2554,매칭테이블!$G:$J,2,0)*H2554</f>
        <v/>
      </c>
      <c r="M2554" s="36">
        <f>L2554-L2554*VLOOKUP($P2554,매칭테이블!$G:$J,3,0)</f>
        <v/>
      </c>
      <c r="N2554" s="36">
        <f>VLOOKUP($P2554,매칭테이블!$G:$J,4,0)*H2554</f>
        <v/>
      </c>
      <c r="O2554" s="52">
        <f>L2554/1.1</f>
        <v/>
      </c>
      <c r="P2554" s="36">
        <f>F2554&amp;E2554&amp;G2554&amp;J2554</f>
        <v/>
      </c>
    </row>
    <row r="2555">
      <c r="B2555" s="51" t="n">
        <v>44193</v>
      </c>
      <c r="C2555" s="36">
        <f>TEXT(B2555,"aaa")</f>
        <v/>
      </c>
      <c r="E2555" s="36">
        <f>INDEX(매칭테이블!C:C,MATCH(RD!G2555,매칭테이블!D:D,0))</f>
        <v/>
      </c>
      <c r="F2555" s="39" t="inlineStr">
        <is>
          <t>카페24</t>
        </is>
      </c>
      <c r="G2555" s="39" t="inlineStr">
        <is>
          <t>유즈 솔리드퍼퓸 - 30ml (10차 재입고 완료)향=커플세트</t>
        </is>
      </c>
      <c r="H2555" s="39" t="n">
        <v>6</v>
      </c>
      <c r="I2555" s="36">
        <f>VLOOKUP(G2555,매칭테이블!D:E,2,0)</f>
        <v/>
      </c>
      <c r="J2555" s="39" t="n">
        <v>201210</v>
      </c>
      <c r="L2555" s="36">
        <f>VLOOKUP($P2555,매칭테이블!$G:$J,2,0)*H2555</f>
        <v/>
      </c>
      <c r="M2555" s="36">
        <f>L2555-L2555*VLOOKUP($P2555,매칭테이블!$G:$J,3,0)</f>
        <v/>
      </c>
      <c r="N2555" s="36">
        <f>VLOOKUP($P2555,매칭테이블!$G:$J,4,0)*H2555</f>
        <v/>
      </c>
      <c r="O2555" s="52">
        <f>L2555/1.1</f>
        <v/>
      </c>
      <c r="P2555" s="36">
        <f>F2555&amp;E2555&amp;G2555&amp;J2555</f>
        <v/>
      </c>
    </row>
    <row r="2556">
      <c r="B2556" s="51" t="n">
        <v>44193</v>
      </c>
      <c r="C2556" s="36">
        <f>TEXT(B2556,"aaa")</f>
        <v/>
      </c>
      <c r="E2556" s="36">
        <f>INDEX(매칭테이블!C:C,MATCH(RD!G2556,매칭테이블!D:D,0))</f>
        <v/>
      </c>
      <c r="F2556" s="39" t="inlineStr">
        <is>
          <t>카페24</t>
        </is>
      </c>
      <c r="G2556" s="39" t="inlineStr">
        <is>
          <t>유즈 솔리드퍼퓸 - 30ml (10차 재입고 완료)향=커플세트(이그나이트 + 스테이포에버), 세트 선택=1 SET</t>
        </is>
      </c>
      <c r="H2556" s="39" t="n">
        <v>2</v>
      </c>
      <c r="I2556" s="36">
        <f>VLOOKUP(G2556,매칭테이블!D:E,2,0)</f>
        <v/>
      </c>
      <c r="J2556" s="39" t="n">
        <v>201210</v>
      </c>
      <c r="L2556" s="36">
        <f>VLOOKUP($P2556,매칭테이블!$G:$J,2,0)*H2556</f>
        <v/>
      </c>
      <c r="M2556" s="36">
        <f>L2556-L2556*VLOOKUP($P2556,매칭테이블!$G:$J,3,0)</f>
        <v/>
      </c>
      <c r="N2556" s="36">
        <f>VLOOKUP($P2556,매칭테이블!$G:$J,4,0)*H2556</f>
        <v/>
      </c>
      <c r="O2556" s="52">
        <f>L2556/1.1</f>
        <v/>
      </c>
      <c r="P2556" s="36">
        <f>F2556&amp;E2556&amp;G2556&amp;J2556</f>
        <v/>
      </c>
    </row>
    <row r="2557">
      <c r="B2557" s="51" t="n">
        <v>44193</v>
      </c>
      <c r="C2557" s="36">
        <f>TEXT(B2557,"aaa")</f>
        <v/>
      </c>
      <c r="E2557" s="36">
        <f>INDEX(매칭테이블!C:C,MATCH(RD!G2557,매칭테이블!D:D,0))</f>
        <v/>
      </c>
      <c r="F2557" s="39" t="inlineStr">
        <is>
          <t>카페24</t>
        </is>
      </c>
      <c r="G2557" s="39" t="inlineStr">
        <is>
          <t>유즈 스테이포에버 솔리드퍼퓸 002 (10차 재입고 완료제품선택=스테이포에버 1개</t>
        </is>
      </c>
      <c r="H2557" s="39" t="n">
        <v>32</v>
      </c>
      <c r="I2557" s="36">
        <f>VLOOKUP(G2557,매칭테이블!D:E,2,0)</f>
        <v/>
      </c>
      <c r="J2557" s="39" t="n">
        <v>201210</v>
      </c>
      <c r="L2557" s="36">
        <f>VLOOKUP($P2557,매칭테이블!$G:$J,2,0)*H2557</f>
        <v/>
      </c>
      <c r="M2557" s="36">
        <f>L2557-L2557*VLOOKUP($P2557,매칭테이블!$G:$J,3,0)</f>
        <v/>
      </c>
      <c r="N2557" s="36">
        <f>VLOOKUP($P2557,매칭테이블!$G:$J,4,0)*H2557</f>
        <v/>
      </c>
      <c r="O2557" s="52">
        <f>L2557/1.1</f>
        <v/>
      </c>
      <c r="P2557" s="36">
        <f>F2557&amp;E2557&amp;G2557&amp;J2557</f>
        <v/>
      </c>
    </row>
    <row r="2558">
      <c r="B2558" s="51" t="n">
        <v>44193</v>
      </c>
      <c r="C2558" s="36">
        <f>TEXT(B2558,"aaa")</f>
        <v/>
      </c>
      <c r="E2558" s="36">
        <f>INDEX(매칭테이블!C:C,MATCH(RD!G2558,매칭테이블!D:D,0))</f>
        <v/>
      </c>
      <c r="F2558" s="39" t="inlineStr">
        <is>
          <t>카페24</t>
        </is>
      </c>
      <c r="G2558" s="39" t="inlineStr">
        <is>
          <t>유즈 스테이포에버 솔리드퍼퓸 002 (10차 재입고 완료제품선택=best</t>
        </is>
      </c>
      <c r="H2558" s="39" t="n">
        <v>14</v>
      </c>
      <c r="I2558" s="36">
        <f>VLOOKUP(G2558,매칭테이블!D:E,2,0)</f>
        <v/>
      </c>
      <c r="J2558" s="39" t="n">
        <v>201210</v>
      </c>
      <c r="L2558" s="36">
        <f>VLOOKUP($P2558,매칭테이블!$G:$J,2,0)*H2558</f>
        <v/>
      </c>
      <c r="M2558" s="36">
        <f>L2558-L2558*VLOOKUP($P2558,매칭테이블!$G:$J,3,0)</f>
        <v/>
      </c>
      <c r="N2558" s="36">
        <f>VLOOKUP($P2558,매칭테이블!$G:$J,4,0)*H2558</f>
        <v/>
      </c>
      <c r="O2558" s="52">
        <f>L2558/1.1</f>
        <v/>
      </c>
      <c r="P2558" s="36">
        <f>F2558&amp;E2558&amp;G2558&amp;J2558</f>
        <v/>
      </c>
    </row>
    <row r="2559">
      <c r="B2559" s="51" t="n">
        <v>44193</v>
      </c>
      <c r="C2559" s="36">
        <f>TEXT(B2559,"aaa")</f>
        <v/>
      </c>
      <c r="E2559" s="36">
        <f>INDEX(매칭테이블!C:C,MATCH(RD!G2559,매칭테이블!D:D,0))</f>
        <v/>
      </c>
      <c r="F2559" s="39" t="inlineStr">
        <is>
          <t>카페24</t>
        </is>
      </c>
      <c r="G2559" s="39" t="inlineStr">
        <is>
          <t>유즈 스테이포에버 솔리드퍼퓸 002 (10차 재입고 완료제품선택=커플추천</t>
        </is>
      </c>
      <c r="H2559" s="39" t="n">
        <v>4</v>
      </c>
      <c r="I2559" s="36">
        <f>VLOOKUP(G2559,매칭테이블!D:E,2,0)</f>
        <v/>
      </c>
      <c r="J2559" s="39" t="n">
        <v>201210</v>
      </c>
      <c r="L2559" s="36">
        <f>VLOOKUP($P2559,매칭테이블!$G:$J,2,0)*H2559</f>
        <v/>
      </c>
      <c r="M2559" s="36">
        <f>L2559-L2559*VLOOKUP($P2559,매칭테이블!$G:$J,3,0)</f>
        <v/>
      </c>
      <c r="N2559" s="36">
        <f>VLOOKUP($P2559,매칭테이블!$G:$J,4,0)*H2559</f>
        <v/>
      </c>
      <c r="O2559" s="52">
        <f>L2559/1.1</f>
        <v/>
      </c>
      <c r="P2559" s="36">
        <f>F2559&amp;E2559&amp;G2559&amp;J2559</f>
        <v/>
      </c>
    </row>
    <row r="2560">
      <c r="B2560" s="51" t="n">
        <v>44193</v>
      </c>
      <c r="C2560" s="36">
        <f>TEXT(B2560,"aaa")</f>
        <v/>
      </c>
      <c r="E2560" s="36">
        <f>INDEX(매칭테이블!C:C,MATCH(RD!G2560,매칭테이블!D:D,0))</f>
        <v/>
      </c>
      <c r="F2560" s="39" t="inlineStr">
        <is>
          <t>카페24</t>
        </is>
      </c>
      <c r="G2560" s="39" t="inlineStr">
        <is>
          <t>유즈 스테이포에버 솔리드퍼퓸 002 (10차 재입고 완료)제품선택=스테이포에버 1개</t>
        </is>
      </c>
      <c r="H2560" s="39" t="n">
        <v>251</v>
      </c>
      <c r="I2560" s="36">
        <f>VLOOKUP(G2560,매칭테이블!D:E,2,0)</f>
        <v/>
      </c>
      <c r="J2560" s="39" t="n">
        <v>201210</v>
      </c>
      <c r="L2560" s="36">
        <f>VLOOKUP($P2560,매칭테이블!$G:$J,2,0)*H2560</f>
        <v/>
      </c>
      <c r="M2560" s="36">
        <f>L2560-L2560*VLOOKUP($P2560,매칭테이블!$G:$J,3,0)</f>
        <v/>
      </c>
      <c r="N2560" s="36">
        <f>VLOOKUP($P2560,매칭테이블!$G:$J,4,0)*H2560</f>
        <v/>
      </c>
      <c r="O2560" s="52">
        <f>L2560/1.1</f>
        <v/>
      </c>
      <c r="P2560" s="36">
        <f>F2560&amp;E2560&amp;G2560&amp;J2560</f>
        <v/>
      </c>
    </row>
    <row r="2561">
      <c r="B2561" s="51" t="n">
        <v>44193</v>
      </c>
      <c r="C2561" s="36">
        <f>TEXT(B2561,"aaa")</f>
        <v/>
      </c>
      <c r="E2561" s="36">
        <f>INDEX(매칭테이블!C:C,MATCH(RD!G2561,매칭테이블!D:D,0))</f>
        <v/>
      </c>
      <c r="F2561" s="39" t="inlineStr">
        <is>
          <t>카페24</t>
        </is>
      </c>
      <c r="G2561" s="39" t="inlineStr">
        <is>
          <t>유즈 스테이포에버 솔리드퍼퓸 002 (10차 재입고 완료)제품선택=best</t>
        </is>
      </c>
      <c r="H2561" s="39" t="n">
        <v>29</v>
      </c>
      <c r="I2561" s="36">
        <f>VLOOKUP(G2561,매칭테이블!D:E,2,0)</f>
        <v/>
      </c>
      <c r="J2561" s="39" t="n">
        <v>201210</v>
      </c>
      <c r="L2561" s="36">
        <f>VLOOKUP($P2561,매칭테이블!$G:$J,2,0)*H2561</f>
        <v/>
      </c>
      <c r="M2561" s="36">
        <f>L2561-L2561*VLOOKUP($P2561,매칭테이블!$G:$J,3,0)</f>
        <v/>
      </c>
      <c r="N2561" s="36">
        <f>VLOOKUP($P2561,매칭테이블!$G:$J,4,0)*H2561</f>
        <v/>
      </c>
      <c r="O2561" s="52">
        <f>L2561/1.1</f>
        <v/>
      </c>
      <c r="P2561" s="36">
        <f>F2561&amp;E2561&amp;G2561&amp;J2561</f>
        <v/>
      </c>
    </row>
    <row r="2562">
      <c r="B2562" s="51" t="n">
        <v>44193</v>
      </c>
      <c r="C2562" s="36">
        <f>TEXT(B2562,"aaa")</f>
        <v/>
      </c>
      <c r="E2562" s="36">
        <f>INDEX(매칭테이블!C:C,MATCH(RD!G2562,매칭테이블!D:D,0))</f>
        <v/>
      </c>
      <c r="F2562" s="39" t="inlineStr">
        <is>
          <t>카페24</t>
        </is>
      </c>
      <c r="G2562" s="39" t="inlineStr">
        <is>
          <t>유즈 스테이포에버 솔리드퍼퓸 002 (10차 재입고 완료)제품선택=best스테이포에버 2개[28% 할인]</t>
        </is>
      </c>
      <c r="H2562" s="39" t="n">
        <v>63</v>
      </c>
      <c r="I2562" s="36">
        <f>VLOOKUP(G2562,매칭테이블!D:E,2,0)</f>
        <v/>
      </c>
      <c r="J2562" s="39" t="n">
        <v>201210</v>
      </c>
      <c r="L2562" s="36">
        <f>VLOOKUP($P2562,매칭테이블!$G:$J,2,0)*H2562</f>
        <v/>
      </c>
      <c r="M2562" s="36">
        <f>L2562-L2562*VLOOKUP($P2562,매칭테이블!$G:$J,3,0)</f>
        <v/>
      </c>
      <c r="N2562" s="36">
        <f>VLOOKUP($P2562,매칭테이블!$G:$J,4,0)*H2562</f>
        <v/>
      </c>
      <c r="O2562" s="52">
        <f>L2562/1.1</f>
        <v/>
      </c>
      <c r="P2562" s="36">
        <f>F2562&amp;E2562&amp;G2562&amp;J2562</f>
        <v/>
      </c>
    </row>
    <row r="2563">
      <c r="B2563" s="51" t="n">
        <v>44193</v>
      </c>
      <c r="C2563" s="36">
        <f>TEXT(B2563,"aaa")</f>
        <v/>
      </c>
      <c r="E2563" s="36">
        <f>INDEX(매칭테이블!C:C,MATCH(RD!G2563,매칭테이블!D:D,0))</f>
        <v/>
      </c>
      <c r="F2563" s="39" t="inlineStr">
        <is>
          <t>카페24</t>
        </is>
      </c>
      <c r="G2563" s="39" t="inlineStr">
        <is>
          <t>유즈 스테이포에버 솔리드퍼퓸 002 (10차 재입고 완료)제품선택=커플추천</t>
        </is>
      </c>
      <c r="H2563" s="39" t="n">
        <v>6</v>
      </c>
      <c r="I2563" s="36">
        <f>VLOOKUP(G2563,매칭테이블!D:E,2,0)</f>
        <v/>
      </c>
      <c r="J2563" s="39" t="n">
        <v>201210</v>
      </c>
      <c r="L2563" s="36">
        <f>VLOOKUP($P2563,매칭테이블!$G:$J,2,0)*H2563</f>
        <v/>
      </c>
      <c r="M2563" s="36">
        <f>L2563-L2563*VLOOKUP($P2563,매칭테이블!$G:$J,3,0)</f>
        <v/>
      </c>
      <c r="N2563" s="36">
        <f>VLOOKUP($P2563,매칭테이블!$G:$J,4,0)*H2563</f>
        <v/>
      </c>
      <c r="O2563" s="52">
        <f>L2563/1.1</f>
        <v/>
      </c>
      <c r="P2563" s="36">
        <f>F2563&amp;E2563&amp;G2563&amp;J2563</f>
        <v/>
      </c>
    </row>
    <row r="2564">
      <c r="B2564" s="51" t="n">
        <v>44193</v>
      </c>
      <c r="C2564" s="36">
        <f>TEXT(B2564,"aaa")</f>
        <v/>
      </c>
      <c r="E2564" s="36">
        <f>INDEX(매칭테이블!C:C,MATCH(RD!G2564,매칭테이블!D:D,0))</f>
        <v/>
      </c>
      <c r="F2564" s="39" t="inlineStr">
        <is>
          <t>카페24</t>
        </is>
      </c>
      <c r="G2564" s="39" t="inlineStr">
        <is>
          <t>유즈 스테이포에버 솔리드퍼퓸 002 (10차 재입고 완료)제품선택=커플추천스테이포에버 + 이그나이트 세트</t>
        </is>
      </c>
      <c r="H2564" s="39" t="n">
        <v>9</v>
      </c>
      <c r="I2564" s="36">
        <f>VLOOKUP(G2564,매칭테이블!D:E,2,0)</f>
        <v/>
      </c>
      <c r="J2564" s="39" t="n">
        <v>201210</v>
      </c>
      <c r="L2564" s="36">
        <f>VLOOKUP($P2564,매칭테이블!$G:$J,2,0)*H2564</f>
        <v/>
      </c>
      <c r="M2564" s="36">
        <f>L2564-L2564*VLOOKUP($P2564,매칭테이블!$G:$J,3,0)</f>
        <v/>
      </c>
      <c r="N2564" s="36">
        <f>VLOOKUP($P2564,매칭테이블!$G:$J,4,0)*H2564</f>
        <v/>
      </c>
      <c r="O2564" s="52">
        <f>L2564/1.1</f>
        <v/>
      </c>
      <c r="P2564" s="36">
        <f>F2564&amp;E2564&amp;G2564&amp;J2564</f>
        <v/>
      </c>
    </row>
    <row r="2565">
      <c r="B2565" s="51" t="n">
        <v>44193</v>
      </c>
      <c r="C2565" s="36">
        <f>TEXT(B2565,"aaa")</f>
        <v/>
      </c>
      <c r="E2565" s="36">
        <f>INDEX(매칭테이블!C:C,MATCH(RD!G2565,매칭테이블!D:D,0))</f>
        <v/>
      </c>
      <c r="F2565" s="39" t="inlineStr">
        <is>
          <t>카페24</t>
        </is>
      </c>
      <c r="G2565" s="39" t="inlineStr">
        <is>
          <t>유즈 스테이포에버 솔리드퍼퓸 002 (10차 재입고 완료)쇼핑백=선물용 쇼핑백</t>
        </is>
      </c>
      <c r="H2565" s="39" t="n">
        <v>14</v>
      </c>
      <c r="I2565" s="36">
        <f>VLOOKUP(G2565,매칭테이블!D:E,2,0)</f>
        <v/>
      </c>
      <c r="J2565" s="39" t="n">
        <v>201210</v>
      </c>
      <c r="L2565" s="36">
        <f>VLOOKUP($P2565,매칭테이블!$G:$J,2,0)*H2565</f>
        <v/>
      </c>
      <c r="M2565" s="36">
        <f>L2565-L2565*VLOOKUP($P2565,매칭테이블!$G:$J,3,0)</f>
        <v/>
      </c>
      <c r="N2565" s="36">
        <f>VLOOKUP($P2565,매칭테이블!$G:$J,4,0)*H2565</f>
        <v/>
      </c>
      <c r="O2565" s="52">
        <f>L2565/1.1</f>
        <v/>
      </c>
      <c r="P2565" s="36">
        <f>F2565&amp;E2565&amp;G2565&amp;J2565</f>
        <v/>
      </c>
    </row>
    <row r="2566">
      <c r="B2566" s="51" t="n">
        <v>44193</v>
      </c>
      <c r="C2566" s="36">
        <f>TEXT(B2566,"aaa")</f>
        <v/>
      </c>
      <c r="E2566" s="36">
        <f>INDEX(매칭테이블!C:C,MATCH(RD!G2566,매칭테이블!D:D,0))</f>
        <v/>
      </c>
      <c r="F2566" s="39" t="inlineStr">
        <is>
          <t>카페24</t>
        </is>
      </c>
      <c r="G2566" s="39" t="inlineStr">
        <is>
          <t>유즈 이그나이트 솔리드퍼퓸 001제품선택=이그나이트 솔리드퍼퓸 - 30ml</t>
        </is>
      </c>
      <c r="H2566" s="39" t="n">
        <v>3</v>
      </c>
      <c r="I2566" s="36">
        <f>VLOOKUP(G2566,매칭테이블!D:E,2,0)</f>
        <v/>
      </c>
      <c r="J2566" s="39" t="n">
        <v>201210</v>
      </c>
      <c r="L2566" s="36">
        <f>VLOOKUP($P2566,매칭테이블!$G:$J,2,0)*H2566</f>
        <v/>
      </c>
      <c r="M2566" s="36">
        <f>L2566-L2566*VLOOKUP($P2566,매칭테이블!$G:$J,3,0)</f>
        <v/>
      </c>
      <c r="N2566" s="36">
        <f>VLOOKUP($P2566,매칭테이블!$G:$J,4,0)*H2566</f>
        <v/>
      </c>
      <c r="O2566" s="52">
        <f>L2566/1.1</f>
        <v/>
      </c>
      <c r="P2566" s="36">
        <f>F2566&amp;E2566&amp;G2566&amp;J2566</f>
        <v/>
      </c>
    </row>
    <row r="2567">
      <c r="B2567" s="51" t="n">
        <v>44193</v>
      </c>
      <c r="C2567" s="36">
        <f>TEXT(B2567,"aaa")</f>
        <v/>
      </c>
      <c r="E2567" s="36">
        <f>INDEX(매칭테이블!C:C,MATCH(RD!G2567,매칭테이블!D:D,0))</f>
        <v/>
      </c>
      <c r="F2567" s="39" t="inlineStr">
        <is>
          <t>카페24</t>
        </is>
      </c>
      <c r="G2567" s="39" t="inlineStr">
        <is>
          <t>유즈 이그나이트 솔리드퍼퓸 001제품선택=이그나이트 2개 세트</t>
        </is>
      </c>
      <c r="H2567" s="39" t="n">
        <v>1</v>
      </c>
      <c r="I2567" s="36">
        <f>VLOOKUP(G2567,매칭테이블!D:E,2,0)</f>
        <v/>
      </c>
      <c r="J2567" s="39" t="n">
        <v>201210</v>
      </c>
      <c r="L2567" s="36">
        <f>VLOOKUP($P2567,매칭테이블!$G:$J,2,0)*H2567</f>
        <v/>
      </c>
      <c r="M2567" s="36">
        <f>L2567-L2567*VLOOKUP($P2567,매칭테이블!$G:$J,3,0)</f>
        <v/>
      </c>
      <c r="N2567" s="36">
        <f>VLOOKUP($P2567,매칭테이블!$G:$J,4,0)*H2567</f>
        <v/>
      </c>
      <c r="O2567" s="52">
        <f>L2567/1.1</f>
        <v/>
      </c>
      <c r="P2567" s="36">
        <f>F2567&amp;E2567&amp;G2567&amp;J2567</f>
        <v/>
      </c>
    </row>
    <row r="2568">
      <c r="B2568" s="51" t="n">
        <v>44194</v>
      </c>
      <c r="C2568" s="36">
        <f>TEXT(B2568,"aaa")</f>
        <v/>
      </c>
      <c r="E2568" s="36">
        <f>INDEX(매칭테이블!C:C,MATCH(RD!G2568,매칭테이블!D:D,0))</f>
        <v/>
      </c>
      <c r="F2568" s="39" t="inlineStr">
        <is>
          <t>카페24</t>
        </is>
      </c>
      <c r="G2568" s="39" t="inlineStr">
        <is>
          <t>유즈 솔리드퍼퓸 - 30ml (10차 재입고 완료)향=이그나이트 001 SOLID PERFUME, 세트 선택=1개</t>
        </is>
      </c>
      <c r="H2568" s="39" t="n">
        <v>3</v>
      </c>
      <c r="I2568" s="36">
        <f>VLOOKUP(G2568,매칭테이블!D:E,2,0)</f>
        <v/>
      </c>
      <c r="J2568" s="39" t="n">
        <v>201210</v>
      </c>
      <c r="L2568" s="36">
        <f>VLOOKUP($P2568,매칭테이블!$G:$J,2,0)*H2568</f>
        <v/>
      </c>
      <c r="M2568" s="36">
        <f>L2568-L2568*VLOOKUP($P2568,매칭테이블!$G:$J,3,0)</f>
        <v/>
      </c>
      <c r="N2568" s="36">
        <f>VLOOKUP($P2568,매칭테이블!$G:$J,4,0)*H2568</f>
        <v/>
      </c>
      <c r="O2568" s="52">
        <f>L2568/1.1</f>
        <v/>
      </c>
      <c r="P2568" s="36">
        <f>F2568&amp;E2568&amp;G2568&amp;J2568</f>
        <v/>
      </c>
    </row>
    <row r="2569">
      <c r="B2569" s="51" t="n">
        <v>44194</v>
      </c>
      <c r="C2569" s="36">
        <f>TEXT(B2569,"aaa")</f>
        <v/>
      </c>
      <c r="E2569" s="36">
        <f>INDEX(매칭테이블!C:C,MATCH(RD!G2569,매칭테이블!D:D,0))</f>
        <v/>
      </c>
      <c r="F2569" s="39" t="inlineStr">
        <is>
          <t>카페24</t>
        </is>
      </c>
      <c r="G2569" s="39" t="inlineStr">
        <is>
          <t>유즈 솔리드퍼퓸 - 30ml (10차 재입고 완료)향=이그나이트 001 SOLID PERFUME, 세트 선택=best</t>
        </is>
      </c>
      <c r="H2569" s="39" t="n">
        <v>1</v>
      </c>
      <c r="I2569" s="36">
        <f>VLOOKUP(G2569,매칭테이블!D:E,2,0)</f>
        <v/>
      </c>
      <c r="J2569" s="39" t="n">
        <v>201210</v>
      </c>
      <c r="L2569" s="36">
        <f>VLOOKUP($P2569,매칭테이블!$G:$J,2,0)*H2569</f>
        <v/>
      </c>
      <c r="M2569" s="36">
        <f>L2569-L2569*VLOOKUP($P2569,매칭테이블!$G:$J,3,0)</f>
        <v/>
      </c>
      <c r="N2569" s="36">
        <f>VLOOKUP($P2569,매칭테이블!$G:$J,4,0)*H2569</f>
        <v/>
      </c>
      <c r="O2569" s="52">
        <f>L2569/1.1</f>
        <v/>
      </c>
      <c r="P2569" s="36">
        <f>F2569&amp;E2569&amp;G2569&amp;J2569</f>
        <v/>
      </c>
    </row>
    <row r="2570">
      <c r="B2570" s="51" t="n">
        <v>44194</v>
      </c>
      <c r="C2570" s="36">
        <f>TEXT(B2570,"aaa")</f>
        <v/>
      </c>
      <c r="E2570" s="36">
        <f>INDEX(매칭테이블!C:C,MATCH(RD!G2570,매칭테이블!D:D,0))</f>
        <v/>
      </c>
      <c r="F2570" s="39" t="inlineStr">
        <is>
          <t>카페24</t>
        </is>
      </c>
      <c r="G2570" s="39" t="inlineStr">
        <is>
          <t>유즈 솔리드퍼퓸 - 30ml (10차 재입고 완료)향=스테이포에버 002 SOLID PERFUME, 세트 선택=1개</t>
        </is>
      </c>
      <c r="H2570" s="39" t="n">
        <v>9</v>
      </c>
      <c r="I2570" s="36">
        <f>VLOOKUP(G2570,매칭테이블!D:E,2,0)</f>
        <v/>
      </c>
      <c r="J2570" s="39" t="n">
        <v>201210</v>
      </c>
      <c r="L2570" s="36">
        <f>VLOOKUP($P2570,매칭테이블!$G:$J,2,0)*H2570</f>
        <v/>
      </c>
      <c r="M2570" s="36">
        <f>L2570-L2570*VLOOKUP($P2570,매칭테이블!$G:$J,3,0)</f>
        <v/>
      </c>
      <c r="N2570" s="36">
        <f>VLOOKUP($P2570,매칭테이블!$G:$J,4,0)*H2570</f>
        <v/>
      </c>
      <c r="O2570" s="52">
        <f>L2570/1.1</f>
        <v/>
      </c>
      <c r="P2570" s="36">
        <f>F2570&amp;E2570&amp;G2570&amp;J2570</f>
        <v/>
      </c>
    </row>
    <row r="2571">
      <c r="B2571" s="51" t="n">
        <v>44194</v>
      </c>
      <c r="C2571" s="36">
        <f>TEXT(B2571,"aaa")</f>
        <v/>
      </c>
      <c r="E2571" s="36">
        <f>INDEX(매칭테이블!C:C,MATCH(RD!G2571,매칭테이블!D:D,0))</f>
        <v/>
      </c>
      <c r="F2571" s="39" t="inlineStr">
        <is>
          <t>카페24</t>
        </is>
      </c>
      <c r="G2571" s="39" t="inlineStr">
        <is>
          <t>유즈 솔리드퍼퓸 - 30ml (10차 재입고 완료)향=스테이포에버 002 SOLID PERFUME, 세트 선택=best</t>
        </is>
      </c>
      <c r="H2571" s="39" t="n">
        <v>5</v>
      </c>
      <c r="I2571" s="36">
        <f>VLOOKUP(G2571,매칭테이블!D:E,2,0)</f>
        <v/>
      </c>
      <c r="J2571" s="39" t="n">
        <v>201210</v>
      </c>
      <c r="L2571" s="36">
        <f>VLOOKUP($P2571,매칭테이블!$G:$J,2,0)*H2571</f>
        <v/>
      </c>
      <c r="M2571" s="36">
        <f>L2571-L2571*VLOOKUP($P2571,매칭테이블!$G:$J,3,0)</f>
        <v/>
      </c>
      <c r="N2571" s="36">
        <f>VLOOKUP($P2571,매칭테이블!$G:$J,4,0)*H2571</f>
        <v/>
      </c>
      <c r="O2571" s="52">
        <f>L2571/1.1</f>
        <v/>
      </c>
      <c r="P2571" s="36">
        <f>F2571&amp;E2571&amp;G2571&amp;J2571</f>
        <v/>
      </c>
    </row>
    <row r="2572">
      <c r="B2572" s="51" t="n">
        <v>44194</v>
      </c>
      <c r="C2572" s="36">
        <f>TEXT(B2572,"aaa")</f>
        <v/>
      </c>
      <c r="E2572" s="36">
        <f>INDEX(매칭테이블!C:C,MATCH(RD!G2572,매칭테이블!D:D,0))</f>
        <v/>
      </c>
      <c r="F2572" s="39" t="inlineStr">
        <is>
          <t>카페24</t>
        </is>
      </c>
      <c r="G2572" s="39" t="inlineStr">
        <is>
          <t>유즈 솔리드퍼퓸 - 30ml (10차 재입고 완료)향=스테이포에버 002 SOLID PERFUME, 세트 선택=best 2개 (28% 할인)</t>
        </is>
      </c>
      <c r="H2572" s="39" t="n">
        <v>2</v>
      </c>
      <c r="I2572" s="36">
        <f>VLOOKUP(G2572,매칭테이블!D:E,2,0)</f>
        <v/>
      </c>
      <c r="J2572" s="39" t="n">
        <v>201210</v>
      </c>
      <c r="L2572" s="36">
        <f>VLOOKUP($P2572,매칭테이블!$G:$J,2,0)*H2572</f>
        <v/>
      </c>
      <c r="M2572" s="36">
        <f>L2572-L2572*VLOOKUP($P2572,매칭테이블!$G:$J,3,0)</f>
        <v/>
      </c>
      <c r="N2572" s="36">
        <f>VLOOKUP($P2572,매칭테이블!$G:$J,4,0)*H2572</f>
        <v/>
      </c>
      <c r="O2572" s="52">
        <f>L2572/1.1</f>
        <v/>
      </c>
      <c r="P2572" s="36">
        <f>F2572&amp;E2572&amp;G2572&amp;J2572</f>
        <v/>
      </c>
    </row>
    <row r="2573">
      <c r="B2573" s="51" t="n">
        <v>44194</v>
      </c>
      <c r="C2573" s="36">
        <f>TEXT(B2573,"aaa")</f>
        <v/>
      </c>
      <c r="E2573" s="36">
        <f>INDEX(매칭테이블!C:C,MATCH(RD!G2573,매칭테이블!D:D,0))</f>
        <v/>
      </c>
      <c r="F2573" s="39" t="inlineStr">
        <is>
          <t>카페24</t>
        </is>
      </c>
      <c r="G2573" s="39" t="inlineStr">
        <is>
          <t>유즈 솔리드퍼퓸 - 30ml (10차 재입고 완료)향=커플세트</t>
        </is>
      </c>
      <c r="H2573" s="39" t="n">
        <v>1</v>
      </c>
      <c r="I2573" s="36">
        <f>VLOOKUP(G2573,매칭테이블!D:E,2,0)</f>
        <v/>
      </c>
      <c r="J2573" s="39" t="n">
        <v>201210</v>
      </c>
      <c r="L2573" s="36">
        <f>VLOOKUP($P2573,매칭테이블!$G:$J,2,0)*H2573</f>
        <v/>
      </c>
      <c r="M2573" s="36">
        <f>L2573-L2573*VLOOKUP($P2573,매칭테이블!$G:$J,3,0)</f>
        <v/>
      </c>
      <c r="N2573" s="36">
        <f>VLOOKUP($P2573,매칭테이블!$G:$J,4,0)*H2573</f>
        <v/>
      </c>
      <c r="O2573" s="52">
        <f>L2573/1.1</f>
        <v/>
      </c>
      <c r="P2573" s="36">
        <f>F2573&amp;E2573&amp;G2573&amp;J2573</f>
        <v/>
      </c>
    </row>
    <row r="2574">
      <c r="B2574" s="51" t="n">
        <v>44194</v>
      </c>
      <c r="C2574" s="36">
        <f>TEXT(B2574,"aaa")</f>
        <v/>
      </c>
      <c r="E2574" s="36">
        <f>INDEX(매칭테이블!C:C,MATCH(RD!G2574,매칭테이블!D:D,0))</f>
        <v/>
      </c>
      <c r="F2574" s="39" t="inlineStr">
        <is>
          <t>카페24</t>
        </is>
      </c>
      <c r="G2574" s="39" t="inlineStr">
        <is>
          <t>유즈 솔리드퍼퓸 - 30ml (10차 재입고 완료)향=커플세트(이그나이트 + 스테이포에버), 세트 선택=1 SET</t>
        </is>
      </c>
      <c r="H2574" s="39" t="n">
        <v>3</v>
      </c>
      <c r="I2574" s="36">
        <f>VLOOKUP(G2574,매칭테이블!D:E,2,0)</f>
        <v/>
      </c>
      <c r="J2574" s="39" t="n">
        <v>201210</v>
      </c>
      <c r="L2574" s="36">
        <f>VLOOKUP($P2574,매칭테이블!$G:$J,2,0)*H2574</f>
        <v/>
      </c>
      <c r="M2574" s="36">
        <f>L2574-L2574*VLOOKUP($P2574,매칭테이블!$G:$J,3,0)</f>
        <v/>
      </c>
      <c r="N2574" s="36">
        <f>VLOOKUP($P2574,매칭테이블!$G:$J,4,0)*H2574</f>
        <v/>
      </c>
      <c r="O2574" s="52">
        <f>L2574/1.1</f>
        <v/>
      </c>
      <c r="P2574" s="36">
        <f>F2574&amp;E2574&amp;G2574&amp;J2574</f>
        <v/>
      </c>
    </row>
    <row r="2575">
      <c r="B2575" s="51" t="n">
        <v>44194</v>
      </c>
      <c r="C2575" s="36">
        <f>TEXT(B2575,"aaa")</f>
        <v/>
      </c>
      <c r="E2575" s="36">
        <f>INDEX(매칭테이블!C:C,MATCH(RD!G2575,매칭테이블!D:D,0))</f>
        <v/>
      </c>
      <c r="F2575" s="39" t="inlineStr">
        <is>
          <t>카페24</t>
        </is>
      </c>
      <c r="G2575" s="39" t="inlineStr">
        <is>
          <t>유즈 솔리드퍼퓸 - 30ml (10차 재입고 완료)향=커플세트</t>
        </is>
      </c>
      <c r="H2575" s="39" t="n">
        <v>1</v>
      </c>
      <c r="I2575" s="36">
        <f>VLOOKUP(G2575,매칭테이블!D:E,2,0)</f>
        <v/>
      </c>
      <c r="J2575" s="39" t="n">
        <v>201210</v>
      </c>
      <c r="L2575" s="36">
        <f>VLOOKUP($P2575,매칭테이블!$G:$J,2,0)*H2575</f>
        <v/>
      </c>
      <c r="M2575" s="36">
        <f>L2575-L2575*VLOOKUP($P2575,매칭테이블!$G:$J,3,0)</f>
        <v/>
      </c>
      <c r="N2575" s="36">
        <f>VLOOKUP($P2575,매칭테이블!$G:$J,4,0)*H2575</f>
        <v/>
      </c>
      <c r="O2575" s="52">
        <f>L2575/1.1</f>
        <v/>
      </c>
      <c r="P2575" s="36">
        <f>F2575&amp;E2575&amp;G2575&amp;J2575</f>
        <v/>
      </c>
    </row>
    <row r="2576">
      <c r="B2576" s="51" t="n">
        <v>44194</v>
      </c>
      <c r="C2576" s="36">
        <f>TEXT(B2576,"aaa")</f>
        <v/>
      </c>
      <c r="E2576" s="36">
        <f>INDEX(매칭테이블!C:C,MATCH(RD!G2576,매칭테이블!D:D,0))</f>
        <v/>
      </c>
      <c r="F2576" s="39" t="inlineStr">
        <is>
          <t>카페24</t>
        </is>
      </c>
      <c r="G2576" s="39" t="inlineStr">
        <is>
          <t>유즈 솔리드퍼퓸 - 30ml (10차 재입고 완료)향=커플세트(이그나이트 + 스테이포에버), 세트 선택=2 SET (42% 할인)</t>
        </is>
      </c>
      <c r="H2576" s="39" t="n">
        <v>1</v>
      </c>
      <c r="I2576" s="36">
        <f>VLOOKUP(G2576,매칭테이블!D:E,2,0)</f>
        <v/>
      </c>
      <c r="J2576" s="39" t="n">
        <v>201210</v>
      </c>
      <c r="L2576" s="36">
        <f>VLOOKUP($P2576,매칭테이블!$G:$J,2,0)*H2576</f>
        <v/>
      </c>
      <c r="M2576" s="36">
        <f>L2576-L2576*VLOOKUP($P2576,매칭테이블!$G:$J,3,0)</f>
        <v/>
      </c>
      <c r="N2576" s="36">
        <f>VLOOKUP($P2576,매칭테이블!$G:$J,4,0)*H2576</f>
        <v/>
      </c>
      <c r="O2576" s="52">
        <f>L2576/1.1</f>
        <v/>
      </c>
      <c r="P2576" s="36">
        <f>F2576&amp;E2576&amp;G2576&amp;J2576</f>
        <v/>
      </c>
    </row>
    <row r="2577">
      <c r="B2577" s="51" t="n">
        <v>44194</v>
      </c>
      <c r="C2577" s="36">
        <f>TEXT(B2577,"aaa")</f>
        <v/>
      </c>
      <c r="E2577" s="36">
        <f>INDEX(매칭테이블!C:C,MATCH(RD!G2577,매칭테이블!D:D,0))</f>
        <v/>
      </c>
      <c r="F2577" s="39" t="inlineStr">
        <is>
          <t>카페24</t>
        </is>
      </c>
      <c r="G2577" s="39" t="inlineStr">
        <is>
          <t>유즈 스테이포에버 솔리드퍼퓸 002 (10차 재입고 완료제품선택=스테이포에버 1개</t>
        </is>
      </c>
      <c r="H2577" s="39" t="n">
        <v>1</v>
      </c>
      <c r="I2577" s="36">
        <f>VLOOKUP(G2577,매칭테이블!D:E,2,0)</f>
        <v/>
      </c>
      <c r="J2577" s="39" t="n">
        <v>201210</v>
      </c>
      <c r="L2577" s="36">
        <f>VLOOKUP($P2577,매칭테이블!$G:$J,2,0)*H2577</f>
        <v/>
      </c>
      <c r="M2577" s="36">
        <f>L2577-L2577*VLOOKUP($P2577,매칭테이블!$G:$J,3,0)</f>
        <v/>
      </c>
      <c r="N2577" s="36">
        <f>VLOOKUP($P2577,매칭테이블!$G:$J,4,0)*H2577</f>
        <v/>
      </c>
      <c r="O2577" s="52">
        <f>L2577/1.1</f>
        <v/>
      </c>
      <c r="P2577" s="36">
        <f>F2577&amp;E2577&amp;G2577&amp;J2577</f>
        <v/>
      </c>
    </row>
    <row r="2578">
      <c r="B2578" s="51" t="n">
        <v>44194</v>
      </c>
      <c r="C2578" s="36">
        <f>TEXT(B2578,"aaa")</f>
        <v/>
      </c>
      <c r="E2578" s="36">
        <f>INDEX(매칭테이블!C:C,MATCH(RD!G2578,매칭테이블!D:D,0))</f>
        <v/>
      </c>
      <c r="F2578" s="39" t="inlineStr">
        <is>
          <t>카페24</t>
        </is>
      </c>
      <c r="G2578" s="39" t="inlineStr">
        <is>
          <t>유즈 스테이포에버 솔리드퍼퓸 002 (10차 재입고 완료제품선택=best</t>
        </is>
      </c>
      <c r="H2578" s="39" t="n">
        <v>1</v>
      </c>
      <c r="I2578" s="36">
        <f>VLOOKUP(G2578,매칭테이블!D:E,2,0)</f>
        <v/>
      </c>
      <c r="J2578" s="39" t="n">
        <v>201210</v>
      </c>
      <c r="L2578" s="36">
        <f>VLOOKUP($P2578,매칭테이블!$G:$J,2,0)*H2578</f>
        <v/>
      </c>
      <c r="M2578" s="36">
        <f>L2578-L2578*VLOOKUP($P2578,매칭테이블!$G:$J,3,0)</f>
        <v/>
      </c>
      <c r="N2578" s="36">
        <f>VLOOKUP($P2578,매칭테이블!$G:$J,4,0)*H2578</f>
        <v/>
      </c>
      <c r="O2578" s="52">
        <f>L2578/1.1</f>
        <v/>
      </c>
      <c r="P2578" s="36">
        <f>F2578&amp;E2578&amp;G2578&amp;J2578</f>
        <v/>
      </c>
    </row>
    <row r="2579">
      <c r="B2579" s="51" t="n">
        <v>44194</v>
      </c>
      <c r="C2579" s="36">
        <f>TEXT(B2579,"aaa")</f>
        <v/>
      </c>
      <c r="E2579" s="36">
        <f>INDEX(매칭테이블!C:C,MATCH(RD!G2579,매칭테이블!D:D,0))</f>
        <v/>
      </c>
      <c r="F2579" s="39" t="inlineStr">
        <is>
          <t>카페24</t>
        </is>
      </c>
      <c r="G2579" s="39" t="inlineStr">
        <is>
          <t>유즈 스테이포에버 솔리드퍼퓸 002 (10차 재입고 완료제품선택=커플추천</t>
        </is>
      </c>
      <c r="H2579" s="39" t="n">
        <v>1</v>
      </c>
      <c r="I2579" s="36">
        <f>VLOOKUP(G2579,매칭테이블!D:E,2,0)</f>
        <v/>
      </c>
      <c r="J2579" s="39" t="n">
        <v>201210</v>
      </c>
      <c r="L2579" s="36">
        <f>VLOOKUP($P2579,매칭테이블!$G:$J,2,0)*H2579</f>
        <v/>
      </c>
      <c r="M2579" s="36">
        <f>L2579-L2579*VLOOKUP($P2579,매칭테이블!$G:$J,3,0)</f>
        <v/>
      </c>
      <c r="N2579" s="36">
        <f>VLOOKUP($P2579,매칭테이블!$G:$J,4,0)*H2579</f>
        <v/>
      </c>
      <c r="O2579" s="52">
        <f>L2579/1.1</f>
        <v/>
      </c>
      <c r="P2579" s="36">
        <f>F2579&amp;E2579&amp;G2579&amp;J2579</f>
        <v/>
      </c>
    </row>
    <row r="2580">
      <c r="B2580" s="51" t="n">
        <v>44194</v>
      </c>
      <c r="C2580" s="36">
        <f>TEXT(B2580,"aaa")</f>
        <v/>
      </c>
      <c r="E2580" s="36">
        <f>INDEX(매칭테이블!C:C,MATCH(RD!G2580,매칭테이블!D:D,0))</f>
        <v/>
      </c>
      <c r="F2580" s="39" t="inlineStr">
        <is>
          <t>카페24</t>
        </is>
      </c>
      <c r="G2580" s="39" t="inlineStr">
        <is>
          <t>유즈 스테이포에버 솔리드퍼퓸 002 (10차 재입고 완료)제품선택=스테이포에버 1개</t>
        </is>
      </c>
      <c r="H2580" s="39" t="n">
        <v>281</v>
      </c>
      <c r="I2580" s="36">
        <f>VLOOKUP(G2580,매칭테이블!D:E,2,0)</f>
        <v/>
      </c>
      <c r="J2580" s="39" t="n">
        <v>201210</v>
      </c>
      <c r="L2580" s="36">
        <f>VLOOKUP($P2580,매칭테이블!$G:$J,2,0)*H2580</f>
        <v/>
      </c>
      <c r="M2580" s="36">
        <f>L2580-L2580*VLOOKUP($P2580,매칭테이블!$G:$J,3,0)</f>
        <v/>
      </c>
      <c r="N2580" s="36">
        <f>VLOOKUP($P2580,매칭테이블!$G:$J,4,0)*H2580</f>
        <v/>
      </c>
      <c r="O2580" s="52">
        <f>L2580/1.1</f>
        <v/>
      </c>
      <c r="P2580" s="36">
        <f>F2580&amp;E2580&amp;G2580&amp;J2580</f>
        <v/>
      </c>
    </row>
    <row r="2581">
      <c r="B2581" s="51" t="n">
        <v>44194</v>
      </c>
      <c r="C2581" s="36">
        <f>TEXT(B2581,"aaa")</f>
        <v/>
      </c>
      <c r="E2581" s="36">
        <f>INDEX(매칭테이블!C:C,MATCH(RD!G2581,매칭테이블!D:D,0))</f>
        <v/>
      </c>
      <c r="F2581" s="39" t="inlineStr">
        <is>
          <t>카페24</t>
        </is>
      </c>
      <c r="G2581" s="39" t="inlineStr">
        <is>
          <t>유즈 스테이포에버 솔리드퍼퓸 002 (10차 재입고 완료)제품선택=best</t>
        </is>
      </c>
      <c r="H2581" s="39" t="n">
        <v>46</v>
      </c>
      <c r="I2581" s="36">
        <f>VLOOKUP(G2581,매칭테이블!D:E,2,0)</f>
        <v/>
      </c>
      <c r="J2581" s="39" t="n">
        <v>201210</v>
      </c>
      <c r="L2581" s="36">
        <f>VLOOKUP($P2581,매칭테이블!$G:$J,2,0)*H2581</f>
        <v/>
      </c>
      <c r="M2581" s="36">
        <f>L2581-L2581*VLOOKUP($P2581,매칭테이블!$G:$J,3,0)</f>
        <v/>
      </c>
      <c r="N2581" s="36">
        <f>VLOOKUP($P2581,매칭테이블!$G:$J,4,0)*H2581</f>
        <v/>
      </c>
      <c r="O2581" s="52">
        <f>L2581/1.1</f>
        <v/>
      </c>
      <c r="P2581" s="36">
        <f>F2581&amp;E2581&amp;G2581&amp;J2581</f>
        <v/>
      </c>
    </row>
    <row r="2582">
      <c r="B2582" s="51" t="n">
        <v>44194</v>
      </c>
      <c r="C2582" s="36">
        <f>TEXT(B2582,"aaa")</f>
        <v/>
      </c>
      <c r="E2582" s="36">
        <f>INDEX(매칭테이블!C:C,MATCH(RD!G2582,매칭테이블!D:D,0))</f>
        <v/>
      </c>
      <c r="F2582" s="39" t="inlineStr">
        <is>
          <t>카페24</t>
        </is>
      </c>
      <c r="G2582" s="39" t="inlineStr">
        <is>
          <t>유즈 스테이포에버 솔리드퍼퓸 002 (10차 재입고 완료)제품선택=best스테이포에버 2개[28% 할인]</t>
        </is>
      </c>
      <c r="H2582" s="39" t="n">
        <v>58</v>
      </c>
      <c r="I2582" s="36">
        <f>VLOOKUP(G2582,매칭테이블!D:E,2,0)</f>
        <v/>
      </c>
      <c r="J2582" s="39" t="n">
        <v>201210</v>
      </c>
      <c r="L2582" s="36">
        <f>VLOOKUP($P2582,매칭테이블!$G:$J,2,0)*H2582</f>
        <v/>
      </c>
      <c r="M2582" s="36">
        <f>L2582-L2582*VLOOKUP($P2582,매칭테이블!$G:$J,3,0)</f>
        <v/>
      </c>
      <c r="N2582" s="36">
        <f>VLOOKUP($P2582,매칭테이블!$G:$J,4,0)*H2582</f>
        <v/>
      </c>
      <c r="O2582" s="52">
        <f>L2582/1.1</f>
        <v/>
      </c>
      <c r="P2582" s="36">
        <f>F2582&amp;E2582&amp;G2582&amp;J2582</f>
        <v/>
      </c>
    </row>
    <row r="2583">
      <c r="B2583" s="51" t="n">
        <v>44194</v>
      </c>
      <c r="C2583" s="36">
        <f>TEXT(B2583,"aaa")</f>
        <v/>
      </c>
      <c r="E2583" s="36">
        <f>INDEX(매칭테이블!C:C,MATCH(RD!G2583,매칭테이블!D:D,0))</f>
        <v/>
      </c>
      <c r="F2583" s="39" t="inlineStr">
        <is>
          <t>카페24</t>
        </is>
      </c>
      <c r="G2583" s="39" t="inlineStr">
        <is>
          <t>유즈 스테이포에버 솔리드퍼퓸 002 (10차 재입고 완료)제품선택=커플추천</t>
        </is>
      </c>
      <c r="H2583" s="39" t="n">
        <v>9</v>
      </c>
      <c r="I2583" s="36">
        <f>VLOOKUP(G2583,매칭테이블!D:E,2,0)</f>
        <v/>
      </c>
      <c r="J2583" s="39" t="n">
        <v>201210</v>
      </c>
      <c r="L2583" s="36">
        <f>VLOOKUP($P2583,매칭테이블!$G:$J,2,0)*H2583</f>
        <v/>
      </c>
      <c r="M2583" s="36">
        <f>L2583-L2583*VLOOKUP($P2583,매칭테이블!$G:$J,3,0)</f>
        <v/>
      </c>
      <c r="N2583" s="36">
        <f>VLOOKUP($P2583,매칭테이블!$G:$J,4,0)*H2583</f>
        <v/>
      </c>
      <c r="O2583" s="52">
        <f>L2583/1.1</f>
        <v/>
      </c>
      <c r="P2583" s="36">
        <f>F2583&amp;E2583&amp;G2583&amp;J2583</f>
        <v/>
      </c>
    </row>
    <row r="2584">
      <c r="B2584" s="51" t="n">
        <v>44194</v>
      </c>
      <c r="C2584" s="36">
        <f>TEXT(B2584,"aaa")</f>
        <v/>
      </c>
      <c r="E2584" s="36">
        <f>INDEX(매칭테이블!C:C,MATCH(RD!G2584,매칭테이블!D:D,0))</f>
        <v/>
      </c>
      <c r="F2584" s="39" t="inlineStr">
        <is>
          <t>카페24</t>
        </is>
      </c>
      <c r="G2584" s="39" t="inlineStr">
        <is>
          <t>유즈 스테이포에버 솔리드퍼퓸 002 (10차 재입고 완료)제품선택=커플추천스테이포에버 + 이그나이트 세트</t>
        </is>
      </c>
      <c r="H2584" s="39" t="n">
        <v>9</v>
      </c>
      <c r="I2584" s="36">
        <f>VLOOKUP(G2584,매칭테이블!D:E,2,0)</f>
        <v/>
      </c>
      <c r="J2584" s="39" t="n">
        <v>201210</v>
      </c>
      <c r="L2584" s="36">
        <f>VLOOKUP($P2584,매칭테이블!$G:$J,2,0)*H2584</f>
        <v/>
      </c>
      <c r="M2584" s="36">
        <f>L2584-L2584*VLOOKUP($P2584,매칭테이블!$G:$J,3,0)</f>
        <v/>
      </c>
      <c r="N2584" s="36">
        <f>VLOOKUP($P2584,매칭테이블!$G:$J,4,0)*H2584</f>
        <v/>
      </c>
      <c r="O2584" s="52">
        <f>L2584/1.1</f>
        <v/>
      </c>
      <c r="P2584" s="36">
        <f>F2584&amp;E2584&amp;G2584&amp;J2584</f>
        <v/>
      </c>
    </row>
    <row r="2585">
      <c r="B2585" s="51" t="n">
        <v>44194</v>
      </c>
      <c r="C2585" s="36">
        <f>TEXT(B2585,"aaa")</f>
        <v/>
      </c>
      <c r="E2585" s="36">
        <f>INDEX(매칭테이블!C:C,MATCH(RD!G2585,매칭테이블!D:D,0))</f>
        <v/>
      </c>
      <c r="F2585" s="39" t="inlineStr">
        <is>
          <t>카페24</t>
        </is>
      </c>
      <c r="G2585" s="39" t="inlineStr">
        <is>
          <t>유즈 스테이포에버 솔리드퍼퓸 002 (10차 재입고 완료)쇼핑백=선물용 쇼핑백</t>
        </is>
      </c>
      <c r="H2585" s="39" t="n">
        <v>13</v>
      </c>
      <c r="I2585" s="36">
        <f>VLOOKUP(G2585,매칭테이블!D:E,2,0)</f>
        <v/>
      </c>
      <c r="J2585" s="39" t="n">
        <v>201210</v>
      </c>
      <c r="L2585" s="36">
        <f>VLOOKUP($P2585,매칭테이블!$G:$J,2,0)*H2585</f>
        <v/>
      </c>
      <c r="M2585" s="36">
        <f>L2585-L2585*VLOOKUP($P2585,매칭테이블!$G:$J,3,0)</f>
        <v/>
      </c>
      <c r="N2585" s="36">
        <f>VLOOKUP($P2585,매칭테이블!$G:$J,4,0)*H2585</f>
        <v/>
      </c>
      <c r="O2585" s="52">
        <f>L2585/1.1</f>
        <v/>
      </c>
      <c r="P2585" s="36">
        <f>F2585&amp;E2585&amp;G2585&amp;J2585</f>
        <v/>
      </c>
    </row>
    <row r="2586">
      <c r="B2586" s="51" t="n">
        <v>44194</v>
      </c>
      <c r="C2586" s="36">
        <f>TEXT(B2586,"aaa")</f>
        <v/>
      </c>
      <c r="E2586" s="36">
        <f>INDEX(매칭테이블!C:C,MATCH(RD!G2586,매칭테이블!D:D,0))</f>
        <v/>
      </c>
      <c r="F2586" s="39" t="inlineStr">
        <is>
          <t>카페24</t>
        </is>
      </c>
      <c r="G2586" s="39" t="inlineStr">
        <is>
          <t>유즈 이그나이트 솔리드퍼퓸 001제품선택=이그나이트 솔리드퍼퓸 - 30ml</t>
        </is>
      </c>
      <c r="H2586" s="39" t="n">
        <v>4</v>
      </c>
      <c r="I2586" s="36">
        <f>VLOOKUP(G2586,매칭테이블!D:E,2,0)</f>
        <v/>
      </c>
      <c r="J2586" s="39" t="n">
        <v>201210</v>
      </c>
      <c r="L2586" s="36">
        <f>VLOOKUP($P2586,매칭테이블!$G:$J,2,0)*H2586</f>
        <v/>
      </c>
      <c r="M2586" s="36">
        <f>L2586-L2586*VLOOKUP($P2586,매칭테이블!$G:$J,3,0)</f>
        <v/>
      </c>
      <c r="N2586" s="36">
        <f>VLOOKUP($P2586,매칭테이블!$G:$J,4,0)*H2586</f>
        <v/>
      </c>
      <c r="O2586" s="52">
        <f>L2586/1.1</f>
        <v/>
      </c>
      <c r="P2586" s="36">
        <f>F2586&amp;E2586&amp;G2586&amp;J2586</f>
        <v/>
      </c>
    </row>
    <row r="2587">
      <c r="B2587" s="51" t="n">
        <v>44194</v>
      </c>
      <c r="C2587" s="36">
        <f>TEXT(B2587,"aaa")</f>
        <v/>
      </c>
      <c r="E2587" s="36">
        <f>INDEX(매칭테이블!C:C,MATCH(RD!G2587,매칭테이블!D:D,0))</f>
        <v/>
      </c>
      <c r="F2587" s="39" t="inlineStr">
        <is>
          <t>카페24</t>
        </is>
      </c>
      <c r="G2587" s="39" t="inlineStr">
        <is>
          <t>유즈 이그나이트 솔리드퍼퓸 001제품선택=이그나이트 2개 세트</t>
        </is>
      </c>
      <c r="H2587" s="39" t="n">
        <v>4</v>
      </c>
      <c r="I2587" s="36">
        <f>VLOOKUP(G2587,매칭테이블!D:E,2,0)</f>
        <v/>
      </c>
      <c r="J2587" s="39" t="n">
        <v>201210</v>
      </c>
      <c r="L2587" s="36">
        <f>VLOOKUP($P2587,매칭테이블!$G:$J,2,0)*H2587</f>
        <v/>
      </c>
      <c r="M2587" s="36">
        <f>L2587-L2587*VLOOKUP($P2587,매칭테이블!$G:$J,3,0)</f>
        <v/>
      </c>
      <c r="N2587" s="36">
        <f>VLOOKUP($P2587,매칭테이블!$G:$J,4,0)*H2587</f>
        <v/>
      </c>
      <c r="O2587" s="52">
        <f>L2587/1.1</f>
        <v/>
      </c>
      <c r="P2587" s="36">
        <f>F2587&amp;E2587&amp;G2587&amp;J2587</f>
        <v/>
      </c>
    </row>
    <row r="2588">
      <c r="B2588" s="51" t="n">
        <v>44195</v>
      </c>
      <c r="C2588" s="36">
        <f>TEXT(B2588,"aaa")</f>
        <v/>
      </c>
      <c r="E2588" s="36">
        <f>INDEX(매칭테이블!C:C,MATCH(RD!G2588,매칭테이블!D:D,0))</f>
        <v/>
      </c>
      <c r="F2588" s="39" t="inlineStr">
        <is>
          <t>카페24</t>
        </is>
      </c>
      <c r="G2588" s="39" t="inlineStr">
        <is>
          <t>SHOPPING BAG</t>
        </is>
      </c>
      <c r="H2588" s="39" t="n">
        <v>1</v>
      </c>
      <c r="I2588" s="36">
        <f>VLOOKUP(G2588,매칭테이블!D:E,2,0)</f>
        <v/>
      </c>
      <c r="J2588" s="39" t="n">
        <v>201210</v>
      </c>
      <c r="L2588" s="36">
        <f>VLOOKUP($P2588,매칭테이블!$G:$J,2,0)*H2588</f>
        <v/>
      </c>
      <c r="M2588" s="36">
        <f>L2588-L2588*VLOOKUP($P2588,매칭테이블!$G:$J,3,0)</f>
        <v/>
      </c>
      <c r="N2588" s="36">
        <f>VLOOKUP($P2588,매칭테이블!$G:$J,4,0)*H2588</f>
        <v/>
      </c>
      <c r="O2588" s="52">
        <f>L2588/1.1</f>
        <v/>
      </c>
      <c r="P2588" s="36">
        <f>F2588&amp;E2588&amp;G2588&amp;J2588</f>
        <v/>
      </c>
    </row>
    <row r="2589">
      <c r="B2589" s="51" t="n">
        <v>44195</v>
      </c>
      <c r="C2589" s="36">
        <f>TEXT(B2589,"aaa")</f>
        <v/>
      </c>
      <c r="E2589" s="36">
        <f>INDEX(매칭테이블!C:C,MATCH(RD!G2589,매칭테이블!D:D,0))</f>
        <v/>
      </c>
      <c r="F2589" s="39" t="inlineStr">
        <is>
          <t>카페24</t>
        </is>
      </c>
      <c r="G2589" s="39" t="inlineStr">
        <is>
          <t>솔리드퍼퓸 스테이포에버 002 30ml</t>
        </is>
      </c>
      <c r="H2589" s="39" t="n">
        <v>1</v>
      </c>
      <c r="I2589" s="36">
        <f>VLOOKUP(G2589,매칭테이블!D:E,2,0)</f>
        <v/>
      </c>
      <c r="J2589" s="39" t="n">
        <v>201210</v>
      </c>
      <c r="L2589" s="36">
        <f>VLOOKUP($P2589,매칭테이블!$G:$J,2,0)*H2589</f>
        <v/>
      </c>
      <c r="M2589" s="36">
        <f>L2589-L2589*VLOOKUP($P2589,매칭테이블!$G:$J,3,0)</f>
        <v/>
      </c>
      <c r="N2589" s="36">
        <f>VLOOKUP($P2589,매칭테이블!$G:$J,4,0)*H2589</f>
        <v/>
      </c>
      <c r="O2589" s="52">
        <f>L2589/1.1</f>
        <v/>
      </c>
      <c r="P2589" s="36">
        <f>F2589&amp;E2589&amp;G2589&amp;J2589</f>
        <v/>
      </c>
    </row>
    <row r="2590">
      <c r="B2590" s="51" t="n">
        <v>44195</v>
      </c>
      <c r="C2590" s="36">
        <f>TEXT(B2590,"aaa")</f>
        <v/>
      </c>
      <c r="E2590" s="36">
        <f>INDEX(매칭테이블!C:C,MATCH(RD!G2590,매칭테이블!D:D,0))</f>
        <v/>
      </c>
      <c r="F2590" s="39" t="inlineStr">
        <is>
          <t>카페24</t>
        </is>
      </c>
      <c r="G2590" s="39" t="inlineStr">
        <is>
          <t>유즈 솔리드퍼퓸 - 30ml (10차 재입고 완료)향=이그나이트 001 SOLID PERFUME, 세트 선택=1개</t>
        </is>
      </c>
      <c r="H2590" s="39" t="n">
        <v>1</v>
      </c>
      <c r="I2590" s="36">
        <f>VLOOKUP(G2590,매칭테이블!D:E,2,0)</f>
        <v/>
      </c>
      <c r="J2590" s="39" t="n">
        <v>201210</v>
      </c>
      <c r="L2590" s="36">
        <f>VLOOKUP($P2590,매칭테이블!$G:$J,2,0)*H2590</f>
        <v/>
      </c>
      <c r="M2590" s="36">
        <f>L2590-L2590*VLOOKUP($P2590,매칭테이블!$G:$J,3,0)</f>
        <v/>
      </c>
      <c r="N2590" s="36">
        <f>VLOOKUP($P2590,매칭테이블!$G:$J,4,0)*H2590</f>
        <v/>
      </c>
      <c r="O2590" s="52">
        <f>L2590/1.1</f>
        <v/>
      </c>
      <c r="P2590" s="36">
        <f>F2590&amp;E2590&amp;G2590&amp;J2590</f>
        <v/>
      </c>
    </row>
    <row r="2591">
      <c r="B2591" s="51" t="n">
        <v>44195</v>
      </c>
      <c r="C2591" s="36">
        <f>TEXT(B2591,"aaa")</f>
        <v/>
      </c>
      <c r="E2591" s="36">
        <f>INDEX(매칭테이블!C:C,MATCH(RD!G2591,매칭테이블!D:D,0))</f>
        <v/>
      </c>
      <c r="F2591" s="39" t="inlineStr">
        <is>
          <t>카페24</t>
        </is>
      </c>
      <c r="G2591" s="39" t="inlineStr">
        <is>
          <t>유즈 솔리드퍼퓸 - 30ml (10차 재입고 완료)향=스테이포에버 002 SOLID PERFUME, 세트 선택=1개</t>
        </is>
      </c>
      <c r="H2591" s="39" t="n">
        <v>11</v>
      </c>
      <c r="I2591" s="36">
        <f>VLOOKUP(G2591,매칭테이블!D:E,2,0)</f>
        <v/>
      </c>
      <c r="J2591" s="39" t="n">
        <v>201210</v>
      </c>
      <c r="L2591" s="36">
        <f>VLOOKUP($P2591,매칭테이블!$G:$J,2,0)*H2591</f>
        <v/>
      </c>
      <c r="M2591" s="36">
        <f>L2591-L2591*VLOOKUP($P2591,매칭테이블!$G:$J,3,0)</f>
        <v/>
      </c>
      <c r="N2591" s="36">
        <f>VLOOKUP($P2591,매칭테이블!$G:$J,4,0)*H2591</f>
        <v/>
      </c>
      <c r="O2591" s="52">
        <f>L2591/1.1</f>
        <v/>
      </c>
      <c r="P2591" s="36">
        <f>F2591&amp;E2591&amp;G2591&amp;J2591</f>
        <v/>
      </c>
    </row>
    <row r="2592">
      <c r="B2592" s="51" t="n">
        <v>44195</v>
      </c>
      <c r="C2592" s="36">
        <f>TEXT(B2592,"aaa")</f>
        <v/>
      </c>
      <c r="E2592" s="36">
        <f>INDEX(매칭테이블!C:C,MATCH(RD!G2592,매칭테이블!D:D,0))</f>
        <v/>
      </c>
      <c r="F2592" s="39" t="inlineStr">
        <is>
          <t>카페24</t>
        </is>
      </c>
      <c r="G2592" s="39" t="inlineStr">
        <is>
          <t>유즈 솔리드퍼퓸 - 30ml (10차 재입고 완료)향=스테이포에버 002 SOLID PERFUME, 세트 선택=best</t>
        </is>
      </c>
      <c r="H2592" s="39" t="n">
        <v>1</v>
      </c>
      <c r="I2592" s="36">
        <f>VLOOKUP(G2592,매칭테이블!D:E,2,0)</f>
        <v/>
      </c>
      <c r="J2592" s="39" t="n">
        <v>201210</v>
      </c>
      <c r="L2592" s="36">
        <f>VLOOKUP($P2592,매칭테이블!$G:$J,2,0)*H2592</f>
        <v/>
      </c>
      <c r="M2592" s="36">
        <f>L2592-L2592*VLOOKUP($P2592,매칭테이블!$G:$J,3,0)</f>
        <v/>
      </c>
      <c r="N2592" s="36">
        <f>VLOOKUP($P2592,매칭테이블!$G:$J,4,0)*H2592</f>
        <v/>
      </c>
      <c r="O2592" s="52">
        <f>L2592/1.1</f>
        <v/>
      </c>
      <c r="P2592" s="36">
        <f>F2592&amp;E2592&amp;G2592&amp;J2592</f>
        <v/>
      </c>
    </row>
    <row r="2593">
      <c r="B2593" s="51" t="n">
        <v>44195</v>
      </c>
      <c r="C2593" s="36">
        <f>TEXT(B2593,"aaa")</f>
        <v/>
      </c>
      <c r="E2593" s="36">
        <f>INDEX(매칭테이블!C:C,MATCH(RD!G2593,매칭테이블!D:D,0))</f>
        <v/>
      </c>
      <c r="F2593" s="39" t="inlineStr">
        <is>
          <t>카페24</t>
        </is>
      </c>
      <c r="G2593" s="39" t="inlineStr">
        <is>
          <t>유즈 솔리드퍼퓸 - 30ml (10차 재입고 완료)향=스테이포에버 002 SOLID PERFUME, 세트 선택=best 2개 (28% 할인)</t>
        </is>
      </c>
      <c r="H2593" s="39" t="n">
        <v>2</v>
      </c>
      <c r="I2593" s="36">
        <f>VLOOKUP(G2593,매칭테이블!D:E,2,0)</f>
        <v/>
      </c>
      <c r="J2593" s="39" t="n">
        <v>201210</v>
      </c>
      <c r="L2593" s="36">
        <f>VLOOKUP($P2593,매칭테이블!$G:$J,2,0)*H2593</f>
        <v/>
      </c>
      <c r="M2593" s="36">
        <f>L2593-L2593*VLOOKUP($P2593,매칭테이블!$G:$J,3,0)</f>
        <v/>
      </c>
      <c r="N2593" s="36">
        <f>VLOOKUP($P2593,매칭테이블!$G:$J,4,0)*H2593</f>
        <v/>
      </c>
      <c r="O2593" s="52">
        <f>L2593/1.1</f>
        <v/>
      </c>
      <c r="P2593" s="36">
        <f>F2593&amp;E2593&amp;G2593&amp;J2593</f>
        <v/>
      </c>
    </row>
    <row r="2594">
      <c r="B2594" s="51" t="n">
        <v>44195</v>
      </c>
      <c r="C2594" s="36">
        <f>TEXT(B2594,"aaa")</f>
        <v/>
      </c>
      <c r="E2594" s="36">
        <f>INDEX(매칭테이블!C:C,MATCH(RD!G2594,매칭테이블!D:D,0))</f>
        <v/>
      </c>
      <c r="F2594" s="39" t="inlineStr">
        <is>
          <t>카페24</t>
        </is>
      </c>
      <c r="G2594" s="39" t="inlineStr">
        <is>
          <t>유즈 솔리드퍼퓸 - 30ml (10차 재입고 완료)향=커플세트</t>
        </is>
      </c>
      <c r="H2594" s="39" t="n">
        <v>4</v>
      </c>
      <c r="I2594" s="36">
        <f>VLOOKUP(G2594,매칭테이블!D:E,2,0)</f>
        <v/>
      </c>
      <c r="J2594" s="39" t="n">
        <v>201210</v>
      </c>
      <c r="L2594" s="36">
        <f>VLOOKUP($P2594,매칭테이블!$G:$J,2,0)*H2594</f>
        <v/>
      </c>
      <c r="M2594" s="36">
        <f>L2594-L2594*VLOOKUP($P2594,매칭테이블!$G:$J,3,0)</f>
        <v/>
      </c>
      <c r="N2594" s="36">
        <f>VLOOKUP($P2594,매칭테이블!$G:$J,4,0)*H2594</f>
        <v/>
      </c>
      <c r="O2594" s="52">
        <f>L2594/1.1</f>
        <v/>
      </c>
      <c r="P2594" s="36">
        <f>F2594&amp;E2594&amp;G2594&amp;J2594</f>
        <v/>
      </c>
    </row>
    <row r="2595">
      <c r="B2595" s="51" t="n">
        <v>44195</v>
      </c>
      <c r="C2595" s="36">
        <f>TEXT(B2595,"aaa")</f>
        <v/>
      </c>
      <c r="E2595" s="36">
        <f>INDEX(매칭테이블!C:C,MATCH(RD!G2595,매칭테이블!D:D,0))</f>
        <v/>
      </c>
      <c r="F2595" s="39" t="inlineStr">
        <is>
          <t>카페24</t>
        </is>
      </c>
      <c r="G2595" s="39" t="inlineStr">
        <is>
          <t>유즈 솔리드퍼퓸 - 30ml (10차 재입고 완료)향=커플세트(이그나이트 + 스테이포에버), 세트 선택=1 SET</t>
        </is>
      </c>
      <c r="H2595" s="39" t="n">
        <v>3</v>
      </c>
      <c r="I2595" s="36">
        <f>VLOOKUP(G2595,매칭테이블!D:E,2,0)</f>
        <v/>
      </c>
      <c r="J2595" s="39" t="n">
        <v>201210</v>
      </c>
      <c r="L2595" s="36">
        <f>VLOOKUP($P2595,매칭테이블!$G:$J,2,0)*H2595</f>
        <v/>
      </c>
      <c r="M2595" s="36">
        <f>L2595-L2595*VLOOKUP($P2595,매칭테이블!$G:$J,3,0)</f>
        <v/>
      </c>
      <c r="N2595" s="36">
        <f>VLOOKUP($P2595,매칭테이블!$G:$J,4,0)*H2595</f>
        <v/>
      </c>
      <c r="O2595" s="52">
        <f>L2595/1.1</f>
        <v/>
      </c>
      <c r="P2595" s="36">
        <f>F2595&amp;E2595&amp;G2595&amp;J2595</f>
        <v/>
      </c>
    </row>
    <row r="2596">
      <c r="B2596" s="51" t="n">
        <v>44195</v>
      </c>
      <c r="C2596" s="36">
        <f>TEXT(B2596,"aaa")</f>
        <v/>
      </c>
      <c r="E2596" s="36">
        <f>INDEX(매칭테이블!C:C,MATCH(RD!G2596,매칭테이블!D:D,0))</f>
        <v/>
      </c>
      <c r="F2596" s="39" t="inlineStr">
        <is>
          <t>카페24</t>
        </is>
      </c>
      <c r="G2596" s="39" t="inlineStr">
        <is>
          <t>유즈 솔리드퍼퓸 - 30ml (10차 재입고 완료)향=커플세트</t>
        </is>
      </c>
      <c r="H2596" s="39" t="n">
        <v>1</v>
      </c>
      <c r="I2596" s="36">
        <f>VLOOKUP(G2596,매칭테이블!D:E,2,0)</f>
        <v/>
      </c>
      <c r="J2596" s="39" t="n">
        <v>201210</v>
      </c>
      <c r="L2596" s="36">
        <f>VLOOKUP($P2596,매칭테이블!$G:$J,2,0)*H2596</f>
        <v/>
      </c>
      <c r="M2596" s="36">
        <f>L2596-L2596*VLOOKUP($P2596,매칭테이블!$G:$J,3,0)</f>
        <v/>
      </c>
      <c r="N2596" s="36">
        <f>VLOOKUP($P2596,매칭테이블!$G:$J,4,0)*H2596</f>
        <v/>
      </c>
      <c r="O2596" s="52">
        <f>L2596/1.1</f>
        <v/>
      </c>
      <c r="P2596" s="36">
        <f>F2596&amp;E2596&amp;G2596&amp;J2596</f>
        <v/>
      </c>
    </row>
    <row r="2597">
      <c r="B2597" s="51" t="n">
        <v>44195</v>
      </c>
      <c r="C2597" s="36">
        <f>TEXT(B2597,"aaa")</f>
        <v/>
      </c>
      <c r="E2597" s="36">
        <f>INDEX(매칭테이블!C:C,MATCH(RD!G2597,매칭테이블!D:D,0))</f>
        <v/>
      </c>
      <c r="F2597" s="39" t="inlineStr">
        <is>
          <t>카페24</t>
        </is>
      </c>
      <c r="G2597" s="39" t="inlineStr">
        <is>
          <t>유즈 솔리드퍼퓸 - 30ml (10차 재입고 완료)향=커플세트(이그나이트 + 스테이포에버), 세트 선택=2 SET (42% 할인)</t>
        </is>
      </c>
      <c r="H2597" s="39" t="n">
        <v>1</v>
      </c>
      <c r="I2597" s="36">
        <f>VLOOKUP(G2597,매칭테이블!D:E,2,0)</f>
        <v/>
      </c>
      <c r="J2597" s="39" t="n">
        <v>201210</v>
      </c>
      <c r="L2597" s="36">
        <f>VLOOKUP($P2597,매칭테이블!$G:$J,2,0)*H2597</f>
        <v/>
      </c>
      <c r="M2597" s="36">
        <f>L2597-L2597*VLOOKUP($P2597,매칭테이블!$G:$J,3,0)</f>
        <v/>
      </c>
      <c r="N2597" s="36">
        <f>VLOOKUP($P2597,매칭테이블!$G:$J,4,0)*H2597</f>
        <v/>
      </c>
      <c r="O2597" s="52">
        <f>L2597/1.1</f>
        <v/>
      </c>
      <c r="P2597" s="36">
        <f>F2597&amp;E2597&amp;G2597&amp;J2597</f>
        <v/>
      </c>
    </row>
    <row r="2598">
      <c r="B2598" s="51" t="n">
        <v>44195</v>
      </c>
      <c r="C2598" s="36">
        <f>TEXT(B2598,"aaa")</f>
        <v/>
      </c>
      <c r="E2598" s="36">
        <f>INDEX(매칭테이블!C:C,MATCH(RD!G2598,매칭테이블!D:D,0))</f>
        <v/>
      </c>
      <c r="F2598" s="39" t="inlineStr">
        <is>
          <t>카페24</t>
        </is>
      </c>
      <c r="G2598" s="39" t="inlineStr">
        <is>
          <t>유즈 스테이포에버 솔리드퍼퓸 002 (10차 재입고 완료)제품선택=스테이포에버 1개</t>
        </is>
      </c>
      <c r="H2598" s="39" t="n">
        <v>305</v>
      </c>
      <c r="I2598" s="36">
        <f>VLOOKUP(G2598,매칭테이블!D:E,2,0)</f>
        <v/>
      </c>
      <c r="J2598" s="39" t="n">
        <v>201210</v>
      </c>
      <c r="L2598" s="36">
        <f>VLOOKUP($P2598,매칭테이블!$G:$J,2,0)*H2598</f>
        <v/>
      </c>
      <c r="M2598" s="36">
        <f>L2598-L2598*VLOOKUP($P2598,매칭테이블!$G:$J,3,0)</f>
        <v/>
      </c>
      <c r="N2598" s="36">
        <f>VLOOKUP($P2598,매칭테이블!$G:$J,4,0)*H2598</f>
        <v/>
      </c>
      <c r="O2598" s="52">
        <f>L2598/1.1</f>
        <v/>
      </c>
      <c r="P2598" s="36">
        <f>F2598&amp;E2598&amp;G2598&amp;J2598</f>
        <v/>
      </c>
    </row>
    <row r="2599">
      <c r="B2599" s="51" t="n">
        <v>44195</v>
      </c>
      <c r="C2599" s="36">
        <f>TEXT(B2599,"aaa")</f>
        <v/>
      </c>
      <c r="E2599" s="36">
        <f>INDEX(매칭테이블!C:C,MATCH(RD!G2599,매칭테이블!D:D,0))</f>
        <v/>
      </c>
      <c r="F2599" s="39" t="inlineStr">
        <is>
          <t>카페24</t>
        </is>
      </c>
      <c r="G2599" s="39" t="inlineStr">
        <is>
          <t>유즈 스테이포에버 솔리드퍼퓸 002 (10차 재입고 완료)제품선택=best</t>
        </is>
      </c>
      <c r="H2599" s="39" t="n">
        <v>42</v>
      </c>
      <c r="I2599" s="36">
        <f>VLOOKUP(G2599,매칭테이블!D:E,2,0)</f>
        <v/>
      </c>
      <c r="J2599" s="39" t="n">
        <v>201210</v>
      </c>
      <c r="L2599" s="36">
        <f>VLOOKUP($P2599,매칭테이블!$G:$J,2,0)*H2599</f>
        <v/>
      </c>
      <c r="M2599" s="36">
        <f>L2599-L2599*VLOOKUP($P2599,매칭테이블!$G:$J,3,0)</f>
        <v/>
      </c>
      <c r="N2599" s="36">
        <f>VLOOKUP($P2599,매칭테이블!$G:$J,4,0)*H2599</f>
        <v/>
      </c>
      <c r="O2599" s="52">
        <f>L2599/1.1</f>
        <v/>
      </c>
      <c r="P2599" s="36">
        <f>F2599&amp;E2599&amp;G2599&amp;J2599</f>
        <v/>
      </c>
    </row>
    <row r="2600">
      <c r="B2600" s="51" t="n">
        <v>44195</v>
      </c>
      <c r="C2600" s="36">
        <f>TEXT(B2600,"aaa")</f>
        <v/>
      </c>
      <c r="E2600" s="36">
        <f>INDEX(매칭테이블!C:C,MATCH(RD!G2600,매칭테이블!D:D,0))</f>
        <v/>
      </c>
      <c r="F2600" s="39" t="inlineStr">
        <is>
          <t>카페24</t>
        </is>
      </c>
      <c r="G2600" s="39" t="inlineStr">
        <is>
          <t>유즈 스테이포에버 솔리드퍼퓸 002 (10차 재입고 완료)제품선택=best스테이포에버 2개[28% 할인]</t>
        </is>
      </c>
      <c r="H2600" s="39" t="n">
        <v>64</v>
      </c>
      <c r="I2600" s="36">
        <f>VLOOKUP(G2600,매칭테이블!D:E,2,0)</f>
        <v/>
      </c>
      <c r="J2600" s="39" t="n">
        <v>201210</v>
      </c>
      <c r="L2600" s="36">
        <f>VLOOKUP($P2600,매칭테이블!$G:$J,2,0)*H2600</f>
        <v/>
      </c>
      <c r="M2600" s="36">
        <f>L2600-L2600*VLOOKUP($P2600,매칭테이블!$G:$J,3,0)</f>
        <v/>
      </c>
      <c r="N2600" s="36">
        <f>VLOOKUP($P2600,매칭테이블!$G:$J,4,0)*H2600</f>
        <v/>
      </c>
      <c r="O2600" s="52">
        <f>L2600/1.1</f>
        <v/>
      </c>
      <c r="P2600" s="36">
        <f>F2600&amp;E2600&amp;G2600&amp;J2600</f>
        <v/>
      </c>
    </row>
    <row r="2601">
      <c r="B2601" s="51" t="n">
        <v>44195</v>
      </c>
      <c r="C2601" s="36">
        <f>TEXT(B2601,"aaa")</f>
        <v/>
      </c>
      <c r="E2601" s="36">
        <f>INDEX(매칭테이블!C:C,MATCH(RD!G2601,매칭테이블!D:D,0))</f>
        <v/>
      </c>
      <c r="F2601" s="39" t="inlineStr">
        <is>
          <t>카페24</t>
        </is>
      </c>
      <c r="G2601" s="39" t="inlineStr">
        <is>
          <t>유즈 스테이포에버 솔리드퍼퓸 002 (10차 재입고 완료)제품선택=커플추천</t>
        </is>
      </c>
      <c r="H2601" s="39" t="n">
        <v>10</v>
      </c>
      <c r="I2601" s="36">
        <f>VLOOKUP(G2601,매칭테이블!D:E,2,0)</f>
        <v/>
      </c>
      <c r="J2601" s="39" t="n">
        <v>201210</v>
      </c>
      <c r="L2601" s="36">
        <f>VLOOKUP($P2601,매칭테이블!$G:$J,2,0)*H2601</f>
        <v/>
      </c>
      <c r="M2601" s="36">
        <f>L2601-L2601*VLOOKUP($P2601,매칭테이블!$G:$J,3,0)</f>
        <v/>
      </c>
      <c r="N2601" s="36">
        <f>VLOOKUP($P2601,매칭테이블!$G:$J,4,0)*H2601</f>
        <v/>
      </c>
      <c r="O2601" s="52">
        <f>L2601/1.1</f>
        <v/>
      </c>
      <c r="P2601" s="36">
        <f>F2601&amp;E2601&amp;G2601&amp;J2601</f>
        <v/>
      </c>
    </row>
    <row r="2602">
      <c r="B2602" s="51" t="n">
        <v>44195</v>
      </c>
      <c r="C2602" s="36">
        <f>TEXT(B2602,"aaa")</f>
        <v/>
      </c>
      <c r="E2602" s="36">
        <f>INDEX(매칭테이블!C:C,MATCH(RD!G2602,매칭테이블!D:D,0))</f>
        <v/>
      </c>
      <c r="F2602" s="39" t="inlineStr">
        <is>
          <t>카페24</t>
        </is>
      </c>
      <c r="G2602" s="39" t="inlineStr">
        <is>
          <t>유즈 스테이포에버 솔리드퍼퓸 002 (10차 재입고 완료)제품선택=커플추천스테이포에버 + 이그나이트 세트</t>
        </is>
      </c>
      <c r="H2602" s="39" t="n">
        <v>13</v>
      </c>
      <c r="I2602" s="36">
        <f>VLOOKUP(G2602,매칭테이블!D:E,2,0)</f>
        <v/>
      </c>
      <c r="J2602" s="39" t="n">
        <v>201210</v>
      </c>
      <c r="L2602" s="36">
        <f>VLOOKUP($P2602,매칭테이블!$G:$J,2,0)*H2602</f>
        <v/>
      </c>
      <c r="M2602" s="36">
        <f>L2602-L2602*VLOOKUP($P2602,매칭테이블!$G:$J,3,0)</f>
        <v/>
      </c>
      <c r="N2602" s="36">
        <f>VLOOKUP($P2602,매칭테이블!$G:$J,4,0)*H2602</f>
        <v/>
      </c>
      <c r="O2602" s="52">
        <f>L2602/1.1</f>
        <v/>
      </c>
      <c r="P2602" s="36">
        <f>F2602&amp;E2602&amp;G2602&amp;J2602</f>
        <v/>
      </c>
    </row>
    <row r="2603">
      <c r="B2603" s="51" t="n">
        <v>44195</v>
      </c>
      <c r="C2603" s="36">
        <f>TEXT(B2603,"aaa")</f>
        <v/>
      </c>
      <c r="E2603" s="36">
        <f>INDEX(매칭테이블!C:C,MATCH(RD!G2603,매칭테이블!D:D,0))</f>
        <v/>
      </c>
      <c r="F2603" s="39" t="inlineStr">
        <is>
          <t>카페24</t>
        </is>
      </c>
      <c r="G2603" s="39" t="inlineStr">
        <is>
          <t>유즈 스테이포에버 솔리드퍼퓸 002 (10차 재입고 완료)쇼핑백=선물용 쇼핑백</t>
        </is>
      </c>
      <c r="H2603" s="39" t="n">
        <v>10</v>
      </c>
      <c r="I2603" s="36">
        <f>VLOOKUP(G2603,매칭테이블!D:E,2,0)</f>
        <v/>
      </c>
      <c r="J2603" s="39" t="n">
        <v>201210</v>
      </c>
      <c r="L2603" s="36">
        <f>VLOOKUP($P2603,매칭테이블!$G:$J,2,0)*H2603</f>
        <v/>
      </c>
      <c r="M2603" s="36">
        <f>L2603-L2603*VLOOKUP($P2603,매칭테이블!$G:$J,3,0)</f>
        <v/>
      </c>
      <c r="N2603" s="36">
        <f>VLOOKUP($P2603,매칭테이블!$G:$J,4,0)*H2603</f>
        <v/>
      </c>
      <c r="O2603" s="52">
        <f>L2603/1.1</f>
        <v/>
      </c>
      <c r="P2603" s="36">
        <f>F2603&amp;E2603&amp;G2603&amp;J2603</f>
        <v/>
      </c>
    </row>
    <row r="2604">
      <c r="B2604" s="51" t="n">
        <v>44195</v>
      </c>
      <c r="C2604" s="36">
        <f>TEXT(B2604,"aaa")</f>
        <v/>
      </c>
      <c r="E2604" s="36">
        <f>INDEX(매칭테이블!C:C,MATCH(RD!G2604,매칭테이블!D:D,0))</f>
        <v/>
      </c>
      <c r="F2604" s="39" t="inlineStr">
        <is>
          <t>카페24</t>
        </is>
      </c>
      <c r="G2604" s="39" t="inlineStr">
        <is>
          <t>유즈 이그나이트 솔리드퍼퓸 001제품선택=이그나이트 솔리드퍼퓸 - 30ml</t>
        </is>
      </c>
      <c r="H2604" s="39" t="n">
        <v>3</v>
      </c>
      <c r="I2604" s="36">
        <f>VLOOKUP(G2604,매칭테이블!D:E,2,0)</f>
        <v/>
      </c>
      <c r="J2604" s="39" t="n">
        <v>201210</v>
      </c>
      <c r="L2604" s="36">
        <f>VLOOKUP($P2604,매칭테이블!$G:$J,2,0)*H2604</f>
        <v/>
      </c>
      <c r="M2604" s="36">
        <f>L2604-L2604*VLOOKUP($P2604,매칭테이블!$G:$J,3,0)</f>
        <v/>
      </c>
      <c r="N2604" s="36">
        <f>VLOOKUP($P2604,매칭테이블!$G:$J,4,0)*H2604</f>
        <v/>
      </c>
      <c r="O2604" s="52">
        <f>L2604/1.1</f>
        <v/>
      </c>
      <c r="P2604" s="36">
        <f>F2604&amp;E2604&amp;G2604&amp;J2604</f>
        <v/>
      </c>
    </row>
    <row r="2605">
      <c r="B2605" s="51" t="n">
        <v>44195</v>
      </c>
      <c r="C2605" s="36">
        <f>TEXT(B2605,"aaa")</f>
        <v/>
      </c>
      <c r="E2605" s="36">
        <f>INDEX(매칭테이블!C:C,MATCH(RD!G2605,매칭테이블!D:D,0))</f>
        <v/>
      </c>
      <c r="F2605" s="39" t="inlineStr">
        <is>
          <t>카페24</t>
        </is>
      </c>
      <c r="G2605" s="39" t="inlineStr">
        <is>
          <t>유즈 이그나이트 솔리드퍼퓸 001제품선택=이그나이트 2개 세트</t>
        </is>
      </c>
      <c r="H2605" s="39" t="n">
        <v>1</v>
      </c>
      <c r="I2605" s="36">
        <f>VLOOKUP(G2605,매칭테이블!D:E,2,0)</f>
        <v/>
      </c>
      <c r="J2605" s="39" t="n">
        <v>201210</v>
      </c>
      <c r="L2605" s="36">
        <f>VLOOKUP($P2605,매칭테이블!$G:$J,2,0)*H2605</f>
        <v/>
      </c>
      <c r="M2605" s="36">
        <f>L2605-L2605*VLOOKUP($P2605,매칭테이블!$G:$J,3,0)</f>
        <v/>
      </c>
      <c r="N2605" s="36">
        <f>VLOOKUP($P2605,매칭테이블!$G:$J,4,0)*H2605</f>
        <v/>
      </c>
      <c r="O2605" s="52">
        <f>L2605/1.1</f>
        <v/>
      </c>
      <c r="P2605" s="36">
        <f>F2605&amp;E2605&amp;G2605&amp;J2605</f>
        <v/>
      </c>
    </row>
    <row r="2606">
      <c r="B2606" s="51" t="n">
        <v>44196</v>
      </c>
      <c r="C2606" s="36">
        <f>TEXT(B2606,"aaa")</f>
        <v/>
      </c>
      <c r="E2606" s="36">
        <f>INDEX(매칭테이블!C:C,MATCH(RD!G2606,매칭테이블!D:D,0))</f>
        <v/>
      </c>
      <c r="F2606" s="39" t="inlineStr">
        <is>
          <t>카페24</t>
        </is>
      </c>
      <c r="G2606" s="39" t="inlineStr">
        <is>
          <t>솔리드퍼퓸 스테이포에버 002 30ml</t>
        </is>
      </c>
      <c r="H2606" s="39" t="n">
        <v>2</v>
      </c>
      <c r="I2606" s="36">
        <f>VLOOKUP(G2606,매칭테이블!D:E,2,0)</f>
        <v/>
      </c>
      <c r="J2606" s="39" t="n">
        <v>201210</v>
      </c>
      <c r="L2606" s="36">
        <f>VLOOKUP($P2606,매칭테이블!$G:$J,2,0)*H2606</f>
        <v/>
      </c>
      <c r="M2606" s="36">
        <f>L2606-L2606*VLOOKUP($P2606,매칭테이블!$G:$J,3,0)</f>
        <v/>
      </c>
      <c r="N2606" s="36">
        <f>VLOOKUP($P2606,매칭테이블!$G:$J,4,0)*H2606</f>
        <v/>
      </c>
      <c r="O2606" s="52">
        <f>L2606/1.1</f>
        <v/>
      </c>
      <c r="P2606" s="36">
        <f>F2606&amp;E2606&amp;G2606&amp;J2606</f>
        <v/>
      </c>
    </row>
    <row r="2607">
      <c r="B2607" s="51" t="n">
        <v>44196</v>
      </c>
      <c r="C2607" s="36">
        <f>TEXT(B2607,"aaa")</f>
        <v/>
      </c>
      <c r="E2607" s="36">
        <f>INDEX(매칭테이블!C:C,MATCH(RD!G2607,매칭테이블!D:D,0))</f>
        <v/>
      </c>
      <c r="F2607" s="39" t="inlineStr">
        <is>
          <t>카페24</t>
        </is>
      </c>
      <c r="G2607" s="39" t="inlineStr">
        <is>
          <t>유즈 솔리드퍼퓸 - 30ml (10차 재입고 완료)향=스테이포에버 002 SOLID PERFUME, 세트 선택=1개</t>
        </is>
      </c>
      <c r="H2607" s="39" t="n">
        <v>3</v>
      </c>
      <c r="I2607" s="36">
        <f>VLOOKUP(G2607,매칭테이블!D:E,2,0)</f>
        <v/>
      </c>
      <c r="J2607" s="39" t="n">
        <v>201210</v>
      </c>
      <c r="L2607" s="36">
        <f>VLOOKUP($P2607,매칭테이블!$G:$J,2,0)*H2607</f>
        <v/>
      </c>
      <c r="M2607" s="36">
        <f>L2607-L2607*VLOOKUP($P2607,매칭테이블!$G:$J,3,0)</f>
        <v/>
      </c>
      <c r="N2607" s="36">
        <f>VLOOKUP($P2607,매칭테이블!$G:$J,4,0)*H2607</f>
        <v/>
      </c>
      <c r="O2607" s="52">
        <f>L2607/1.1</f>
        <v/>
      </c>
      <c r="P2607" s="36">
        <f>F2607&amp;E2607&amp;G2607&amp;J2607</f>
        <v/>
      </c>
    </row>
    <row r="2608">
      <c r="B2608" s="51" t="n">
        <v>44196</v>
      </c>
      <c r="C2608" s="36">
        <f>TEXT(B2608,"aaa")</f>
        <v/>
      </c>
      <c r="E2608" s="36">
        <f>INDEX(매칭테이블!C:C,MATCH(RD!G2608,매칭테이블!D:D,0))</f>
        <v/>
      </c>
      <c r="F2608" s="39" t="inlineStr">
        <is>
          <t>카페24</t>
        </is>
      </c>
      <c r="G2608" s="39" t="inlineStr">
        <is>
          <t>유즈 솔리드퍼퓸 - 30ml (10차 재입고 완료)향=스테이포에버 002 SOLID PERFUME, 세트 선택=best</t>
        </is>
      </c>
      <c r="H2608" s="39" t="n">
        <v>1</v>
      </c>
      <c r="I2608" s="36">
        <f>VLOOKUP(G2608,매칭테이블!D:E,2,0)</f>
        <v/>
      </c>
      <c r="J2608" s="39" t="n">
        <v>201210</v>
      </c>
      <c r="L2608" s="36">
        <f>VLOOKUP($P2608,매칭테이블!$G:$J,2,0)*H2608</f>
        <v/>
      </c>
      <c r="M2608" s="36">
        <f>L2608-L2608*VLOOKUP($P2608,매칭테이블!$G:$J,3,0)</f>
        <v/>
      </c>
      <c r="N2608" s="36">
        <f>VLOOKUP($P2608,매칭테이블!$G:$J,4,0)*H2608</f>
        <v/>
      </c>
      <c r="O2608" s="52">
        <f>L2608/1.1</f>
        <v/>
      </c>
      <c r="P2608" s="36">
        <f>F2608&amp;E2608&amp;G2608&amp;J2608</f>
        <v/>
      </c>
    </row>
    <row r="2609">
      <c r="B2609" s="51" t="n">
        <v>44196</v>
      </c>
      <c r="C2609" s="36">
        <f>TEXT(B2609,"aaa")</f>
        <v/>
      </c>
      <c r="E2609" s="36">
        <f>INDEX(매칭테이블!C:C,MATCH(RD!G2609,매칭테이블!D:D,0))</f>
        <v/>
      </c>
      <c r="F2609" s="39" t="inlineStr">
        <is>
          <t>카페24</t>
        </is>
      </c>
      <c r="G2609" s="39" t="inlineStr">
        <is>
          <t>유즈 솔리드퍼퓸 - 30ml (10차 재입고 완료)향=스테이포에버 002 SOLID PERFUME, 세트 선택=best 2개 (28% 할인)</t>
        </is>
      </c>
      <c r="H2609" s="39" t="n">
        <v>1</v>
      </c>
      <c r="I2609" s="36">
        <f>VLOOKUP(G2609,매칭테이블!D:E,2,0)</f>
        <v/>
      </c>
      <c r="J2609" s="39" t="n">
        <v>201210</v>
      </c>
      <c r="L2609" s="36">
        <f>VLOOKUP($P2609,매칭테이블!$G:$J,2,0)*H2609</f>
        <v/>
      </c>
      <c r="M2609" s="36">
        <f>L2609-L2609*VLOOKUP($P2609,매칭테이블!$G:$J,3,0)</f>
        <v/>
      </c>
      <c r="N2609" s="36">
        <f>VLOOKUP($P2609,매칭테이블!$G:$J,4,0)*H2609</f>
        <v/>
      </c>
      <c r="O2609" s="52">
        <f>L2609/1.1</f>
        <v/>
      </c>
      <c r="P2609" s="36">
        <f>F2609&amp;E2609&amp;G2609&amp;J2609</f>
        <v/>
      </c>
    </row>
    <row r="2610">
      <c r="B2610" s="51" t="n">
        <v>44196</v>
      </c>
      <c r="C2610" s="36">
        <f>TEXT(B2610,"aaa")</f>
        <v/>
      </c>
      <c r="E2610" s="36">
        <f>INDEX(매칭테이블!C:C,MATCH(RD!G2610,매칭테이블!D:D,0))</f>
        <v/>
      </c>
      <c r="F2610" s="39" t="inlineStr">
        <is>
          <t>카페24</t>
        </is>
      </c>
      <c r="G2610" s="39" t="inlineStr">
        <is>
          <t>유즈 솔리드퍼퓸 - 30ml (10차 재입고 완료)향=커플세트(이그나이트 + 스테이포에버), 세트 선택=1 SET</t>
        </is>
      </c>
      <c r="H2610" s="39" t="n">
        <v>5</v>
      </c>
      <c r="I2610" s="36">
        <f>VLOOKUP(G2610,매칭테이블!D:E,2,0)</f>
        <v/>
      </c>
      <c r="J2610" s="39" t="n">
        <v>201210</v>
      </c>
      <c r="L2610" s="36">
        <f>VLOOKUP($P2610,매칭테이블!$G:$J,2,0)*H2610</f>
        <v/>
      </c>
      <c r="M2610" s="36">
        <f>L2610-L2610*VLOOKUP($P2610,매칭테이블!$G:$J,3,0)</f>
        <v/>
      </c>
      <c r="N2610" s="36">
        <f>VLOOKUP($P2610,매칭테이블!$G:$J,4,0)*H2610</f>
        <v/>
      </c>
      <c r="O2610" s="52">
        <f>L2610/1.1</f>
        <v/>
      </c>
      <c r="P2610" s="36">
        <f>F2610&amp;E2610&amp;G2610&amp;J2610</f>
        <v/>
      </c>
    </row>
    <row r="2611">
      <c r="B2611" s="51" t="n">
        <v>44196</v>
      </c>
      <c r="C2611" s="36">
        <f>TEXT(B2611,"aaa")</f>
        <v/>
      </c>
      <c r="E2611" s="36">
        <f>INDEX(매칭테이블!C:C,MATCH(RD!G2611,매칭테이블!D:D,0))</f>
        <v/>
      </c>
      <c r="F2611" s="39" t="inlineStr">
        <is>
          <t>카페24</t>
        </is>
      </c>
      <c r="G2611" s="39" t="inlineStr">
        <is>
          <t>유즈 솔리드퍼퓸 - 30ml (10차 재입고 완료)향=커플세트</t>
        </is>
      </c>
      <c r="H2611" s="39" t="n">
        <v>1</v>
      </c>
      <c r="I2611" s="36">
        <f>VLOOKUP(G2611,매칭테이블!D:E,2,0)</f>
        <v/>
      </c>
      <c r="J2611" s="39" t="n">
        <v>201210</v>
      </c>
      <c r="L2611" s="36">
        <f>VLOOKUP($P2611,매칭테이블!$G:$J,2,0)*H2611</f>
        <v/>
      </c>
      <c r="M2611" s="36">
        <f>L2611-L2611*VLOOKUP($P2611,매칭테이블!$G:$J,3,0)</f>
        <v/>
      </c>
      <c r="N2611" s="36">
        <f>VLOOKUP($P2611,매칭테이블!$G:$J,4,0)*H2611</f>
        <v/>
      </c>
      <c r="O2611" s="52">
        <f>L2611/1.1</f>
        <v/>
      </c>
      <c r="P2611" s="36">
        <f>F2611&amp;E2611&amp;G2611&amp;J2611</f>
        <v/>
      </c>
    </row>
    <row r="2612">
      <c r="B2612" s="51" t="n">
        <v>44196</v>
      </c>
      <c r="C2612" s="36">
        <f>TEXT(B2612,"aaa")</f>
        <v/>
      </c>
      <c r="E2612" s="36">
        <f>INDEX(매칭테이블!C:C,MATCH(RD!G2612,매칭테이블!D:D,0))</f>
        <v/>
      </c>
      <c r="F2612" s="39" t="inlineStr">
        <is>
          <t>카페24</t>
        </is>
      </c>
      <c r="G2612" s="39" t="inlineStr">
        <is>
          <t>유즈 솔리드퍼퓸 - 30ml (11차 예약구매 진행중)향=스테이포에버 002 SOLID PERFUME, 세트 선택=1개</t>
        </is>
      </c>
      <c r="H2612" s="39" t="n">
        <v>2</v>
      </c>
      <c r="I2612" s="36">
        <f>VLOOKUP(G2612,매칭테이블!D:E,2,0)</f>
        <v/>
      </c>
      <c r="J2612" s="39" t="n">
        <v>201210</v>
      </c>
      <c r="L2612" s="36">
        <f>VLOOKUP($P2612,매칭테이블!$G:$J,2,0)*H2612</f>
        <v/>
      </c>
      <c r="M2612" s="36">
        <f>L2612-L2612*VLOOKUP($P2612,매칭테이블!$G:$J,3,0)</f>
        <v/>
      </c>
      <c r="N2612" s="36">
        <f>VLOOKUP($P2612,매칭테이블!$G:$J,4,0)*H2612</f>
        <v/>
      </c>
      <c r="O2612" s="52">
        <f>L2612/1.1</f>
        <v/>
      </c>
      <c r="P2612" s="36">
        <f>F2612&amp;E2612&amp;G2612&amp;J2612</f>
        <v/>
      </c>
    </row>
    <row r="2613">
      <c r="B2613" s="51" t="n">
        <v>44196</v>
      </c>
      <c r="C2613" s="36">
        <f>TEXT(B2613,"aaa")</f>
        <v/>
      </c>
      <c r="E2613" s="36">
        <f>INDEX(매칭테이블!C:C,MATCH(RD!G2613,매칭테이블!D:D,0))</f>
        <v/>
      </c>
      <c r="F2613" s="39" t="inlineStr">
        <is>
          <t>카페24</t>
        </is>
      </c>
      <c r="G2613" s="39" t="inlineStr">
        <is>
          <t>유즈 솔리드퍼퓸 - 30ml (11차 예약구매 진행중)향=스테이포에버 002 SOLID PERFUME, 세트 선택=best 2개 (28% 할인)</t>
        </is>
      </c>
      <c r="H2613" s="39" t="n">
        <v>1</v>
      </c>
      <c r="I2613" s="36">
        <f>VLOOKUP(G2613,매칭테이블!D:E,2,0)</f>
        <v/>
      </c>
      <c r="J2613" s="39" t="n">
        <v>201210</v>
      </c>
      <c r="L2613" s="36">
        <f>VLOOKUP($P2613,매칭테이블!$G:$J,2,0)*H2613</f>
        <v/>
      </c>
      <c r="M2613" s="36">
        <f>L2613-L2613*VLOOKUP($P2613,매칭테이블!$G:$J,3,0)</f>
        <v/>
      </c>
      <c r="N2613" s="36">
        <f>VLOOKUP($P2613,매칭테이블!$G:$J,4,0)*H2613</f>
        <v/>
      </c>
      <c r="O2613" s="52">
        <f>L2613/1.1</f>
        <v/>
      </c>
      <c r="P2613" s="36">
        <f>F2613&amp;E2613&amp;G2613&amp;J2613</f>
        <v/>
      </c>
    </row>
    <row r="2614">
      <c r="B2614" s="51" t="n">
        <v>44196</v>
      </c>
      <c r="C2614" s="36">
        <f>TEXT(B2614,"aaa")</f>
        <v/>
      </c>
      <c r="E2614" s="36">
        <f>INDEX(매칭테이블!C:C,MATCH(RD!G2614,매칭테이블!D:D,0))</f>
        <v/>
      </c>
      <c r="F2614" s="39" t="inlineStr">
        <is>
          <t>카페24</t>
        </is>
      </c>
      <c r="G2614" s="39" t="inlineStr">
        <is>
          <t>유즈 스테이포에버 솔리드퍼퓸 002 (10차 재입고 완료제품선택=스테이포에버 1개</t>
        </is>
      </c>
      <c r="H2614" s="39" t="n">
        <v>2</v>
      </c>
      <c r="I2614" s="36">
        <f>VLOOKUP(G2614,매칭테이블!D:E,2,0)</f>
        <v/>
      </c>
      <c r="J2614" s="39" t="n">
        <v>201210</v>
      </c>
      <c r="L2614" s="36">
        <f>VLOOKUP($P2614,매칭테이블!$G:$J,2,0)*H2614</f>
        <v/>
      </c>
      <c r="M2614" s="36">
        <f>L2614-L2614*VLOOKUP($P2614,매칭테이블!$G:$J,3,0)</f>
        <v/>
      </c>
      <c r="N2614" s="36">
        <f>VLOOKUP($P2614,매칭테이블!$G:$J,4,0)*H2614</f>
        <v/>
      </c>
      <c r="O2614" s="52">
        <f>L2614/1.1</f>
        <v/>
      </c>
      <c r="P2614" s="36">
        <f>F2614&amp;E2614&amp;G2614&amp;J2614</f>
        <v/>
      </c>
    </row>
    <row r="2615">
      <c r="B2615" s="51" t="n">
        <v>44196</v>
      </c>
      <c r="C2615" s="36">
        <f>TEXT(B2615,"aaa")</f>
        <v/>
      </c>
      <c r="E2615" s="36">
        <f>INDEX(매칭테이블!C:C,MATCH(RD!G2615,매칭테이블!D:D,0))</f>
        <v/>
      </c>
      <c r="F2615" s="39" t="inlineStr">
        <is>
          <t>카페24</t>
        </is>
      </c>
      <c r="G2615" s="39" t="inlineStr">
        <is>
          <t>유즈 스테이포에버 솔리드퍼퓸 002 (10차 재입고 완료쇼핑백=선물용 쇼핑백</t>
        </is>
      </c>
      <c r="H2615" s="39" t="n">
        <v>1</v>
      </c>
      <c r="I2615" s="36">
        <f>VLOOKUP(G2615,매칭테이블!D:E,2,0)</f>
        <v/>
      </c>
      <c r="J2615" s="39" t="n">
        <v>201210</v>
      </c>
      <c r="L2615" s="36">
        <f>VLOOKUP($P2615,매칭테이블!$G:$J,2,0)*H2615</f>
        <v/>
      </c>
      <c r="M2615" s="36">
        <f>L2615-L2615*VLOOKUP($P2615,매칭테이블!$G:$J,3,0)</f>
        <v/>
      </c>
      <c r="N2615" s="36">
        <f>VLOOKUP($P2615,매칭테이블!$G:$J,4,0)*H2615</f>
        <v/>
      </c>
      <c r="O2615" s="52">
        <f>L2615/1.1</f>
        <v/>
      </c>
      <c r="P2615" s="36">
        <f>F2615&amp;E2615&amp;G2615&amp;J2615</f>
        <v/>
      </c>
    </row>
    <row r="2616">
      <c r="B2616" s="51" t="n">
        <v>44196</v>
      </c>
      <c r="C2616" s="36">
        <f>TEXT(B2616,"aaa")</f>
        <v/>
      </c>
      <c r="E2616" s="36">
        <f>INDEX(매칭테이블!C:C,MATCH(RD!G2616,매칭테이블!D:D,0))</f>
        <v/>
      </c>
      <c r="F2616" s="39" t="inlineStr">
        <is>
          <t>카페24</t>
        </is>
      </c>
      <c r="G2616" s="39" t="inlineStr">
        <is>
          <t>유즈 스테이포에버 솔리드퍼퓸 002 (10차 재입고 완료)제품선택=스테이포에버 1개</t>
        </is>
      </c>
      <c r="H2616" s="39" t="n">
        <v>198</v>
      </c>
      <c r="I2616" s="36">
        <f>VLOOKUP(G2616,매칭테이블!D:E,2,0)</f>
        <v/>
      </c>
      <c r="J2616" s="39" t="n">
        <v>201210</v>
      </c>
      <c r="L2616" s="36">
        <f>VLOOKUP($P2616,매칭테이블!$G:$J,2,0)*H2616</f>
        <v/>
      </c>
      <c r="M2616" s="36">
        <f>L2616-L2616*VLOOKUP($P2616,매칭테이블!$G:$J,3,0)</f>
        <v/>
      </c>
      <c r="N2616" s="36">
        <f>VLOOKUP($P2616,매칭테이블!$G:$J,4,0)*H2616</f>
        <v/>
      </c>
      <c r="O2616" s="52">
        <f>L2616/1.1</f>
        <v/>
      </c>
      <c r="P2616" s="36">
        <f>F2616&amp;E2616&amp;G2616&amp;J2616</f>
        <v/>
      </c>
    </row>
    <row r="2617">
      <c r="B2617" s="51" t="n">
        <v>44196</v>
      </c>
      <c r="C2617" s="36">
        <f>TEXT(B2617,"aaa")</f>
        <v/>
      </c>
      <c r="E2617" s="36">
        <f>INDEX(매칭테이블!C:C,MATCH(RD!G2617,매칭테이블!D:D,0))</f>
        <v/>
      </c>
      <c r="F2617" s="39" t="inlineStr">
        <is>
          <t>카페24</t>
        </is>
      </c>
      <c r="G2617" s="39" t="inlineStr">
        <is>
          <t>유즈 스테이포에버 솔리드퍼퓸 002 (10차 재입고 완료)제품선택=best</t>
        </is>
      </c>
      <c r="H2617" s="39" t="n">
        <v>36</v>
      </c>
      <c r="I2617" s="36">
        <f>VLOOKUP(G2617,매칭테이블!D:E,2,0)</f>
        <v/>
      </c>
      <c r="J2617" s="39" t="n">
        <v>201210</v>
      </c>
      <c r="L2617" s="36">
        <f>VLOOKUP($P2617,매칭테이블!$G:$J,2,0)*H2617</f>
        <v/>
      </c>
      <c r="M2617" s="36">
        <f>L2617-L2617*VLOOKUP($P2617,매칭테이블!$G:$J,3,0)</f>
        <v/>
      </c>
      <c r="N2617" s="36">
        <f>VLOOKUP($P2617,매칭테이블!$G:$J,4,0)*H2617</f>
        <v/>
      </c>
      <c r="O2617" s="52">
        <f>L2617/1.1</f>
        <v/>
      </c>
      <c r="P2617" s="36">
        <f>F2617&amp;E2617&amp;G2617&amp;J2617</f>
        <v/>
      </c>
    </row>
    <row r="2618">
      <c r="B2618" s="51" t="n">
        <v>44196</v>
      </c>
      <c r="C2618" s="36">
        <f>TEXT(B2618,"aaa")</f>
        <v/>
      </c>
      <c r="E2618" s="36">
        <f>INDEX(매칭테이블!C:C,MATCH(RD!G2618,매칭테이블!D:D,0))</f>
        <v/>
      </c>
      <c r="F2618" s="39" t="inlineStr">
        <is>
          <t>카페24</t>
        </is>
      </c>
      <c r="G2618" s="39" t="inlineStr">
        <is>
          <t>유즈 스테이포에버 솔리드퍼퓸 002 (10차 재입고 완료)제품선택=best스테이포에버 2개[28% 할인]</t>
        </is>
      </c>
      <c r="H2618" s="39" t="n">
        <v>45</v>
      </c>
      <c r="I2618" s="36">
        <f>VLOOKUP(G2618,매칭테이블!D:E,2,0)</f>
        <v/>
      </c>
      <c r="J2618" s="39" t="n">
        <v>201210</v>
      </c>
      <c r="L2618" s="36">
        <f>VLOOKUP($P2618,매칭테이블!$G:$J,2,0)*H2618</f>
        <v/>
      </c>
      <c r="M2618" s="36">
        <f>L2618-L2618*VLOOKUP($P2618,매칭테이블!$G:$J,3,0)</f>
        <v/>
      </c>
      <c r="N2618" s="36">
        <f>VLOOKUP($P2618,매칭테이블!$G:$J,4,0)*H2618</f>
        <v/>
      </c>
      <c r="O2618" s="52">
        <f>L2618/1.1</f>
        <v/>
      </c>
      <c r="P2618" s="36">
        <f>F2618&amp;E2618&amp;G2618&amp;J2618</f>
        <v/>
      </c>
    </row>
    <row r="2619">
      <c r="B2619" s="51" t="n">
        <v>44196</v>
      </c>
      <c r="C2619" s="36">
        <f>TEXT(B2619,"aaa")</f>
        <v/>
      </c>
      <c r="E2619" s="36">
        <f>INDEX(매칭테이블!C:C,MATCH(RD!G2619,매칭테이블!D:D,0))</f>
        <v/>
      </c>
      <c r="F2619" s="39" t="inlineStr">
        <is>
          <t>카페24</t>
        </is>
      </c>
      <c r="G2619" s="39" t="inlineStr">
        <is>
          <t>유즈 스테이포에버 솔리드퍼퓸 002 (10차 재입고 완료)제품선택=커플추천</t>
        </is>
      </c>
      <c r="H2619" s="39" t="n">
        <v>6</v>
      </c>
      <c r="I2619" s="36">
        <f>VLOOKUP(G2619,매칭테이블!D:E,2,0)</f>
        <v/>
      </c>
      <c r="J2619" s="39" t="n">
        <v>201210</v>
      </c>
      <c r="L2619" s="36">
        <f>VLOOKUP($P2619,매칭테이블!$G:$J,2,0)*H2619</f>
        <v/>
      </c>
      <c r="M2619" s="36">
        <f>L2619-L2619*VLOOKUP($P2619,매칭테이블!$G:$J,3,0)</f>
        <v/>
      </c>
      <c r="N2619" s="36">
        <f>VLOOKUP($P2619,매칭테이블!$G:$J,4,0)*H2619</f>
        <v/>
      </c>
      <c r="O2619" s="52">
        <f>L2619/1.1</f>
        <v/>
      </c>
      <c r="P2619" s="36">
        <f>F2619&amp;E2619&amp;G2619&amp;J2619</f>
        <v/>
      </c>
    </row>
    <row r="2620">
      <c r="B2620" s="51" t="n">
        <v>44196</v>
      </c>
      <c r="C2620" s="36">
        <f>TEXT(B2620,"aaa")</f>
        <v/>
      </c>
      <c r="E2620" s="36">
        <f>INDEX(매칭테이블!C:C,MATCH(RD!G2620,매칭테이블!D:D,0))</f>
        <v/>
      </c>
      <c r="F2620" s="39" t="inlineStr">
        <is>
          <t>카페24</t>
        </is>
      </c>
      <c r="G2620" s="39" t="inlineStr">
        <is>
          <t>유즈 스테이포에버 솔리드퍼퓸 002 (10차 재입고 완료)제품선택=커플추천스테이포에버 + 이그나이트 세트</t>
        </is>
      </c>
      <c r="H2620" s="39" t="n">
        <v>13</v>
      </c>
      <c r="I2620" s="36">
        <f>VLOOKUP(G2620,매칭테이블!D:E,2,0)</f>
        <v/>
      </c>
      <c r="J2620" s="39" t="n">
        <v>201210</v>
      </c>
      <c r="L2620" s="36">
        <f>VLOOKUP($P2620,매칭테이블!$G:$J,2,0)*H2620</f>
        <v/>
      </c>
      <c r="M2620" s="36">
        <f>L2620-L2620*VLOOKUP($P2620,매칭테이블!$G:$J,3,0)</f>
        <v/>
      </c>
      <c r="N2620" s="36">
        <f>VLOOKUP($P2620,매칭테이블!$G:$J,4,0)*H2620</f>
        <v/>
      </c>
      <c r="O2620" s="52">
        <f>L2620/1.1</f>
        <v/>
      </c>
      <c r="P2620" s="36">
        <f>F2620&amp;E2620&amp;G2620&amp;J2620</f>
        <v/>
      </c>
    </row>
    <row r="2621">
      <c r="B2621" s="51" t="n">
        <v>44196</v>
      </c>
      <c r="C2621" s="36">
        <f>TEXT(B2621,"aaa")</f>
        <v/>
      </c>
      <c r="E2621" s="36">
        <f>INDEX(매칭테이블!C:C,MATCH(RD!G2621,매칭테이블!D:D,0))</f>
        <v/>
      </c>
      <c r="F2621" s="39" t="inlineStr">
        <is>
          <t>카페24</t>
        </is>
      </c>
      <c r="G2621" s="39" t="inlineStr">
        <is>
          <t>유즈 스테이포에버 솔리드퍼퓸 002 (10차 재입고 완료)쇼핑백=선물용 쇼핑백</t>
        </is>
      </c>
      <c r="H2621" s="39" t="n">
        <v>7</v>
      </c>
      <c r="I2621" s="36">
        <f>VLOOKUP(G2621,매칭테이블!D:E,2,0)</f>
        <v/>
      </c>
      <c r="J2621" s="39" t="n">
        <v>201210</v>
      </c>
      <c r="L2621" s="36">
        <f>VLOOKUP($P2621,매칭테이블!$G:$J,2,0)*H2621</f>
        <v/>
      </c>
      <c r="M2621" s="36">
        <f>L2621-L2621*VLOOKUP($P2621,매칭테이블!$G:$J,3,0)</f>
        <v/>
      </c>
      <c r="N2621" s="36">
        <f>VLOOKUP($P2621,매칭테이블!$G:$J,4,0)*H2621</f>
        <v/>
      </c>
      <c r="O2621" s="52">
        <f>L2621/1.1</f>
        <v/>
      </c>
      <c r="P2621" s="36">
        <f>F2621&amp;E2621&amp;G2621&amp;J2621</f>
        <v/>
      </c>
    </row>
    <row r="2622">
      <c r="B2622" s="51" t="n">
        <v>44196</v>
      </c>
      <c r="C2622" s="36">
        <f>TEXT(B2622,"aaa")</f>
        <v/>
      </c>
      <c r="E2622" s="36">
        <f>INDEX(매칭테이블!C:C,MATCH(RD!G2622,매칭테이블!D:D,0))</f>
        <v/>
      </c>
      <c r="F2622" s="39" t="inlineStr">
        <is>
          <t>카페24</t>
        </is>
      </c>
      <c r="G2622" s="39" t="inlineStr">
        <is>
          <t>유즈 스테이포에버 솔리드퍼퓸 002 (11차 예약구매 진행중)제품선택=스테이포에버 1개</t>
        </is>
      </c>
      <c r="H2622" s="39" t="n">
        <v>70</v>
      </c>
      <c r="I2622" s="36">
        <f>VLOOKUP(G2622,매칭테이블!D:E,2,0)</f>
        <v/>
      </c>
      <c r="J2622" s="39" t="n">
        <v>201210</v>
      </c>
      <c r="L2622" s="36">
        <f>VLOOKUP($P2622,매칭테이블!$G:$J,2,0)*H2622</f>
        <v/>
      </c>
      <c r="M2622" s="36">
        <f>L2622-L2622*VLOOKUP($P2622,매칭테이블!$G:$J,3,0)</f>
        <v/>
      </c>
      <c r="N2622" s="36">
        <f>VLOOKUP($P2622,매칭테이블!$G:$J,4,0)*H2622</f>
        <v/>
      </c>
      <c r="O2622" s="52">
        <f>L2622/1.1</f>
        <v/>
      </c>
      <c r="P2622" s="36">
        <f>F2622&amp;E2622&amp;G2622&amp;J2622</f>
        <v/>
      </c>
    </row>
    <row r="2623">
      <c r="B2623" s="51" t="n">
        <v>44196</v>
      </c>
      <c r="C2623" s="36">
        <f>TEXT(B2623,"aaa")</f>
        <v/>
      </c>
      <c r="E2623" s="36">
        <f>INDEX(매칭테이블!C:C,MATCH(RD!G2623,매칭테이블!D:D,0))</f>
        <v/>
      </c>
      <c r="F2623" s="39" t="inlineStr">
        <is>
          <t>카페24</t>
        </is>
      </c>
      <c r="G2623" s="39" t="inlineStr">
        <is>
          <t>유즈 스테이포에버 솔리드퍼퓸 002 (11차 예약구매 진행중)제품선택=best</t>
        </is>
      </c>
      <c r="H2623" s="39" t="n">
        <v>21</v>
      </c>
      <c r="I2623" s="36">
        <f>VLOOKUP(G2623,매칭테이블!D:E,2,0)</f>
        <v/>
      </c>
      <c r="J2623" s="39" t="n">
        <v>201210</v>
      </c>
      <c r="L2623" s="36">
        <f>VLOOKUP($P2623,매칭테이블!$G:$J,2,0)*H2623</f>
        <v/>
      </c>
      <c r="M2623" s="36">
        <f>L2623-L2623*VLOOKUP($P2623,매칭테이블!$G:$J,3,0)</f>
        <v/>
      </c>
      <c r="N2623" s="36">
        <f>VLOOKUP($P2623,매칭테이블!$G:$J,4,0)*H2623</f>
        <v/>
      </c>
      <c r="O2623" s="52">
        <f>L2623/1.1</f>
        <v/>
      </c>
      <c r="P2623" s="36">
        <f>F2623&amp;E2623&amp;G2623&amp;J2623</f>
        <v/>
      </c>
    </row>
    <row r="2624">
      <c r="B2624" s="51" t="n">
        <v>44196</v>
      </c>
      <c r="C2624" s="36">
        <f>TEXT(B2624,"aaa")</f>
        <v/>
      </c>
      <c r="E2624" s="36">
        <f>INDEX(매칭테이블!C:C,MATCH(RD!G2624,매칭테이블!D:D,0))</f>
        <v/>
      </c>
      <c r="F2624" s="39" t="inlineStr">
        <is>
          <t>카페24</t>
        </is>
      </c>
      <c r="G2624" s="39" t="inlineStr">
        <is>
          <t>유즈 스테이포에버 솔리드퍼퓸 002 (11차 예약구매 진행중)제품선택=best스테이포에버 2개[28% 할인]</t>
        </is>
      </c>
      <c r="H2624" s="39" t="n">
        <v>24</v>
      </c>
      <c r="I2624" s="36">
        <f>VLOOKUP(G2624,매칭테이블!D:E,2,0)</f>
        <v/>
      </c>
      <c r="J2624" s="39" t="n">
        <v>201210</v>
      </c>
      <c r="L2624" s="36">
        <f>VLOOKUP($P2624,매칭테이블!$G:$J,2,0)*H2624</f>
        <v/>
      </c>
      <c r="M2624" s="36">
        <f>L2624-L2624*VLOOKUP($P2624,매칭테이블!$G:$J,3,0)</f>
        <v/>
      </c>
      <c r="N2624" s="36">
        <f>VLOOKUP($P2624,매칭테이블!$G:$J,4,0)*H2624</f>
        <v/>
      </c>
      <c r="O2624" s="52">
        <f>L2624/1.1</f>
        <v/>
      </c>
      <c r="P2624" s="36">
        <f>F2624&amp;E2624&amp;G2624&amp;J2624</f>
        <v/>
      </c>
    </row>
    <row r="2625">
      <c r="B2625" s="51" t="n">
        <v>44196</v>
      </c>
      <c r="C2625" s="36">
        <f>TEXT(B2625,"aaa")</f>
        <v/>
      </c>
      <c r="E2625" s="36">
        <f>INDEX(매칭테이블!C:C,MATCH(RD!G2625,매칭테이블!D:D,0))</f>
        <v/>
      </c>
      <c r="F2625" s="39" t="inlineStr">
        <is>
          <t>카페24</t>
        </is>
      </c>
      <c r="G2625" s="39" t="inlineStr">
        <is>
          <t>유즈 스테이포에버 솔리드퍼퓸 002 (11차 예약구매 진행중)제품선택=커플추천</t>
        </is>
      </c>
      <c r="H2625" s="39" t="n">
        <v>1</v>
      </c>
      <c r="I2625" s="36">
        <f>VLOOKUP(G2625,매칭테이블!D:E,2,0)</f>
        <v/>
      </c>
      <c r="J2625" s="39" t="n">
        <v>201210</v>
      </c>
      <c r="L2625" s="36">
        <f>VLOOKUP($P2625,매칭테이블!$G:$J,2,0)*H2625</f>
        <v/>
      </c>
      <c r="M2625" s="36">
        <f>L2625-L2625*VLOOKUP($P2625,매칭테이블!$G:$J,3,0)</f>
        <v/>
      </c>
      <c r="N2625" s="36">
        <f>VLOOKUP($P2625,매칭테이블!$G:$J,4,0)*H2625</f>
        <v/>
      </c>
      <c r="O2625" s="52">
        <f>L2625/1.1</f>
        <v/>
      </c>
      <c r="P2625" s="36">
        <f>F2625&amp;E2625&amp;G2625&amp;J2625</f>
        <v/>
      </c>
    </row>
    <row r="2626">
      <c r="B2626" s="51" t="n">
        <v>44196</v>
      </c>
      <c r="C2626" s="36">
        <f>TEXT(B2626,"aaa")</f>
        <v/>
      </c>
      <c r="E2626" s="36">
        <f>INDEX(매칭테이블!C:C,MATCH(RD!G2626,매칭테이블!D:D,0))</f>
        <v/>
      </c>
      <c r="F2626" s="39" t="inlineStr">
        <is>
          <t>카페24</t>
        </is>
      </c>
      <c r="G2626" s="39" t="inlineStr">
        <is>
          <t>유즈 스테이포에버 솔리드퍼퓸 002 (11차 예약구매 진행중)제품선택=커플추천스테이포에버 + 이그나이트 세트</t>
        </is>
      </c>
      <c r="H2626" s="39" t="n">
        <v>1</v>
      </c>
      <c r="I2626" s="36">
        <f>VLOOKUP(G2626,매칭테이블!D:E,2,0)</f>
        <v/>
      </c>
      <c r="J2626" s="39" t="n">
        <v>201210</v>
      </c>
      <c r="L2626" s="36">
        <f>VLOOKUP($P2626,매칭테이블!$G:$J,2,0)*H2626</f>
        <v/>
      </c>
      <c r="M2626" s="36">
        <f>L2626-L2626*VLOOKUP($P2626,매칭테이블!$G:$J,3,0)</f>
        <v/>
      </c>
      <c r="N2626" s="36">
        <f>VLOOKUP($P2626,매칭테이블!$G:$J,4,0)*H2626</f>
        <v/>
      </c>
      <c r="O2626" s="52">
        <f>L2626/1.1</f>
        <v/>
      </c>
      <c r="P2626" s="36">
        <f>F2626&amp;E2626&amp;G2626&amp;J2626</f>
        <v/>
      </c>
    </row>
    <row r="2627">
      <c r="B2627" s="51" t="n">
        <v>44196</v>
      </c>
      <c r="C2627" s="36">
        <f>TEXT(B2627,"aaa")</f>
        <v/>
      </c>
      <c r="E2627" s="36">
        <f>INDEX(매칭테이블!C:C,MATCH(RD!G2627,매칭테이블!D:D,0))</f>
        <v/>
      </c>
      <c r="F2627" s="39" t="inlineStr">
        <is>
          <t>카페24</t>
        </is>
      </c>
      <c r="G2627" s="39" t="inlineStr">
        <is>
          <t>유즈 스테이포에버 솔리드퍼퓸 002 (11차 예약구매 진행중)쇼핑백=선물용 쇼핑백</t>
        </is>
      </c>
      <c r="H2627" s="39" t="n">
        <v>4</v>
      </c>
      <c r="I2627" s="36">
        <f>VLOOKUP(G2627,매칭테이블!D:E,2,0)</f>
        <v/>
      </c>
      <c r="J2627" s="39" t="n">
        <v>201210</v>
      </c>
      <c r="L2627" s="36">
        <f>VLOOKUP($P2627,매칭테이블!$G:$J,2,0)*H2627</f>
        <v/>
      </c>
      <c r="M2627" s="36">
        <f>L2627-L2627*VLOOKUP($P2627,매칭테이블!$G:$J,3,0)</f>
        <v/>
      </c>
      <c r="N2627" s="36">
        <f>VLOOKUP($P2627,매칭테이블!$G:$J,4,0)*H2627</f>
        <v/>
      </c>
      <c r="O2627" s="52">
        <f>L2627/1.1</f>
        <v/>
      </c>
      <c r="P2627" s="36">
        <f>F2627&amp;E2627&amp;G2627&amp;J2627</f>
        <v/>
      </c>
    </row>
    <row r="2628">
      <c r="B2628" s="51" t="n">
        <v>44196</v>
      </c>
      <c r="C2628" s="36">
        <f>TEXT(B2628,"aaa")</f>
        <v/>
      </c>
      <c r="E2628" s="36">
        <f>INDEX(매칭테이블!C:C,MATCH(RD!G2628,매칭테이블!D:D,0))</f>
        <v/>
      </c>
      <c r="F2628" s="39" t="inlineStr">
        <is>
          <t>카페24</t>
        </is>
      </c>
      <c r="G2628" s="39" t="inlineStr">
        <is>
          <t>유즈 이그나이트 솔리드퍼퓸 001제품선택=이그나이트 솔리드퍼퓸 - 30ml</t>
        </is>
      </c>
      <c r="H2628" s="39" t="n">
        <v>5</v>
      </c>
      <c r="I2628" s="36">
        <f>VLOOKUP(G2628,매칭테이블!D:E,2,0)</f>
        <v/>
      </c>
      <c r="J2628" s="39" t="n">
        <v>201210</v>
      </c>
      <c r="L2628" s="36">
        <f>VLOOKUP($P2628,매칭테이블!$G:$J,2,0)*H2628</f>
        <v/>
      </c>
      <c r="M2628" s="36">
        <f>L2628-L2628*VLOOKUP($P2628,매칭테이블!$G:$J,3,0)</f>
        <v/>
      </c>
      <c r="N2628" s="36">
        <f>VLOOKUP($P2628,매칭테이블!$G:$J,4,0)*H2628</f>
        <v/>
      </c>
      <c r="O2628" s="52">
        <f>L2628/1.1</f>
        <v/>
      </c>
      <c r="P2628" s="36">
        <f>F2628&amp;E2628&amp;G2628&amp;J2628</f>
        <v/>
      </c>
    </row>
    <row r="2629">
      <c r="B2629" s="51" t="n">
        <v>44196</v>
      </c>
      <c r="C2629" s="36">
        <f>TEXT(B2629,"aaa")</f>
        <v/>
      </c>
      <c r="E2629" s="36">
        <f>INDEX(매칭테이블!C:C,MATCH(RD!G2629,매칭테이블!D:D,0))</f>
        <v/>
      </c>
      <c r="F2629" s="39" t="inlineStr">
        <is>
          <t>카페24</t>
        </is>
      </c>
      <c r="G2629" s="39" t="inlineStr">
        <is>
          <t>유즈 이그나이트 솔리드퍼퓸 001제품선택=이그나이트 2개 세트</t>
        </is>
      </c>
      <c r="H2629" s="39" t="n">
        <v>1</v>
      </c>
      <c r="I2629" s="36">
        <f>VLOOKUP(G2629,매칭테이블!D:E,2,0)</f>
        <v/>
      </c>
      <c r="J2629" s="39" t="n">
        <v>201210</v>
      </c>
      <c r="L2629" s="36">
        <f>VLOOKUP($P2629,매칭테이블!$G:$J,2,0)*H2629</f>
        <v/>
      </c>
      <c r="M2629" s="36">
        <f>L2629-L2629*VLOOKUP($P2629,매칭테이블!$G:$J,3,0)</f>
        <v/>
      </c>
      <c r="N2629" s="36">
        <f>VLOOKUP($P2629,매칭테이블!$G:$J,4,0)*H2629</f>
        <v/>
      </c>
      <c r="O2629" s="52">
        <f>L2629/1.1</f>
        <v/>
      </c>
      <c r="P2629" s="36">
        <f>F2629&amp;E2629&amp;G2629&amp;J2629</f>
        <v/>
      </c>
    </row>
    <row r="2630">
      <c r="B2630" s="51" t="n">
        <v>44196</v>
      </c>
      <c r="C2630" s="36">
        <f>TEXT(B2630,"aaa")</f>
        <v/>
      </c>
      <c r="E2630" s="36">
        <f>INDEX(매칭테이블!C:C,MATCH(RD!G2630,매칭테이블!D:D,0))</f>
        <v/>
      </c>
      <c r="F2630" s="39" t="inlineStr">
        <is>
          <t>카페24</t>
        </is>
      </c>
      <c r="G2630" s="39" t="inlineStr">
        <is>
          <t>유즈 이그나이트 솔리드퍼퓸 001쇼핑백=선물용 쇼핑백</t>
        </is>
      </c>
      <c r="H2630" s="39" t="n">
        <v>1</v>
      </c>
      <c r="I2630" s="36">
        <f>VLOOKUP(G2630,매칭테이블!D:E,2,0)</f>
        <v/>
      </c>
      <c r="J2630" s="39" t="n">
        <v>201210</v>
      </c>
      <c r="L2630" s="36">
        <f>VLOOKUP($P2630,매칭테이블!$G:$J,2,0)*H2630</f>
        <v/>
      </c>
      <c r="M2630" s="36">
        <f>L2630-L2630*VLOOKUP($P2630,매칭테이블!$G:$J,3,0)</f>
        <v/>
      </c>
      <c r="N2630" s="36">
        <f>VLOOKUP($P2630,매칭테이블!$G:$J,4,0)*H2630</f>
        <v/>
      </c>
      <c r="O2630" s="52">
        <f>L2630/1.1</f>
        <v/>
      </c>
      <c r="P2630" s="36">
        <f>F2630&amp;E2630&amp;G2630&amp;J2630</f>
        <v/>
      </c>
    </row>
    <row r="2631">
      <c r="B2631" s="51" t="n">
        <v>44197</v>
      </c>
      <c r="C2631" s="36">
        <f>TEXT(B2631,"aaa")</f>
        <v/>
      </c>
      <c r="E2631" s="36">
        <f>INDEX(매칭테이블!C:C,MATCH(RD!G2631,매칭테이블!D:D,0))</f>
        <v/>
      </c>
      <c r="F2631" s="39" t="inlineStr">
        <is>
          <t>카페24</t>
        </is>
      </c>
      <c r="G2631" s="39" t="inlineStr">
        <is>
          <t>SHOPPING BAG</t>
        </is>
      </c>
      <c r="H2631" s="39" t="n">
        <v>1</v>
      </c>
      <c r="I2631" s="36">
        <f>VLOOKUP(G2631,매칭테이블!D:E,2,0)</f>
        <v/>
      </c>
      <c r="J2631" s="39" t="n">
        <v>210101</v>
      </c>
      <c r="L2631" s="36">
        <f>VLOOKUP($P2631,매칭테이블!$G:$J,2,0)*H2631</f>
        <v/>
      </c>
      <c r="M2631" s="36">
        <f>L2631-L2631*VLOOKUP($P2631,매칭테이블!$G:$J,3,0)</f>
        <v/>
      </c>
      <c r="N2631" s="36">
        <f>VLOOKUP($P2631,매칭테이블!$G:$J,4,0)*H2631</f>
        <v/>
      </c>
      <c r="O2631" s="52">
        <f>L2631/1.1</f>
        <v/>
      </c>
      <c r="P2631" s="36">
        <f>F2631&amp;E2631&amp;G2631&amp;J2631</f>
        <v/>
      </c>
    </row>
    <row r="2632">
      <c r="B2632" s="51" t="n">
        <v>44197</v>
      </c>
      <c r="C2632" s="36">
        <f>TEXT(B2632,"aaa")</f>
        <v/>
      </c>
      <c r="E2632" s="36">
        <f>INDEX(매칭테이블!C:C,MATCH(RD!G2632,매칭테이블!D:D,0))</f>
        <v/>
      </c>
      <c r="F2632" s="39" t="inlineStr">
        <is>
          <t>카페24</t>
        </is>
      </c>
      <c r="G2632" s="39" t="inlineStr">
        <is>
          <t>유즈 솔리드퍼퓸 - 30ml (11차 예약구매 진행중)향=이그나이트 001 SOLID PERFUME, 세트 선택=1개</t>
        </is>
      </c>
      <c r="H2632" s="39" t="n">
        <v>2</v>
      </c>
      <c r="I2632" s="36">
        <f>VLOOKUP(G2632,매칭테이블!D:E,2,0)</f>
        <v/>
      </c>
      <c r="J2632" s="39" t="n">
        <v>210101</v>
      </c>
      <c r="L2632" s="36">
        <f>VLOOKUP($P2632,매칭테이블!$G:$J,2,0)*H2632</f>
        <v/>
      </c>
      <c r="M2632" s="36">
        <f>L2632-L2632*VLOOKUP($P2632,매칭테이블!$G:$J,3,0)</f>
        <v/>
      </c>
      <c r="N2632" s="36">
        <f>VLOOKUP($P2632,매칭테이블!$G:$J,4,0)*H2632</f>
        <v/>
      </c>
      <c r="O2632" s="52">
        <f>L2632/1.1</f>
        <v/>
      </c>
      <c r="P2632" s="36">
        <f>F2632&amp;E2632&amp;G2632&amp;J2632</f>
        <v/>
      </c>
    </row>
    <row r="2633">
      <c r="B2633" s="51" t="n">
        <v>44197</v>
      </c>
      <c r="C2633" s="36">
        <f>TEXT(B2633,"aaa")</f>
        <v/>
      </c>
      <c r="E2633" s="36">
        <f>INDEX(매칭테이블!C:C,MATCH(RD!G2633,매칭테이블!D:D,0))</f>
        <v/>
      </c>
      <c r="F2633" s="39" t="inlineStr">
        <is>
          <t>카페24</t>
        </is>
      </c>
      <c r="G2633" s="39" t="inlineStr">
        <is>
          <t>유즈 솔리드퍼퓸 - 30ml (11차 예약구매 진행중)향=스테이포에버 002 SOLID PERFUME, 세트 선택=1개</t>
        </is>
      </c>
      <c r="H2633" s="39" t="n">
        <v>24</v>
      </c>
      <c r="I2633" s="36">
        <f>VLOOKUP(G2633,매칭테이블!D:E,2,0)</f>
        <v/>
      </c>
      <c r="J2633" s="39" t="n">
        <v>210101</v>
      </c>
      <c r="L2633" s="36">
        <f>VLOOKUP($P2633,매칭테이블!$G:$J,2,0)*H2633</f>
        <v/>
      </c>
      <c r="M2633" s="36">
        <f>L2633-L2633*VLOOKUP($P2633,매칭테이블!$G:$J,3,0)</f>
        <v/>
      </c>
      <c r="N2633" s="36">
        <f>VLOOKUP($P2633,매칭테이블!$G:$J,4,0)*H2633</f>
        <v/>
      </c>
      <c r="O2633" s="52">
        <f>L2633/1.1</f>
        <v/>
      </c>
      <c r="P2633" s="36">
        <f>F2633&amp;E2633&amp;G2633&amp;J2633</f>
        <v/>
      </c>
    </row>
    <row r="2634">
      <c r="B2634" s="51" t="n">
        <v>44197</v>
      </c>
      <c r="C2634" s="36">
        <f>TEXT(B2634,"aaa")</f>
        <v/>
      </c>
      <c r="E2634" s="36">
        <f>INDEX(매칭테이블!C:C,MATCH(RD!G2634,매칭테이블!D:D,0))</f>
        <v/>
      </c>
      <c r="F2634" s="39" t="inlineStr">
        <is>
          <t>카페24</t>
        </is>
      </c>
      <c r="G2634" s="39" t="inlineStr">
        <is>
          <t>유즈 솔리드퍼퓸 - 30ml (11차 예약구매 진행중)향=스테이포에버 002 SOLID PERFUME, 세트 선택=best</t>
        </is>
      </c>
      <c r="H2634" s="39" t="n">
        <v>3</v>
      </c>
      <c r="I2634" s="36">
        <f>VLOOKUP(G2634,매칭테이블!D:E,2,0)</f>
        <v/>
      </c>
      <c r="J2634" s="39" t="n">
        <v>210101</v>
      </c>
      <c r="L2634" s="36">
        <f>VLOOKUP($P2634,매칭테이블!$G:$J,2,0)*H2634</f>
        <v/>
      </c>
      <c r="M2634" s="36">
        <f>L2634-L2634*VLOOKUP($P2634,매칭테이블!$G:$J,3,0)</f>
        <v/>
      </c>
      <c r="N2634" s="36">
        <f>VLOOKUP($P2634,매칭테이블!$G:$J,4,0)*H2634</f>
        <v/>
      </c>
      <c r="O2634" s="52">
        <f>L2634/1.1</f>
        <v/>
      </c>
      <c r="P2634" s="36">
        <f>F2634&amp;E2634&amp;G2634&amp;J2634</f>
        <v/>
      </c>
    </row>
    <row r="2635">
      <c r="B2635" s="51" t="n">
        <v>44197</v>
      </c>
      <c r="C2635" s="36">
        <f>TEXT(B2635,"aaa")</f>
        <v/>
      </c>
      <c r="E2635" s="36">
        <f>INDEX(매칭테이블!C:C,MATCH(RD!G2635,매칭테이블!D:D,0))</f>
        <v/>
      </c>
      <c r="F2635" s="39" t="inlineStr">
        <is>
          <t>카페24</t>
        </is>
      </c>
      <c r="G2635" s="39" t="inlineStr">
        <is>
          <t>유즈 솔리드퍼퓸 - 30ml (11차 예약구매 진행중)향=스테이포에버 002 SOLID PERFUME, 세트 선택=best 2개 (28% 할인)</t>
        </is>
      </c>
      <c r="H2635" s="39" t="n">
        <v>2</v>
      </c>
      <c r="I2635" s="36">
        <f>VLOOKUP(G2635,매칭테이블!D:E,2,0)</f>
        <v/>
      </c>
      <c r="J2635" s="39" t="n">
        <v>210101</v>
      </c>
      <c r="L2635" s="36">
        <f>VLOOKUP($P2635,매칭테이블!$G:$J,2,0)*H2635</f>
        <v/>
      </c>
      <c r="M2635" s="36">
        <f>L2635-L2635*VLOOKUP($P2635,매칭테이블!$G:$J,3,0)</f>
        <v/>
      </c>
      <c r="N2635" s="36">
        <f>VLOOKUP($P2635,매칭테이블!$G:$J,4,0)*H2635</f>
        <v/>
      </c>
      <c r="O2635" s="52">
        <f>L2635/1.1</f>
        <v/>
      </c>
      <c r="P2635" s="36">
        <f>F2635&amp;E2635&amp;G2635&amp;J2635</f>
        <v/>
      </c>
    </row>
    <row r="2636">
      <c r="B2636" s="51" t="n">
        <v>44197</v>
      </c>
      <c r="C2636" s="36">
        <f>TEXT(B2636,"aaa")</f>
        <v/>
      </c>
      <c r="E2636" s="36">
        <f>INDEX(매칭테이블!C:C,MATCH(RD!G2636,매칭테이블!D:D,0))</f>
        <v/>
      </c>
      <c r="F2636" s="39" t="inlineStr">
        <is>
          <t>카페24</t>
        </is>
      </c>
      <c r="G2636" s="39" t="inlineStr">
        <is>
          <t>유즈 솔리드퍼퓸 - 30ml (11차 예약구매 진행중)향=커플세트</t>
        </is>
      </c>
      <c r="H2636" s="39" t="n">
        <v>6</v>
      </c>
      <c r="I2636" s="36">
        <f>VLOOKUP(G2636,매칭테이블!D:E,2,0)</f>
        <v/>
      </c>
      <c r="J2636" s="39" t="n">
        <v>210101</v>
      </c>
      <c r="L2636" s="36">
        <f>VLOOKUP($P2636,매칭테이블!$G:$J,2,0)*H2636</f>
        <v/>
      </c>
      <c r="M2636" s="36">
        <f>L2636-L2636*VLOOKUP($P2636,매칭테이블!$G:$J,3,0)</f>
        <v/>
      </c>
      <c r="N2636" s="36">
        <f>VLOOKUP($P2636,매칭테이블!$G:$J,4,0)*H2636</f>
        <v/>
      </c>
      <c r="O2636" s="52">
        <f>L2636/1.1</f>
        <v/>
      </c>
      <c r="P2636" s="36">
        <f>F2636&amp;E2636&amp;G2636&amp;J2636</f>
        <v/>
      </c>
    </row>
    <row r="2637">
      <c r="B2637" s="51" t="n">
        <v>44197</v>
      </c>
      <c r="C2637" s="36">
        <f>TEXT(B2637,"aaa")</f>
        <v/>
      </c>
      <c r="E2637" s="36">
        <f>INDEX(매칭테이블!C:C,MATCH(RD!G2637,매칭테이블!D:D,0))</f>
        <v/>
      </c>
      <c r="F2637" s="39" t="inlineStr">
        <is>
          <t>카페24</t>
        </is>
      </c>
      <c r="G2637" s="39" t="inlineStr">
        <is>
          <t>유즈 솔리드퍼퓸 - 30ml (11차 예약구매 진행중)향=커플세트(이그나이트 + 스테이포에버), 세트 선택=1 SET</t>
        </is>
      </c>
      <c r="H2637" s="39" t="n">
        <v>7</v>
      </c>
      <c r="I2637" s="36">
        <f>VLOOKUP(G2637,매칭테이블!D:E,2,0)</f>
        <v/>
      </c>
      <c r="J2637" s="39" t="n">
        <v>210101</v>
      </c>
      <c r="L2637" s="36">
        <f>VLOOKUP($P2637,매칭테이블!$G:$J,2,0)*H2637</f>
        <v/>
      </c>
      <c r="M2637" s="36">
        <f>L2637-L2637*VLOOKUP($P2637,매칭테이블!$G:$J,3,0)</f>
        <v/>
      </c>
      <c r="N2637" s="36">
        <f>VLOOKUP($P2637,매칭테이블!$G:$J,4,0)*H2637</f>
        <v/>
      </c>
      <c r="O2637" s="52">
        <f>L2637/1.1</f>
        <v/>
      </c>
      <c r="P2637" s="36">
        <f>F2637&amp;E2637&amp;G2637&amp;J2637</f>
        <v/>
      </c>
    </row>
    <row r="2638">
      <c r="B2638" s="51" t="n">
        <v>44197</v>
      </c>
      <c r="C2638" s="36">
        <f>TEXT(B2638,"aaa")</f>
        <v/>
      </c>
      <c r="E2638" s="36">
        <f>INDEX(매칭테이블!C:C,MATCH(RD!G2638,매칭테이블!D:D,0))</f>
        <v/>
      </c>
      <c r="F2638" s="39" t="inlineStr">
        <is>
          <t>카페24</t>
        </is>
      </c>
      <c r="G2638" s="39" t="inlineStr">
        <is>
          <t>유즈 스테이포에버 솔리드퍼퓸 002 (10차 재입고 완료)제품선택=스테이포에버 1개</t>
        </is>
      </c>
      <c r="H2638" s="39" t="n">
        <v>2</v>
      </c>
      <c r="I2638" s="36">
        <f>VLOOKUP(G2638,매칭테이블!D:E,2,0)</f>
        <v/>
      </c>
      <c r="J2638" s="39" t="n">
        <v>210101</v>
      </c>
      <c r="L2638" s="36">
        <f>VLOOKUP($P2638,매칭테이블!$G:$J,2,0)*H2638</f>
        <v/>
      </c>
      <c r="M2638" s="36">
        <f>L2638-L2638*VLOOKUP($P2638,매칭테이블!$G:$J,3,0)</f>
        <v/>
      </c>
      <c r="N2638" s="36">
        <f>VLOOKUP($P2638,매칭테이블!$G:$J,4,0)*H2638</f>
        <v/>
      </c>
      <c r="O2638" s="52">
        <f>L2638/1.1</f>
        <v/>
      </c>
      <c r="P2638" s="36">
        <f>F2638&amp;E2638&amp;G2638&amp;J2638</f>
        <v/>
      </c>
    </row>
    <row r="2639">
      <c r="B2639" s="51" t="n">
        <v>44197</v>
      </c>
      <c r="C2639" s="36">
        <f>TEXT(B2639,"aaa")</f>
        <v/>
      </c>
      <c r="E2639" s="36">
        <f>INDEX(매칭테이블!C:C,MATCH(RD!G2639,매칭테이블!D:D,0))</f>
        <v/>
      </c>
      <c r="F2639" s="39" t="inlineStr">
        <is>
          <t>카페24</t>
        </is>
      </c>
      <c r="G2639" s="39" t="inlineStr">
        <is>
          <t>유즈 스테이포에버 솔리드퍼퓸 002 (11차 예약구매 진행중)제품선택=스테이포에버 1개</t>
        </is>
      </c>
      <c r="H2639" s="39" t="n">
        <v>512</v>
      </c>
      <c r="I2639" s="36">
        <f>VLOOKUP(G2639,매칭테이블!D:E,2,0)</f>
        <v/>
      </c>
      <c r="J2639" s="39" t="n">
        <v>210101</v>
      </c>
      <c r="L2639" s="36">
        <f>VLOOKUP($P2639,매칭테이블!$G:$J,2,0)*H2639</f>
        <v/>
      </c>
      <c r="M2639" s="36">
        <f>L2639-L2639*VLOOKUP($P2639,매칭테이블!$G:$J,3,0)</f>
        <v/>
      </c>
      <c r="N2639" s="36">
        <f>VLOOKUP($P2639,매칭테이블!$G:$J,4,0)*H2639</f>
        <v/>
      </c>
      <c r="O2639" s="52">
        <f>L2639/1.1</f>
        <v/>
      </c>
      <c r="P2639" s="36">
        <f>F2639&amp;E2639&amp;G2639&amp;J2639</f>
        <v/>
      </c>
    </row>
    <row r="2640">
      <c r="B2640" s="51" t="n">
        <v>44197</v>
      </c>
      <c r="C2640" s="36">
        <f>TEXT(B2640,"aaa")</f>
        <v/>
      </c>
      <c r="E2640" s="36">
        <f>INDEX(매칭테이블!C:C,MATCH(RD!G2640,매칭테이블!D:D,0))</f>
        <v/>
      </c>
      <c r="F2640" s="39" t="inlineStr">
        <is>
          <t>카페24</t>
        </is>
      </c>
      <c r="G2640" s="39" t="inlineStr">
        <is>
          <t>유즈 스테이포에버 솔리드퍼퓸 002 (11차 예약구매 진행중)제품선택=best</t>
        </is>
      </c>
      <c r="H2640" s="39" t="n">
        <v>105</v>
      </c>
      <c r="I2640" s="36">
        <f>VLOOKUP(G2640,매칭테이블!D:E,2,0)</f>
        <v/>
      </c>
      <c r="J2640" s="39" t="n">
        <v>210101</v>
      </c>
      <c r="L2640" s="36">
        <f>VLOOKUP($P2640,매칭테이블!$G:$J,2,0)*H2640</f>
        <v/>
      </c>
      <c r="M2640" s="36">
        <f>L2640-L2640*VLOOKUP($P2640,매칭테이블!$G:$J,3,0)</f>
        <v/>
      </c>
      <c r="N2640" s="36">
        <f>VLOOKUP($P2640,매칭테이블!$G:$J,4,0)*H2640</f>
        <v/>
      </c>
      <c r="O2640" s="52">
        <f>L2640/1.1</f>
        <v/>
      </c>
      <c r="P2640" s="36">
        <f>F2640&amp;E2640&amp;G2640&amp;J2640</f>
        <v/>
      </c>
    </row>
    <row r="2641">
      <c r="B2641" s="51" t="n">
        <v>44197</v>
      </c>
      <c r="C2641" s="36">
        <f>TEXT(B2641,"aaa")</f>
        <v/>
      </c>
      <c r="E2641" s="36">
        <f>INDEX(매칭테이블!C:C,MATCH(RD!G2641,매칭테이블!D:D,0))</f>
        <v/>
      </c>
      <c r="F2641" s="39" t="inlineStr">
        <is>
          <t>카페24</t>
        </is>
      </c>
      <c r="G2641" s="39" t="inlineStr">
        <is>
          <t>유즈 스테이포에버 솔리드퍼퓸 002 (11차 예약구매 진행중)제품선택=best스테이포에버 2개[28% 할인]</t>
        </is>
      </c>
      <c r="H2641" s="39" t="n">
        <v>152</v>
      </c>
      <c r="I2641" s="36">
        <f>VLOOKUP(G2641,매칭테이블!D:E,2,0)</f>
        <v/>
      </c>
      <c r="J2641" s="39" t="n">
        <v>210101</v>
      </c>
      <c r="L2641" s="36">
        <f>VLOOKUP($P2641,매칭테이블!$G:$J,2,0)*H2641</f>
        <v/>
      </c>
      <c r="M2641" s="36">
        <f>L2641-L2641*VLOOKUP($P2641,매칭테이블!$G:$J,3,0)</f>
        <v/>
      </c>
      <c r="N2641" s="36">
        <f>VLOOKUP($P2641,매칭테이블!$G:$J,4,0)*H2641</f>
        <v/>
      </c>
      <c r="O2641" s="52">
        <f>L2641/1.1</f>
        <v/>
      </c>
      <c r="P2641" s="36">
        <f>F2641&amp;E2641&amp;G2641&amp;J2641</f>
        <v/>
      </c>
    </row>
    <row r="2642">
      <c r="B2642" s="51" t="n">
        <v>44197</v>
      </c>
      <c r="C2642" s="36">
        <f>TEXT(B2642,"aaa")</f>
        <v/>
      </c>
      <c r="E2642" s="36">
        <f>INDEX(매칭테이블!C:C,MATCH(RD!G2642,매칭테이블!D:D,0))</f>
        <v/>
      </c>
      <c r="F2642" s="39" t="inlineStr">
        <is>
          <t>카페24</t>
        </is>
      </c>
      <c r="G2642" s="39" t="inlineStr">
        <is>
          <t>유즈 스테이포에버 솔리드퍼퓸 002 (11차 예약구매 진행중)제품선택=커플추천</t>
        </is>
      </c>
      <c r="H2642" s="39" t="n">
        <v>16</v>
      </c>
      <c r="I2642" s="36">
        <f>VLOOKUP(G2642,매칭테이블!D:E,2,0)</f>
        <v/>
      </c>
      <c r="J2642" s="39" t="n">
        <v>210101</v>
      </c>
      <c r="L2642" s="36">
        <f>VLOOKUP($P2642,매칭테이블!$G:$J,2,0)*H2642</f>
        <v/>
      </c>
      <c r="M2642" s="36">
        <f>L2642-L2642*VLOOKUP($P2642,매칭테이블!$G:$J,3,0)</f>
        <v/>
      </c>
      <c r="N2642" s="36">
        <f>VLOOKUP($P2642,매칭테이블!$G:$J,4,0)*H2642</f>
        <v/>
      </c>
      <c r="O2642" s="52">
        <f>L2642/1.1</f>
        <v/>
      </c>
      <c r="P2642" s="36">
        <f>F2642&amp;E2642&amp;G2642&amp;J2642</f>
        <v/>
      </c>
    </row>
    <row r="2643">
      <c r="B2643" s="51" t="n">
        <v>44197</v>
      </c>
      <c r="C2643" s="36">
        <f>TEXT(B2643,"aaa")</f>
        <v/>
      </c>
      <c r="E2643" s="36">
        <f>INDEX(매칭테이블!C:C,MATCH(RD!G2643,매칭테이블!D:D,0))</f>
        <v/>
      </c>
      <c r="F2643" s="39" t="inlineStr">
        <is>
          <t>카페24</t>
        </is>
      </c>
      <c r="G2643" s="39" t="inlineStr">
        <is>
          <t>유즈 스테이포에버 솔리드퍼퓸 002 (11차 예약구매 진행중)제품선택=커플추천스테이포에버 + 이그나이트 세트</t>
        </is>
      </c>
      <c r="H2643" s="39" t="n">
        <v>15</v>
      </c>
      <c r="I2643" s="36">
        <f>VLOOKUP(G2643,매칭테이블!D:E,2,0)</f>
        <v/>
      </c>
      <c r="J2643" s="39" t="n">
        <v>210101</v>
      </c>
      <c r="L2643" s="36">
        <f>VLOOKUP($P2643,매칭테이블!$G:$J,2,0)*H2643</f>
        <v/>
      </c>
      <c r="M2643" s="36">
        <f>L2643-L2643*VLOOKUP($P2643,매칭테이블!$G:$J,3,0)</f>
        <v/>
      </c>
      <c r="N2643" s="36">
        <f>VLOOKUP($P2643,매칭테이블!$G:$J,4,0)*H2643</f>
        <v/>
      </c>
      <c r="O2643" s="52">
        <f>L2643/1.1</f>
        <v/>
      </c>
      <c r="P2643" s="36">
        <f>F2643&amp;E2643&amp;G2643&amp;J2643</f>
        <v/>
      </c>
    </row>
    <row r="2644">
      <c r="B2644" s="51" t="n">
        <v>44197</v>
      </c>
      <c r="C2644" s="36">
        <f>TEXT(B2644,"aaa")</f>
        <v/>
      </c>
      <c r="E2644" s="36">
        <f>INDEX(매칭테이블!C:C,MATCH(RD!G2644,매칭테이블!D:D,0))</f>
        <v/>
      </c>
      <c r="F2644" s="39" t="inlineStr">
        <is>
          <t>카페24</t>
        </is>
      </c>
      <c r="G2644" s="39" t="inlineStr">
        <is>
          <t>유즈 스테이포에버 솔리드퍼퓸 002 (11차 예약구매 진행중)쇼핑백=선물용 쇼핑백</t>
        </is>
      </c>
      <c r="H2644" s="39" t="n">
        <v>17</v>
      </c>
      <c r="I2644" s="36">
        <f>VLOOKUP(G2644,매칭테이블!D:E,2,0)</f>
        <v/>
      </c>
      <c r="J2644" s="39" t="n">
        <v>210101</v>
      </c>
      <c r="L2644" s="36">
        <f>VLOOKUP($P2644,매칭테이블!$G:$J,2,0)*H2644</f>
        <v/>
      </c>
      <c r="M2644" s="36">
        <f>L2644-L2644*VLOOKUP($P2644,매칭테이블!$G:$J,3,0)</f>
        <v/>
      </c>
      <c r="N2644" s="36">
        <f>VLOOKUP($P2644,매칭테이블!$G:$J,4,0)*H2644</f>
        <v/>
      </c>
      <c r="O2644" s="52">
        <f>L2644/1.1</f>
        <v/>
      </c>
      <c r="P2644" s="36">
        <f>F2644&amp;E2644&amp;G2644&amp;J2644</f>
        <v/>
      </c>
    </row>
    <row r="2645">
      <c r="B2645" s="51" t="n">
        <v>44197</v>
      </c>
      <c r="C2645" s="36">
        <f>TEXT(B2645,"aaa")</f>
        <v/>
      </c>
      <c r="E2645" s="36">
        <f>INDEX(매칭테이블!C:C,MATCH(RD!G2645,매칭테이블!D:D,0))</f>
        <v/>
      </c>
      <c r="F2645" s="39" t="inlineStr">
        <is>
          <t>카페24</t>
        </is>
      </c>
      <c r="G2645" s="39" t="inlineStr">
        <is>
          <t>유즈 이그나이트 솔리드퍼퓸 001제품선택=이그나이트 솔리드퍼퓸 - 30ml</t>
        </is>
      </c>
      <c r="H2645" s="39" t="n">
        <v>6</v>
      </c>
      <c r="I2645" s="36">
        <f>VLOOKUP(G2645,매칭테이블!D:E,2,0)</f>
        <v/>
      </c>
      <c r="J2645" s="39" t="n">
        <v>210101</v>
      </c>
      <c r="L2645" s="36">
        <f>VLOOKUP($P2645,매칭테이블!$G:$J,2,0)*H2645</f>
        <v/>
      </c>
      <c r="M2645" s="36">
        <f>L2645-L2645*VLOOKUP($P2645,매칭테이블!$G:$J,3,0)</f>
        <v/>
      </c>
      <c r="N2645" s="36">
        <f>VLOOKUP($P2645,매칭테이블!$G:$J,4,0)*H2645</f>
        <v/>
      </c>
      <c r="O2645" s="52">
        <f>L2645/1.1</f>
        <v/>
      </c>
      <c r="P2645" s="36">
        <f>F2645&amp;E2645&amp;G2645&amp;J2645</f>
        <v/>
      </c>
    </row>
    <row r="2646">
      <c r="B2646" s="51" t="n">
        <v>44197</v>
      </c>
      <c r="C2646" s="36">
        <f>TEXT(B2646,"aaa")</f>
        <v/>
      </c>
      <c r="E2646" s="36">
        <f>INDEX(매칭테이블!C:C,MATCH(RD!G2646,매칭테이블!D:D,0))</f>
        <v/>
      </c>
      <c r="F2646" s="39" t="inlineStr">
        <is>
          <t>카페24</t>
        </is>
      </c>
      <c r="G2646" s="39" t="inlineStr">
        <is>
          <t>유즈 이그나이트 솔리드퍼퓸 001제품선택=이그나이트 2개 세트</t>
        </is>
      </c>
      <c r="H2646" s="39" t="n">
        <v>5</v>
      </c>
      <c r="I2646" s="36">
        <f>VLOOKUP(G2646,매칭테이블!D:E,2,0)</f>
        <v/>
      </c>
      <c r="J2646" s="39" t="n">
        <v>210101</v>
      </c>
      <c r="L2646" s="36">
        <f>VLOOKUP($P2646,매칭테이블!$G:$J,2,0)*H2646</f>
        <v/>
      </c>
      <c r="M2646" s="36">
        <f>L2646-L2646*VLOOKUP($P2646,매칭테이블!$G:$J,3,0)</f>
        <v/>
      </c>
      <c r="N2646" s="36">
        <f>VLOOKUP($P2646,매칭테이블!$G:$J,4,0)*H2646</f>
        <v/>
      </c>
      <c r="O2646" s="52">
        <f>L2646/1.1</f>
        <v/>
      </c>
      <c r="P2646" s="36">
        <f>F2646&amp;E2646&amp;G2646&amp;J2646</f>
        <v/>
      </c>
    </row>
    <row r="2647">
      <c r="B2647" s="51" t="n">
        <v>44198</v>
      </c>
      <c r="C2647" s="36">
        <f>TEXT(B2647,"aaa")</f>
        <v/>
      </c>
      <c r="E2647" s="36">
        <f>INDEX(매칭테이블!C:C,MATCH(RD!G2647,매칭테이블!D:D,0))</f>
        <v/>
      </c>
      <c r="F2647" s="39" t="inlineStr">
        <is>
          <t>카페24</t>
        </is>
      </c>
      <c r="G2647" s="39" t="inlineStr">
        <is>
          <t>유즈 솔리드퍼퓸 - 30ml (11차 예약구매 진행중)향=이그나이트 001 SOLID PERFUME, 세트 선택=1개</t>
        </is>
      </c>
      <c r="H2647" s="39" t="n">
        <v>2</v>
      </c>
      <c r="I2647" s="36">
        <f>VLOOKUP(G2647,매칭테이블!D:E,2,0)</f>
        <v/>
      </c>
      <c r="J2647" s="39" t="n">
        <v>210101</v>
      </c>
      <c r="L2647" s="36">
        <f>VLOOKUP($P2647,매칭테이블!$G:$J,2,0)*H2647</f>
        <v/>
      </c>
      <c r="M2647" s="36">
        <f>L2647-L2647*VLOOKUP($P2647,매칭테이블!$G:$J,3,0)</f>
        <v/>
      </c>
      <c r="N2647" s="36">
        <f>VLOOKUP($P2647,매칭테이블!$G:$J,4,0)*H2647</f>
        <v/>
      </c>
      <c r="O2647" s="52">
        <f>L2647/1.1</f>
        <v/>
      </c>
      <c r="P2647" s="36">
        <f>F2647&amp;E2647&amp;G2647&amp;J2647</f>
        <v/>
      </c>
    </row>
    <row r="2648">
      <c r="B2648" s="51" t="n">
        <v>44198</v>
      </c>
      <c r="C2648" s="36">
        <f>TEXT(B2648,"aaa")</f>
        <v/>
      </c>
      <c r="E2648" s="36">
        <f>INDEX(매칭테이블!C:C,MATCH(RD!G2648,매칭테이블!D:D,0))</f>
        <v/>
      </c>
      <c r="F2648" s="39" t="inlineStr">
        <is>
          <t>카페24</t>
        </is>
      </c>
      <c r="G2648" s="39" t="inlineStr">
        <is>
          <t>유즈 솔리드퍼퓸 - 30ml (11차 예약구매 진행중)향=스테이포에버 002 SOLID PERFUME, 세트 선택=1개</t>
        </is>
      </c>
      <c r="H2648" s="39" t="n">
        <v>18</v>
      </c>
      <c r="I2648" s="36">
        <f>VLOOKUP(G2648,매칭테이블!D:E,2,0)</f>
        <v/>
      </c>
      <c r="J2648" s="39" t="n">
        <v>210101</v>
      </c>
      <c r="L2648" s="36">
        <f>VLOOKUP($P2648,매칭테이블!$G:$J,2,0)*H2648</f>
        <v/>
      </c>
      <c r="M2648" s="36">
        <f>L2648-L2648*VLOOKUP($P2648,매칭테이블!$G:$J,3,0)</f>
        <v/>
      </c>
      <c r="N2648" s="36">
        <f>VLOOKUP($P2648,매칭테이블!$G:$J,4,0)*H2648</f>
        <v/>
      </c>
      <c r="O2648" s="52">
        <f>L2648/1.1</f>
        <v/>
      </c>
      <c r="P2648" s="36">
        <f>F2648&amp;E2648&amp;G2648&amp;J2648</f>
        <v/>
      </c>
    </row>
    <row r="2649">
      <c r="B2649" s="51" t="n">
        <v>44198</v>
      </c>
      <c r="C2649" s="36">
        <f>TEXT(B2649,"aaa")</f>
        <v/>
      </c>
      <c r="E2649" s="36">
        <f>INDEX(매칭테이블!C:C,MATCH(RD!G2649,매칭테이블!D:D,0))</f>
        <v/>
      </c>
      <c r="F2649" s="39" t="inlineStr">
        <is>
          <t>카페24</t>
        </is>
      </c>
      <c r="G2649" s="39" t="inlineStr">
        <is>
          <t>유즈 솔리드퍼퓸 - 30ml (11차 예약구매 진행중)향=스테이포에버 002 SOLID PERFUME, 세트 선택=best</t>
        </is>
      </c>
      <c r="H2649" s="39" t="n">
        <v>2</v>
      </c>
      <c r="I2649" s="36">
        <f>VLOOKUP(G2649,매칭테이블!D:E,2,0)</f>
        <v/>
      </c>
      <c r="J2649" s="39" t="n">
        <v>210101</v>
      </c>
      <c r="L2649" s="36">
        <f>VLOOKUP($P2649,매칭테이블!$G:$J,2,0)*H2649</f>
        <v/>
      </c>
      <c r="M2649" s="36">
        <f>L2649-L2649*VLOOKUP($P2649,매칭테이블!$G:$J,3,0)</f>
        <v/>
      </c>
      <c r="N2649" s="36">
        <f>VLOOKUP($P2649,매칭테이블!$G:$J,4,0)*H2649</f>
        <v/>
      </c>
      <c r="O2649" s="52">
        <f>L2649/1.1</f>
        <v/>
      </c>
      <c r="P2649" s="36">
        <f>F2649&amp;E2649&amp;G2649&amp;J2649</f>
        <v/>
      </c>
    </row>
    <row r="2650">
      <c r="B2650" s="51" t="n">
        <v>44198</v>
      </c>
      <c r="C2650" s="36">
        <f>TEXT(B2650,"aaa")</f>
        <v/>
      </c>
      <c r="E2650" s="36">
        <f>INDEX(매칭테이블!C:C,MATCH(RD!G2650,매칭테이블!D:D,0))</f>
        <v/>
      </c>
      <c r="F2650" s="39" t="inlineStr">
        <is>
          <t>카페24</t>
        </is>
      </c>
      <c r="G2650" s="39" t="inlineStr">
        <is>
          <t>유즈 솔리드퍼퓸 - 30ml (11차 예약구매 진행중)향=스테이포에버 002 SOLID PERFUME, 세트 선택=best 2개 (28% 할인)</t>
        </is>
      </c>
      <c r="H2650" s="39" t="n">
        <v>4</v>
      </c>
      <c r="I2650" s="36">
        <f>VLOOKUP(G2650,매칭테이블!D:E,2,0)</f>
        <v/>
      </c>
      <c r="J2650" s="39" t="n">
        <v>210101</v>
      </c>
      <c r="L2650" s="36">
        <f>VLOOKUP($P2650,매칭테이블!$G:$J,2,0)*H2650</f>
        <v/>
      </c>
      <c r="M2650" s="36">
        <f>L2650-L2650*VLOOKUP($P2650,매칭테이블!$G:$J,3,0)</f>
        <v/>
      </c>
      <c r="N2650" s="36">
        <f>VLOOKUP($P2650,매칭테이블!$G:$J,4,0)*H2650</f>
        <v/>
      </c>
      <c r="O2650" s="52">
        <f>L2650/1.1</f>
        <v/>
      </c>
      <c r="P2650" s="36">
        <f>F2650&amp;E2650&amp;G2650&amp;J2650</f>
        <v/>
      </c>
    </row>
    <row r="2651">
      <c r="B2651" s="51" t="n">
        <v>44198</v>
      </c>
      <c r="C2651" s="36">
        <f>TEXT(B2651,"aaa")</f>
        <v/>
      </c>
      <c r="E2651" s="36">
        <f>INDEX(매칭테이블!C:C,MATCH(RD!G2651,매칭테이블!D:D,0))</f>
        <v/>
      </c>
      <c r="F2651" s="39" t="inlineStr">
        <is>
          <t>카페24</t>
        </is>
      </c>
      <c r="G2651" s="39" t="inlineStr">
        <is>
          <t>유즈 솔리드퍼퓸 - 30ml (11차 예약구매 진행중)향=커플세트</t>
        </is>
      </c>
      <c r="H2651" s="39" t="n">
        <v>5</v>
      </c>
      <c r="I2651" s="36">
        <f>VLOOKUP(G2651,매칭테이블!D:E,2,0)</f>
        <v/>
      </c>
      <c r="J2651" s="39" t="n">
        <v>210101</v>
      </c>
      <c r="L2651" s="36">
        <f>VLOOKUP($P2651,매칭테이블!$G:$J,2,0)*H2651</f>
        <v/>
      </c>
      <c r="M2651" s="36">
        <f>L2651-L2651*VLOOKUP($P2651,매칭테이블!$G:$J,3,0)</f>
        <v/>
      </c>
      <c r="N2651" s="36">
        <f>VLOOKUP($P2651,매칭테이블!$G:$J,4,0)*H2651</f>
        <v/>
      </c>
      <c r="O2651" s="52">
        <f>L2651/1.1</f>
        <v/>
      </c>
      <c r="P2651" s="36">
        <f>F2651&amp;E2651&amp;G2651&amp;J2651</f>
        <v/>
      </c>
    </row>
    <row r="2652">
      <c r="B2652" s="51" t="n">
        <v>44198</v>
      </c>
      <c r="C2652" s="36">
        <f>TEXT(B2652,"aaa")</f>
        <v/>
      </c>
      <c r="E2652" s="36">
        <f>INDEX(매칭테이블!C:C,MATCH(RD!G2652,매칭테이블!D:D,0))</f>
        <v/>
      </c>
      <c r="F2652" s="39" t="inlineStr">
        <is>
          <t>카페24</t>
        </is>
      </c>
      <c r="G2652" s="39" t="inlineStr">
        <is>
          <t>유즈 솔리드퍼퓸 - 30ml (11차 예약구매 진행중)향=커플세트(이그나이트 + 스테이포에버), 세트 선택=1 SET</t>
        </is>
      </c>
      <c r="H2652" s="39" t="n">
        <v>7</v>
      </c>
      <c r="I2652" s="36">
        <f>VLOOKUP(G2652,매칭테이블!D:E,2,0)</f>
        <v/>
      </c>
      <c r="J2652" s="39" t="n">
        <v>210101</v>
      </c>
      <c r="L2652" s="36">
        <f>VLOOKUP($P2652,매칭테이블!$G:$J,2,0)*H2652</f>
        <v/>
      </c>
      <c r="M2652" s="36">
        <f>L2652-L2652*VLOOKUP($P2652,매칭테이블!$G:$J,3,0)</f>
        <v/>
      </c>
      <c r="N2652" s="36">
        <f>VLOOKUP($P2652,매칭테이블!$G:$J,4,0)*H2652</f>
        <v/>
      </c>
      <c r="O2652" s="52">
        <f>L2652/1.1</f>
        <v/>
      </c>
      <c r="P2652" s="36">
        <f>F2652&amp;E2652&amp;G2652&amp;J2652</f>
        <v/>
      </c>
    </row>
    <row r="2653">
      <c r="B2653" s="51" t="n">
        <v>44198</v>
      </c>
      <c r="C2653" s="36">
        <f>TEXT(B2653,"aaa")</f>
        <v/>
      </c>
      <c r="E2653" s="36">
        <f>INDEX(매칭테이블!C:C,MATCH(RD!G2653,매칭테이블!D:D,0))</f>
        <v/>
      </c>
      <c r="F2653" s="39" t="inlineStr">
        <is>
          <t>카페24</t>
        </is>
      </c>
      <c r="G2653" s="39" t="inlineStr">
        <is>
          <t>유즈 솔리드퍼퓸 - 30ml (11차 예약구매 진행중)향=커플세트</t>
        </is>
      </c>
      <c r="H2653" s="39" t="n">
        <v>2</v>
      </c>
      <c r="I2653" s="36">
        <f>VLOOKUP(G2653,매칭테이블!D:E,2,0)</f>
        <v/>
      </c>
      <c r="J2653" s="39" t="n">
        <v>210101</v>
      </c>
      <c r="L2653" s="36">
        <f>VLOOKUP($P2653,매칭테이블!$G:$J,2,0)*H2653</f>
        <v/>
      </c>
      <c r="M2653" s="36">
        <f>L2653-L2653*VLOOKUP($P2653,매칭테이블!$G:$J,3,0)</f>
        <v/>
      </c>
      <c r="N2653" s="36">
        <f>VLOOKUP($P2653,매칭테이블!$G:$J,4,0)*H2653</f>
        <v/>
      </c>
      <c r="O2653" s="52">
        <f>L2653/1.1</f>
        <v/>
      </c>
      <c r="P2653" s="36">
        <f>F2653&amp;E2653&amp;G2653&amp;J2653</f>
        <v/>
      </c>
    </row>
    <row r="2654">
      <c r="B2654" s="51" t="n">
        <v>44198</v>
      </c>
      <c r="C2654" s="36">
        <f>TEXT(B2654,"aaa")</f>
        <v/>
      </c>
      <c r="E2654" s="36">
        <f>INDEX(매칭테이블!C:C,MATCH(RD!G2654,매칭테이블!D:D,0))</f>
        <v/>
      </c>
      <c r="F2654" s="39" t="inlineStr">
        <is>
          <t>카페24</t>
        </is>
      </c>
      <c r="G2654" s="39" t="inlineStr">
        <is>
          <t>유즈 솔리드퍼퓸 - 30ml (11차 예약구매 진행중)향=커플세트(이그나이트 + 스테이포에버), 세트 선택=2 SET (42% 할인)</t>
        </is>
      </c>
      <c r="H2654" s="39" t="n">
        <v>1</v>
      </c>
      <c r="I2654" s="36">
        <f>VLOOKUP(G2654,매칭테이블!D:E,2,0)</f>
        <v/>
      </c>
      <c r="J2654" s="39" t="n">
        <v>210101</v>
      </c>
      <c r="L2654" s="36">
        <f>VLOOKUP($P2654,매칭테이블!$G:$J,2,0)*H2654</f>
        <v/>
      </c>
      <c r="M2654" s="36">
        <f>L2654-L2654*VLOOKUP($P2654,매칭테이블!$G:$J,3,0)</f>
        <v/>
      </c>
      <c r="N2654" s="36">
        <f>VLOOKUP($P2654,매칭테이블!$G:$J,4,0)*H2654</f>
        <v/>
      </c>
      <c r="O2654" s="52">
        <f>L2654/1.1</f>
        <v/>
      </c>
      <c r="P2654" s="36">
        <f>F2654&amp;E2654&amp;G2654&amp;J2654</f>
        <v/>
      </c>
    </row>
    <row r="2655">
      <c r="B2655" s="51" t="n">
        <v>44198</v>
      </c>
      <c r="C2655" s="36">
        <f>TEXT(B2655,"aaa")</f>
        <v/>
      </c>
      <c r="E2655" s="36">
        <f>INDEX(매칭테이블!C:C,MATCH(RD!G2655,매칭테이블!D:D,0))</f>
        <v/>
      </c>
      <c r="F2655" s="39" t="inlineStr">
        <is>
          <t>카페24</t>
        </is>
      </c>
      <c r="G2655" s="39" t="inlineStr">
        <is>
          <t>유즈 스테이포에버 솔리드퍼퓸 002 (10차 재입고 완료)제품선택=best</t>
        </is>
      </c>
      <c r="H2655" s="39" t="n">
        <v>1</v>
      </c>
      <c r="I2655" s="36">
        <f>VLOOKUP(G2655,매칭테이블!D:E,2,0)</f>
        <v/>
      </c>
      <c r="J2655" s="39" t="n">
        <v>210101</v>
      </c>
      <c r="L2655" s="36">
        <f>VLOOKUP($P2655,매칭테이블!$G:$J,2,0)*H2655</f>
        <v/>
      </c>
      <c r="M2655" s="36">
        <f>L2655-L2655*VLOOKUP($P2655,매칭테이블!$G:$J,3,0)</f>
        <v/>
      </c>
      <c r="N2655" s="36">
        <f>VLOOKUP($P2655,매칭테이블!$G:$J,4,0)*H2655</f>
        <v/>
      </c>
      <c r="O2655" s="52">
        <f>L2655/1.1</f>
        <v/>
      </c>
      <c r="P2655" s="36">
        <f>F2655&amp;E2655&amp;G2655&amp;J2655</f>
        <v/>
      </c>
    </row>
    <row r="2656">
      <c r="B2656" s="51" t="n">
        <v>44198</v>
      </c>
      <c r="C2656" s="36">
        <f>TEXT(B2656,"aaa")</f>
        <v/>
      </c>
      <c r="E2656" s="36">
        <f>INDEX(매칭테이블!C:C,MATCH(RD!G2656,매칭테이블!D:D,0))</f>
        <v/>
      </c>
      <c r="F2656" s="39" t="inlineStr">
        <is>
          <t>카페24</t>
        </is>
      </c>
      <c r="G2656" s="39" t="inlineStr">
        <is>
          <t>유즈 스테이포에버 솔리드퍼퓸 002 (11차 예약구매 진행중)제품선택=스테이포에버 1개</t>
        </is>
      </c>
      <c r="H2656" s="39" t="n">
        <v>426</v>
      </c>
      <c r="I2656" s="36">
        <f>VLOOKUP(G2656,매칭테이블!D:E,2,0)</f>
        <v/>
      </c>
      <c r="J2656" s="39" t="n">
        <v>210101</v>
      </c>
      <c r="L2656" s="36">
        <f>VLOOKUP($P2656,매칭테이블!$G:$J,2,0)*H2656</f>
        <v/>
      </c>
      <c r="M2656" s="36">
        <f>L2656-L2656*VLOOKUP($P2656,매칭테이블!$G:$J,3,0)</f>
        <v/>
      </c>
      <c r="N2656" s="36">
        <f>VLOOKUP($P2656,매칭테이블!$G:$J,4,0)*H2656</f>
        <v/>
      </c>
      <c r="O2656" s="52">
        <f>L2656/1.1</f>
        <v/>
      </c>
      <c r="P2656" s="36">
        <f>F2656&amp;E2656&amp;G2656&amp;J2656</f>
        <v/>
      </c>
    </row>
    <row r="2657">
      <c r="B2657" s="51" t="n">
        <v>44198</v>
      </c>
      <c r="C2657" s="36">
        <f>TEXT(B2657,"aaa")</f>
        <v/>
      </c>
      <c r="E2657" s="36">
        <f>INDEX(매칭테이블!C:C,MATCH(RD!G2657,매칭테이블!D:D,0))</f>
        <v/>
      </c>
      <c r="F2657" s="39" t="inlineStr">
        <is>
          <t>카페24</t>
        </is>
      </c>
      <c r="G2657" s="39" t="inlineStr">
        <is>
          <t>유즈 스테이포에버 솔리드퍼퓸 002 (11차 예약구매 진행중)제품선택=best</t>
        </is>
      </c>
      <c r="H2657" s="39" t="n">
        <v>78</v>
      </c>
      <c r="I2657" s="36">
        <f>VLOOKUP(G2657,매칭테이블!D:E,2,0)</f>
        <v/>
      </c>
      <c r="J2657" s="39" t="n">
        <v>210101</v>
      </c>
      <c r="L2657" s="36">
        <f>VLOOKUP($P2657,매칭테이블!$G:$J,2,0)*H2657</f>
        <v/>
      </c>
      <c r="M2657" s="36">
        <f>L2657-L2657*VLOOKUP($P2657,매칭테이블!$G:$J,3,0)</f>
        <v/>
      </c>
      <c r="N2657" s="36">
        <f>VLOOKUP($P2657,매칭테이블!$G:$J,4,0)*H2657</f>
        <v/>
      </c>
      <c r="O2657" s="52">
        <f>L2657/1.1</f>
        <v/>
      </c>
      <c r="P2657" s="36">
        <f>F2657&amp;E2657&amp;G2657&amp;J2657</f>
        <v/>
      </c>
    </row>
    <row r="2658">
      <c r="B2658" s="51" t="n">
        <v>44198</v>
      </c>
      <c r="C2658" s="36">
        <f>TEXT(B2658,"aaa")</f>
        <v/>
      </c>
      <c r="E2658" s="36">
        <f>INDEX(매칭테이블!C:C,MATCH(RD!G2658,매칭테이블!D:D,0))</f>
        <v/>
      </c>
      <c r="F2658" s="39" t="inlineStr">
        <is>
          <t>카페24</t>
        </is>
      </c>
      <c r="G2658" s="39" t="inlineStr">
        <is>
          <t>유즈 스테이포에버 솔리드퍼퓸 002 (11차 예약구매 진행중)제품선택=best스테이포에버 2개[28% 할인]</t>
        </is>
      </c>
      <c r="H2658" s="39" t="n">
        <v>137</v>
      </c>
      <c r="I2658" s="36">
        <f>VLOOKUP(G2658,매칭테이블!D:E,2,0)</f>
        <v/>
      </c>
      <c r="J2658" s="39" t="n">
        <v>210101</v>
      </c>
      <c r="L2658" s="36">
        <f>VLOOKUP($P2658,매칭테이블!$G:$J,2,0)*H2658</f>
        <v/>
      </c>
      <c r="M2658" s="36">
        <f>L2658-L2658*VLOOKUP($P2658,매칭테이블!$G:$J,3,0)</f>
        <v/>
      </c>
      <c r="N2658" s="36">
        <f>VLOOKUP($P2658,매칭테이블!$G:$J,4,0)*H2658</f>
        <v/>
      </c>
      <c r="O2658" s="52">
        <f>L2658/1.1</f>
        <v/>
      </c>
      <c r="P2658" s="36">
        <f>F2658&amp;E2658&amp;G2658&amp;J2658</f>
        <v/>
      </c>
    </row>
    <row r="2659">
      <c r="B2659" s="51" t="n">
        <v>44198</v>
      </c>
      <c r="C2659" s="36">
        <f>TEXT(B2659,"aaa")</f>
        <v/>
      </c>
      <c r="E2659" s="36">
        <f>INDEX(매칭테이블!C:C,MATCH(RD!G2659,매칭테이블!D:D,0))</f>
        <v/>
      </c>
      <c r="F2659" s="39" t="inlineStr">
        <is>
          <t>카페24</t>
        </is>
      </c>
      <c r="G2659" s="39" t="inlineStr">
        <is>
          <t>유즈 스테이포에버 솔리드퍼퓸 002 (11차 예약구매 진행중)제품선택=커플추천</t>
        </is>
      </c>
      <c r="H2659" s="39" t="n">
        <v>11</v>
      </c>
      <c r="I2659" s="36">
        <f>VLOOKUP(G2659,매칭테이블!D:E,2,0)</f>
        <v/>
      </c>
      <c r="J2659" s="39" t="n">
        <v>210101</v>
      </c>
      <c r="L2659" s="36">
        <f>VLOOKUP($P2659,매칭테이블!$G:$J,2,0)*H2659</f>
        <v/>
      </c>
      <c r="M2659" s="36">
        <f>L2659-L2659*VLOOKUP($P2659,매칭테이블!$G:$J,3,0)</f>
        <v/>
      </c>
      <c r="N2659" s="36">
        <f>VLOOKUP($P2659,매칭테이블!$G:$J,4,0)*H2659</f>
        <v/>
      </c>
      <c r="O2659" s="52">
        <f>L2659/1.1</f>
        <v/>
      </c>
      <c r="P2659" s="36">
        <f>F2659&amp;E2659&amp;G2659&amp;J2659</f>
        <v/>
      </c>
    </row>
    <row r="2660">
      <c r="B2660" s="51" t="n">
        <v>44198</v>
      </c>
      <c r="C2660" s="36">
        <f>TEXT(B2660,"aaa")</f>
        <v/>
      </c>
      <c r="E2660" s="36">
        <f>INDEX(매칭테이블!C:C,MATCH(RD!G2660,매칭테이블!D:D,0))</f>
        <v/>
      </c>
      <c r="F2660" s="39" t="inlineStr">
        <is>
          <t>카페24</t>
        </is>
      </c>
      <c r="G2660" s="39" t="inlineStr">
        <is>
          <t>유즈 스테이포에버 솔리드퍼퓸 002 (11차 예약구매 진행중)제품선택=커플추천스테이포에버 + 이그나이트 세트</t>
        </is>
      </c>
      <c r="H2660" s="39" t="n">
        <v>19</v>
      </c>
      <c r="I2660" s="36">
        <f>VLOOKUP(G2660,매칭테이블!D:E,2,0)</f>
        <v/>
      </c>
      <c r="J2660" s="39" t="n">
        <v>210101</v>
      </c>
      <c r="L2660" s="36">
        <f>VLOOKUP($P2660,매칭테이블!$G:$J,2,0)*H2660</f>
        <v/>
      </c>
      <c r="M2660" s="36">
        <f>L2660-L2660*VLOOKUP($P2660,매칭테이블!$G:$J,3,0)</f>
        <v/>
      </c>
      <c r="N2660" s="36">
        <f>VLOOKUP($P2660,매칭테이블!$G:$J,4,0)*H2660</f>
        <v/>
      </c>
      <c r="O2660" s="52">
        <f>L2660/1.1</f>
        <v/>
      </c>
      <c r="P2660" s="36">
        <f>F2660&amp;E2660&amp;G2660&amp;J2660</f>
        <v/>
      </c>
    </row>
    <row r="2661">
      <c r="B2661" s="51" t="n">
        <v>44198</v>
      </c>
      <c r="C2661" s="36">
        <f>TEXT(B2661,"aaa")</f>
        <v/>
      </c>
      <c r="E2661" s="36">
        <f>INDEX(매칭테이블!C:C,MATCH(RD!G2661,매칭테이블!D:D,0))</f>
        <v/>
      </c>
      <c r="F2661" s="39" t="inlineStr">
        <is>
          <t>카페24</t>
        </is>
      </c>
      <c r="G2661" s="39" t="inlineStr">
        <is>
          <t>유즈 스테이포에버 솔리드퍼퓸 002 (11차 예약구매 진행중)쇼핑백=선물용 쇼핑백</t>
        </is>
      </c>
      <c r="H2661" s="39" t="n">
        <v>17</v>
      </c>
      <c r="I2661" s="36">
        <f>VLOOKUP(G2661,매칭테이블!D:E,2,0)</f>
        <v/>
      </c>
      <c r="J2661" s="39" t="n">
        <v>210101</v>
      </c>
      <c r="L2661" s="36">
        <f>VLOOKUP($P2661,매칭테이블!$G:$J,2,0)*H2661</f>
        <v/>
      </c>
      <c r="M2661" s="36">
        <f>L2661-L2661*VLOOKUP($P2661,매칭테이블!$G:$J,3,0)</f>
        <v/>
      </c>
      <c r="N2661" s="36">
        <f>VLOOKUP($P2661,매칭테이블!$G:$J,4,0)*H2661</f>
        <v/>
      </c>
      <c r="O2661" s="52">
        <f>L2661/1.1</f>
        <v/>
      </c>
      <c r="P2661" s="36">
        <f>F2661&amp;E2661&amp;G2661&amp;J2661</f>
        <v/>
      </c>
    </row>
    <row r="2662">
      <c r="B2662" s="51" t="n">
        <v>44198</v>
      </c>
      <c r="C2662" s="36">
        <f>TEXT(B2662,"aaa")</f>
        <v/>
      </c>
      <c r="E2662" s="36">
        <f>INDEX(매칭테이블!C:C,MATCH(RD!G2662,매칭테이블!D:D,0))</f>
        <v/>
      </c>
      <c r="F2662" s="39" t="inlineStr">
        <is>
          <t>카페24</t>
        </is>
      </c>
      <c r="G2662" s="39" t="inlineStr">
        <is>
          <t>유즈 이그나이트 솔리드퍼퓸 001제품선택=이그나이트 솔리드퍼퓸 - 30ml</t>
        </is>
      </c>
      <c r="H2662" s="39" t="n">
        <v>9</v>
      </c>
      <c r="I2662" s="36">
        <f>VLOOKUP(G2662,매칭테이블!D:E,2,0)</f>
        <v/>
      </c>
      <c r="J2662" s="39" t="n">
        <v>210101</v>
      </c>
      <c r="L2662" s="36">
        <f>VLOOKUP($P2662,매칭테이블!$G:$J,2,0)*H2662</f>
        <v/>
      </c>
      <c r="M2662" s="36">
        <f>L2662-L2662*VLOOKUP($P2662,매칭테이블!$G:$J,3,0)</f>
        <v/>
      </c>
      <c r="N2662" s="36">
        <f>VLOOKUP($P2662,매칭테이블!$G:$J,4,0)*H2662</f>
        <v/>
      </c>
      <c r="O2662" s="52">
        <f>L2662/1.1</f>
        <v/>
      </c>
      <c r="P2662" s="36">
        <f>F2662&amp;E2662&amp;G2662&amp;J2662</f>
        <v/>
      </c>
    </row>
    <row r="2663">
      <c r="B2663" s="51" t="n">
        <v>44198</v>
      </c>
      <c r="C2663" s="36">
        <f>TEXT(B2663,"aaa")</f>
        <v/>
      </c>
      <c r="E2663" s="36">
        <f>INDEX(매칭테이블!C:C,MATCH(RD!G2663,매칭테이블!D:D,0))</f>
        <v/>
      </c>
      <c r="F2663" s="39" t="inlineStr">
        <is>
          <t>카페24</t>
        </is>
      </c>
      <c r="G2663" s="39" t="inlineStr">
        <is>
          <t>유즈 이그나이트 솔리드퍼퓸 001제품선택=이그나이트 2개 세트</t>
        </is>
      </c>
      <c r="H2663" s="39" t="n">
        <v>1</v>
      </c>
      <c r="I2663" s="36">
        <f>VLOOKUP(G2663,매칭테이블!D:E,2,0)</f>
        <v/>
      </c>
      <c r="J2663" s="39" t="n">
        <v>210101</v>
      </c>
      <c r="L2663" s="36">
        <f>VLOOKUP($P2663,매칭테이블!$G:$J,2,0)*H2663</f>
        <v/>
      </c>
      <c r="M2663" s="36">
        <f>L2663-L2663*VLOOKUP($P2663,매칭테이블!$G:$J,3,0)</f>
        <v/>
      </c>
      <c r="N2663" s="36">
        <f>VLOOKUP($P2663,매칭테이블!$G:$J,4,0)*H2663</f>
        <v/>
      </c>
      <c r="O2663" s="52">
        <f>L2663/1.1</f>
        <v/>
      </c>
      <c r="P2663" s="36">
        <f>F2663&amp;E2663&amp;G2663&amp;J2663</f>
        <v/>
      </c>
    </row>
    <row r="2664">
      <c r="B2664" s="51" t="n">
        <v>44199</v>
      </c>
      <c r="C2664" s="36">
        <f>TEXT(B2664,"aaa")</f>
        <v/>
      </c>
      <c r="E2664" s="36">
        <f>INDEX(매칭테이블!C:C,MATCH(RD!G2664,매칭테이블!D:D,0))</f>
        <v/>
      </c>
      <c r="F2664" s="39" t="inlineStr">
        <is>
          <t>카페24</t>
        </is>
      </c>
      <c r="G2664" s="39" t="inlineStr">
        <is>
          <t>유즈 솔리드퍼퓸 - 30ml (11차 예약구매 진행중)향=이그나이트 001 SOLID PERFUME, 세트 선택=1개</t>
        </is>
      </c>
      <c r="H2664" s="39" t="n">
        <v>1</v>
      </c>
      <c r="I2664" s="36">
        <f>VLOOKUP(G2664,매칭테이블!D:E,2,0)</f>
        <v/>
      </c>
      <c r="J2664" s="39" t="n">
        <v>210101</v>
      </c>
      <c r="L2664" s="36">
        <f>VLOOKUP($P2664,매칭테이블!$G:$J,2,0)*H2664</f>
        <v/>
      </c>
      <c r="M2664" s="36">
        <f>L2664-L2664*VLOOKUP($P2664,매칭테이블!$G:$J,3,0)</f>
        <v/>
      </c>
      <c r="N2664" s="36">
        <f>VLOOKUP($P2664,매칭테이블!$G:$J,4,0)*H2664</f>
        <v/>
      </c>
      <c r="O2664" s="52">
        <f>L2664/1.1</f>
        <v/>
      </c>
      <c r="P2664" s="36">
        <f>F2664&amp;E2664&amp;G2664&amp;J2664</f>
        <v/>
      </c>
    </row>
    <row r="2665">
      <c r="B2665" s="51" t="n">
        <v>44199</v>
      </c>
      <c r="C2665" s="36">
        <f>TEXT(B2665,"aaa")</f>
        <v/>
      </c>
      <c r="E2665" s="36">
        <f>INDEX(매칭테이블!C:C,MATCH(RD!G2665,매칭테이블!D:D,0))</f>
        <v/>
      </c>
      <c r="F2665" s="39" t="inlineStr">
        <is>
          <t>카페24</t>
        </is>
      </c>
      <c r="G2665" s="39" t="inlineStr">
        <is>
          <t>유즈 솔리드퍼퓸 - 30ml (11차 예약구매 진행중)향=스테이포에버 002 SOLID PERFUME, 세트 선택=1개</t>
        </is>
      </c>
      <c r="H2665" s="39" t="n">
        <v>18</v>
      </c>
      <c r="I2665" s="36">
        <f>VLOOKUP(G2665,매칭테이블!D:E,2,0)</f>
        <v/>
      </c>
      <c r="J2665" s="39" t="n">
        <v>210101</v>
      </c>
      <c r="L2665" s="36">
        <f>VLOOKUP($P2665,매칭테이블!$G:$J,2,0)*H2665</f>
        <v/>
      </c>
      <c r="M2665" s="36">
        <f>L2665-L2665*VLOOKUP($P2665,매칭테이블!$G:$J,3,0)</f>
        <v/>
      </c>
      <c r="N2665" s="36">
        <f>VLOOKUP($P2665,매칭테이블!$G:$J,4,0)*H2665</f>
        <v/>
      </c>
      <c r="O2665" s="52">
        <f>L2665/1.1</f>
        <v/>
      </c>
      <c r="P2665" s="36">
        <f>F2665&amp;E2665&amp;G2665&amp;J2665</f>
        <v/>
      </c>
    </row>
    <row r="2666">
      <c r="B2666" s="51" t="n">
        <v>44199</v>
      </c>
      <c r="C2666" s="36">
        <f>TEXT(B2666,"aaa")</f>
        <v/>
      </c>
      <c r="E2666" s="36">
        <f>INDEX(매칭테이블!C:C,MATCH(RD!G2666,매칭테이블!D:D,0))</f>
        <v/>
      </c>
      <c r="F2666" s="39" t="inlineStr">
        <is>
          <t>카페24</t>
        </is>
      </c>
      <c r="G2666" s="39" t="inlineStr">
        <is>
          <t>유즈 솔리드퍼퓸 - 30ml (11차 예약구매 진행중)향=스테이포에버 002 SOLID PERFUME, 세트 선택=best</t>
        </is>
      </c>
      <c r="H2666" s="39" t="n">
        <v>7</v>
      </c>
      <c r="I2666" s="36">
        <f>VLOOKUP(G2666,매칭테이블!D:E,2,0)</f>
        <v/>
      </c>
      <c r="J2666" s="39" t="n">
        <v>210101</v>
      </c>
      <c r="L2666" s="36">
        <f>VLOOKUP($P2666,매칭테이블!$G:$J,2,0)*H2666</f>
        <v/>
      </c>
      <c r="M2666" s="36">
        <f>L2666-L2666*VLOOKUP($P2666,매칭테이블!$G:$J,3,0)</f>
        <v/>
      </c>
      <c r="N2666" s="36">
        <f>VLOOKUP($P2666,매칭테이블!$G:$J,4,0)*H2666</f>
        <v/>
      </c>
      <c r="O2666" s="52">
        <f>L2666/1.1</f>
        <v/>
      </c>
      <c r="P2666" s="36">
        <f>F2666&amp;E2666&amp;G2666&amp;J2666</f>
        <v/>
      </c>
    </row>
    <row r="2667">
      <c r="B2667" s="51" t="n">
        <v>44199</v>
      </c>
      <c r="C2667" s="36">
        <f>TEXT(B2667,"aaa")</f>
        <v/>
      </c>
      <c r="E2667" s="36">
        <f>INDEX(매칭테이블!C:C,MATCH(RD!G2667,매칭테이블!D:D,0))</f>
        <v/>
      </c>
      <c r="F2667" s="39" t="inlineStr">
        <is>
          <t>카페24</t>
        </is>
      </c>
      <c r="G2667" s="39" t="inlineStr">
        <is>
          <t>유즈 솔리드퍼퓸 - 30ml (11차 예약구매 진행중)향=커플세트</t>
        </is>
      </c>
      <c r="H2667" s="39" t="n">
        <v>7</v>
      </c>
      <c r="I2667" s="36">
        <f>VLOOKUP(G2667,매칭테이블!D:E,2,0)</f>
        <v/>
      </c>
      <c r="J2667" s="39" t="n">
        <v>210101</v>
      </c>
      <c r="L2667" s="36">
        <f>VLOOKUP($P2667,매칭테이블!$G:$J,2,0)*H2667</f>
        <v/>
      </c>
      <c r="M2667" s="36">
        <f>L2667-L2667*VLOOKUP($P2667,매칭테이블!$G:$J,3,0)</f>
        <v/>
      </c>
      <c r="N2667" s="36">
        <f>VLOOKUP($P2667,매칭테이블!$G:$J,4,0)*H2667</f>
        <v/>
      </c>
      <c r="O2667" s="52">
        <f>L2667/1.1</f>
        <v/>
      </c>
      <c r="P2667" s="36">
        <f>F2667&amp;E2667&amp;G2667&amp;J2667</f>
        <v/>
      </c>
    </row>
    <row r="2668">
      <c r="B2668" s="51" t="n">
        <v>44199</v>
      </c>
      <c r="C2668" s="36">
        <f>TEXT(B2668,"aaa")</f>
        <v/>
      </c>
      <c r="E2668" s="36">
        <f>INDEX(매칭테이블!C:C,MATCH(RD!G2668,매칭테이블!D:D,0))</f>
        <v/>
      </c>
      <c r="F2668" s="39" t="inlineStr">
        <is>
          <t>카페24</t>
        </is>
      </c>
      <c r="G2668" s="39" t="inlineStr">
        <is>
          <t>유즈 솔리드퍼퓸 - 30ml (11차 예약구매 진행중)향=커플세트(이그나이트 + 스테이포에버), 세트 선택=1 SET</t>
        </is>
      </c>
      <c r="H2668" s="39" t="n">
        <v>5</v>
      </c>
      <c r="I2668" s="36">
        <f>VLOOKUP(G2668,매칭테이블!D:E,2,0)</f>
        <v/>
      </c>
      <c r="J2668" s="39" t="n">
        <v>210101</v>
      </c>
      <c r="L2668" s="36">
        <f>VLOOKUP($P2668,매칭테이블!$G:$J,2,0)*H2668</f>
        <v/>
      </c>
      <c r="M2668" s="36">
        <f>L2668-L2668*VLOOKUP($P2668,매칭테이블!$G:$J,3,0)</f>
        <v/>
      </c>
      <c r="N2668" s="36">
        <f>VLOOKUP($P2668,매칭테이블!$G:$J,4,0)*H2668</f>
        <v/>
      </c>
      <c r="O2668" s="52">
        <f>L2668/1.1</f>
        <v/>
      </c>
      <c r="P2668" s="36">
        <f>F2668&amp;E2668&amp;G2668&amp;J2668</f>
        <v/>
      </c>
    </row>
    <row r="2669">
      <c r="B2669" s="51" t="n">
        <v>44199</v>
      </c>
      <c r="C2669" s="36">
        <f>TEXT(B2669,"aaa")</f>
        <v/>
      </c>
      <c r="E2669" s="36">
        <f>INDEX(매칭테이블!C:C,MATCH(RD!G2669,매칭테이블!D:D,0))</f>
        <v/>
      </c>
      <c r="F2669" s="39" t="inlineStr">
        <is>
          <t>카페24</t>
        </is>
      </c>
      <c r="G2669" s="39" t="inlineStr">
        <is>
          <t>유즈 솔리드퍼퓸 - 30ml (11차 예약구매 진행중)향=커플세트</t>
        </is>
      </c>
      <c r="H2669" s="39" t="n">
        <v>1</v>
      </c>
      <c r="I2669" s="36">
        <f>VLOOKUP(G2669,매칭테이블!D:E,2,0)</f>
        <v/>
      </c>
      <c r="J2669" s="39" t="n">
        <v>210101</v>
      </c>
      <c r="L2669" s="36">
        <f>VLOOKUP($P2669,매칭테이블!$G:$J,2,0)*H2669</f>
        <v/>
      </c>
      <c r="M2669" s="36">
        <f>L2669-L2669*VLOOKUP($P2669,매칭테이블!$G:$J,3,0)</f>
        <v/>
      </c>
      <c r="N2669" s="36">
        <f>VLOOKUP($P2669,매칭테이블!$G:$J,4,0)*H2669</f>
        <v/>
      </c>
      <c r="O2669" s="52">
        <f>L2669/1.1</f>
        <v/>
      </c>
      <c r="P2669" s="36">
        <f>F2669&amp;E2669&amp;G2669&amp;J2669</f>
        <v/>
      </c>
    </row>
    <row r="2670">
      <c r="B2670" s="51" t="n">
        <v>44199</v>
      </c>
      <c r="C2670" s="36">
        <f>TEXT(B2670,"aaa")</f>
        <v/>
      </c>
      <c r="E2670" s="36">
        <f>INDEX(매칭테이블!C:C,MATCH(RD!G2670,매칭테이블!D:D,0))</f>
        <v/>
      </c>
      <c r="F2670" s="39" t="inlineStr">
        <is>
          <t>카페24</t>
        </is>
      </c>
      <c r="G2670" s="39" t="inlineStr">
        <is>
          <t>유즈 솔리드퍼퓸 - 30ml (11차 예약구매 진행중)향=커플세트(이그나이트 + 스테이포에버), 세트 선택=2 SET (42% 할인)</t>
        </is>
      </c>
      <c r="H2670" s="39" t="n">
        <v>1</v>
      </c>
      <c r="I2670" s="36">
        <f>VLOOKUP(G2670,매칭테이블!D:E,2,0)</f>
        <v/>
      </c>
      <c r="J2670" s="39" t="n">
        <v>210101</v>
      </c>
      <c r="L2670" s="36">
        <f>VLOOKUP($P2670,매칭테이블!$G:$J,2,0)*H2670</f>
        <v/>
      </c>
      <c r="M2670" s="36">
        <f>L2670-L2670*VLOOKUP($P2670,매칭테이블!$G:$J,3,0)</f>
        <v/>
      </c>
      <c r="N2670" s="36">
        <f>VLOOKUP($P2670,매칭테이블!$G:$J,4,0)*H2670</f>
        <v/>
      </c>
      <c r="O2670" s="52">
        <f>L2670/1.1</f>
        <v/>
      </c>
      <c r="P2670" s="36">
        <f>F2670&amp;E2670&amp;G2670&amp;J2670</f>
        <v/>
      </c>
    </row>
    <row r="2671">
      <c r="B2671" s="51" t="n">
        <v>44199</v>
      </c>
      <c r="C2671" s="36">
        <f>TEXT(B2671,"aaa")</f>
        <v/>
      </c>
      <c r="E2671" s="36">
        <f>INDEX(매칭테이블!C:C,MATCH(RD!G2671,매칭테이블!D:D,0))</f>
        <v/>
      </c>
      <c r="F2671" s="39" t="inlineStr">
        <is>
          <t>카페24</t>
        </is>
      </c>
      <c r="G2671" s="39" t="inlineStr">
        <is>
          <t>유즈 스테이포에버 솔리드퍼퓸 002 (10차 재입고 완료)제품선택=스테이포에버 1개</t>
        </is>
      </c>
      <c r="H2671" s="39" t="n">
        <v>1</v>
      </c>
      <c r="I2671" s="36">
        <f>VLOOKUP(G2671,매칭테이블!D:E,2,0)</f>
        <v/>
      </c>
      <c r="J2671" s="39" t="n">
        <v>210101</v>
      </c>
      <c r="L2671" s="36">
        <f>VLOOKUP($P2671,매칭테이블!$G:$J,2,0)*H2671</f>
        <v/>
      </c>
      <c r="M2671" s="36">
        <f>L2671-L2671*VLOOKUP($P2671,매칭테이블!$G:$J,3,0)</f>
        <v/>
      </c>
      <c r="N2671" s="36">
        <f>VLOOKUP($P2671,매칭테이블!$G:$J,4,0)*H2671</f>
        <v/>
      </c>
      <c r="O2671" s="52">
        <f>L2671/1.1</f>
        <v/>
      </c>
      <c r="P2671" s="36">
        <f>F2671&amp;E2671&amp;G2671&amp;J2671</f>
        <v/>
      </c>
    </row>
    <row r="2672">
      <c r="B2672" s="51" t="n">
        <v>44199</v>
      </c>
      <c r="C2672" s="36">
        <f>TEXT(B2672,"aaa")</f>
        <v/>
      </c>
      <c r="E2672" s="36">
        <f>INDEX(매칭테이블!C:C,MATCH(RD!G2672,매칭테이블!D:D,0))</f>
        <v/>
      </c>
      <c r="F2672" s="39" t="inlineStr">
        <is>
          <t>카페24</t>
        </is>
      </c>
      <c r="G2672" s="39" t="inlineStr">
        <is>
          <t>유즈 스테이포에버 솔리드퍼퓸 002 (10차 재입고 완료)제품선택=best스테이포에버 2개[28% 할인]</t>
        </is>
      </c>
      <c r="H2672" s="39" t="n">
        <v>1</v>
      </c>
      <c r="I2672" s="36">
        <f>VLOOKUP(G2672,매칭테이블!D:E,2,0)</f>
        <v/>
      </c>
      <c r="J2672" s="39" t="n">
        <v>210101</v>
      </c>
      <c r="L2672" s="36">
        <f>VLOOKUP($P2672,매칭테이블!$G:$J,2,0)*H2672</f>
        <v/>
      </c>
      <c r="M2672" s="36">
        <f>L2672-L2672*VLOOKUP($P2672,매칭테이블!$G:$J,3,0)</f>
        <v/>
      </c>
      <c r="N2672" s="36">
        <f>VLOOKUP($P2672,매칭테이블!$G:$J,4,0)*H2672</f>
        <v/>
      </c>
      <c r="O2672" s="52">
        <f>L2672/1.1</f>
        <v/>
      </c>
      <c r="P2672" s="36">
        <f>F2672&amp;E2672&amp;G2672&amp;J2672</f>
        <v/>
      </c>
    </row>
    <row r="2673">
      <c r="B2673" s="51" t="n">
        <v>44199</v>
      </c>
      <c r="C2673" s="36">
        <f>TEXT(B2673,"aaa")</f>
        <v/>
      </c>
      <c r="E2673" s="36">
        <f>INDEX(매칭테이블!C:C,MATCH(RD!G2673,매칭테이블!D:D,0))</f>
        <v/>
      </c>
      <c r="F2673" s="39" t="inlineStr">
        <is>
          <t>카페24</t>
        </is>
      </c>
      <c r="G2673" s="39" t="inlineStr">
        <is>
          <t>유즈 스테이포에버 솔리드퍼퓸 002 (11차 예약구매 진행중)제품선택=스테이포에버 1개</t>
        </is>
      </c>
      <c r="H2673" s="39" t="n">
        <v>404</v>
      </c>
      <c r="I2673" s="36">
        <f>VLOOKUP(G2673,매칭테이블!D:E,2,0)</f>
        <v/>
      </c>
      <c r="J2673" s="39" t="n">
        <v>210101</v>
      </c>
      <c r="L2673" s="36">
        <f>VLOOKUP($P2673,매칭테이블!$G:$J,2,0)*H2673</f>
        <v/>
      </c>
      <c r="M2673" s="36">
        <f>L2673-L2673*VLOOKUP($P2673,매칭테이블!$G:$J,3,0)</f>
        <v/>
      </c>
      <c r="N2673" s="36">
        <f>VLOOKUP($P2673,매칭테이블!$G:$J,4,0)*H2673</f>
        <v/>
      </c>
      <c r="O2673" s="52">
        <f>L2673/1.1</f>
        <v/>
      </c>
      <c r="P2673" s="36">
        <f>F2673&amp;E2673&amp;G2673&amp;J2673</f>
        <v/>
      </c>
    </row>
    <row r="2674">
      <c r="B2674" s="51" t="n">
        <v>44199</v>
      </c>
      <c r="C2674" s="36">
        <f>TEXT(B2674,"aaa")</f>
        <v/>
      </c>
      <c r="E2674" s="36">
        <f>INDEX(매칭테이블!C:C,MATCH(RD!G2674,매칭테이블!D:D,0))</f>
        <v/>
      </c>
      <c r="F2674" s="39" t="inlineStr">
        <is>
          <t>카페24</t>
        </is>
      </c>
      <c r="G2674" s="39" t="inlineStr">
        <is>
          <t>유즈 스테이포에버 솔리드퍼퓸 002 (11차 예약구매 진행중)제품선택=best</t>
        </is>
      </c>
      <c r="H2674" s="39" t="n">
        <v>81</v>
      </c>
      <c r="I2674" s="36">
        <f>VLOOKUP(G2674,매칭테이블!D:E,2,0)</f>
        <v/>
      </c>
      <c r="J2674" s="39" t="n">
        <v>210101</v>
      </c>
      <c r="L2674" s="36">
        <f>VLOOKUP($P2674,매칭테이블!$G:$J,2,0)*H2674</f>
        <v/>
      </c>
      <c r="M2674" s="36">
        <f>L2674-L2674*VLOOKUP($P2674,매칭테이블!$G:$J,3,0)</f>
        <v/>
      </c>
      <c r="N2674" s="36">
        <f>VLOOKUP($P2674,매칭테이블!$G:$J,4,0)*H2674</f>
        <v/>
      </c>
      <c r="O2674" s="52">
        <f>L2674/1.1</f>
        <v/>
      </c>
      <c r="P2674" s="36">
        <f>F2674&amp;E2674&amp;G2674&amp;J2674</f>
        <v/>
      </c>
    </row>
    <row r="2675">
      <c r="B2675" s="51" t="n">
        <v>44199</v>
      </c>
      <c r="C2675" s="36">
        <f>TEXT(B2675,"aaa")</f>
        <v/>
      </c>
      <c r="E2675" s="36">
        <f>INDEX(매칭테이블!C:C,MATCH(RD!G2675,매칭테이블!D:D,0))</f>
        <v/>
      </c>
      <c r="F2675" s="39" t="inlineStr">
        <is>
          <t>카페24</t>
        </is>
      </c>
      <c r="G2675" s="39" t="inlineStr">
        <is>
          <t>유즈 스테이포에버 솔리드퍼퓸 002 (11차 예약구매 진행중)제품선택=best스테이포에버 2개[28% 할인]</t>
        </is>
      </c>
      <c r="H2675" s="39" t="n">
        <v>129</v>
      </c>
      <c r="I2675" s="36">
        <f>VLOOKUP(G2675,매칭테이블!D:E,2,0)</f>
        <v/>
      </c>
      <c r="J2675" s="39" t="n">
        <v>210101</v>
      </c>
      <c r="L2675" s="36">
        <f>VLOOKUP($P2675,매칭테이블!$G:$J,2,0)*H2675</f>
        <v/>
      </c>
      <c r="M2675" s="36">
        <f>L2675-L2675*VLOOKUP($P2675,매칭테이블!$G:$J,3,0)</f>
        <v/>
      </c>
      <c r="N2675" s="36">
        <f>VLOOKUP($P2675,매칭테이블!$G:$J,4,0)*H2675</f>
        <v/>
      </c>
      <c r="O2675" s="52">
        <f>L2675/1.1</f>
        <v/>
      </c>
      <c r="P2675" s="36">
        <f>F2675&amp;E2675&amp;G2675&amp;J2675</f>
        <v/>
      </c>
    </row>
    <row r="2676">
      <c r="B2676" s="51" t="n">
        <v>44199</v>
      </c>
      <c r="C2676" s="36">
        <f>TEXT(B2676,"aaa")</f>
        <v/>
      </c>
      <c r="E2676" s="36">
        <f>INDEX(매칭테이블!C:C,MATCH(RD!G2676,매칭테이블!D:D,0))</f>
        <v/>
      </c>
      <c r="F2676" s="39" t="inlineStr">
        <is>
          <t>카페24</t>
        </is>
      </c>
      <c r="G2676" s="39" t="inlineStr">
        <is>
          <t>유즈 스테이포에버 솔리드퍼퓸 002 (11차 예약구매 진행중)제품선택=커플추천</t>
        </is>
      </c>
      <c r="H2676" s="39" t="n">
        <v>7</v>
      </c>
      <c r="I2676" s="36">
        <f>VLOOKUP(G2676,매칭테이블!D:E,2,0)</f>
        <v/>
      </c>
      <c r="J2676" s="39" t="n">
        <v>210101</v>
      </c>
      <c r="L2676" s="36">
        <f>VLOOKUP($P2676,매칭테이블!$G:$J,2,0)*H2676</f>
        <v/>
      </c>
      <c r="M2676" s="36">
        <f>L2676-L2676*VLOOKUP($P2676,매칭테이블!$G:$J,3,0)</f>
        <v/>
      </c>
      <c r="N2676" s="36">
        <f>VLOOKUP($P2676,매칭테이블!$G:$J,4,0)*H2676</f>
        <v/>
      </c>
      <c r="O2676" s="52">
        <f>L2676/1.1</f>
        <v/>
      </c>
      <c r="P2676" s="36">
        <f>F2676&amp;E2676&amp;G2676&amp;J2676</f>
        <v/>
      </c>
    </row>
    <row r="2677">
      <c r="B2677" s="51" t="n">
        <v>44199</v>
      </c>
      <c r="C2677" s="36">
        <f>TEXT(B2677,"aaa")</f>
        <v/>
      </c>
      <c r="E2677" s="36">
        <f>INDEX(매칭테이블!C:C,MATCH(RD!G2677,매칭테이블!D:D,0))</f>
        <v/>
      </c>
      <c r="F2677" s="39" t="inlineStr">
        <is>
          <t>카페24</t>
        </is>
      </c>
      <c r="G2677" s="39" t="inlineStr">
        <is>
          <t>유즈 스테이포에버 솔리드퍼퓸 002 (11차 예약구매 진행중)제품선택=커플추천스테이포에버 + 이그나이트 세트</t>
        </is>
      </c>
      <c r="H2677" s="39" t="n">
        <v>17</v>
      </c>
      <c r="I2677" s="36">
        <f>VLOOKUP(G2677,매칭테이블!D:E,2,0)</f>
        <v/>
      </c>
      <c r="J2677" s="39" t="n">
        <v>210101</v>
      </c>
      <c r="L2677" s="36">
        <f>VLOOKUP($P2677,매칭테이블!$G:$J,2,0)*H2677</f>
        <v/>
      </c>
      <c r="M2677" s="36">
        <f>L2677-L2677*VLOOKUP($P2677,매칭테이블!$G:$J,3,0)</f>
        <v/>
      </c>
      <c r="N2677" s="36">
        <f>VLOOKUP($P2677,매칭테이블!$G:$J,4,0)*H2677</f>
        <v/>
      </c>
      <c r="O2677" s="52">
        <f>L2677/1.1</f>
        <v/>
      </c>
      <c r="P2677" s="36">
        <f>F2677&amp;E2677&amp;G2677&amp;J2677</f>
        <v/>
      </c>
    </row>
    <row r="2678">
      <c r="B2678" s="51" t="n">
        <v>44199</v>
      </c>
      <c r="C2678" s="36">
        <f>TEXT(B2678,"aaa")</f>
        <v/>
      </c>
      <c r="E2678" s="36">
        <f>INDEX(매칭테이블!C:C,MATCH(RD!G2678,매칭테이블!D:D,0))</f>
        <v/>
      </c>
      <c r="F2678" s="39" t="inlineStr">
        <is>
          <t>카페24</t>
        </is>
      </c>
      <c r="G2678" s="39" t="inlineStr">
        <is>
          <t>유즈 스테이포에버 솔리드퍼퓸 002 (11차 예약구매 진행중)쇼핑백=선물용 쇼핑백</t>
        </is>
      </c>
      <c r="H2678" s="39" t="n">
        <v>21</v>
      </c>
      <c r="I2678" s="36">
        <f>VLOOKUP(G2678,매칭테이블!D:E,2,0)</f>
        <v/>
      </c>
      <c r="J2678" s="39" t="n">
        <v>210101</v>
      </c>
      <c r="L2678" s="36">
        <f>VLOOKUP($P2678,매칭테이블!$G:$J,2,0)*H2678</f>
        <v/>
      </c>
      <c r="M2678" s="36">
        <f>L2678-L2678*VLOOKUP($P2678,매칭테이블!$G:$J,3,0)</f>
        <v/>
      </c>
      <c r="N2678" s="36">
        <f>VLOOKUP($P2678,매칭테이블!$G:$J,4,0)*H2678</f>
        <v/>
      </c>
      <c r="O2678" s="52">
        <f>L2678/1.1</f>
        <v/>
      </c>
      <c r="P2678" s="36">
        <f>F2678&amp;E2678&amp;G2678&amp;J2678</f>
        <v/>
      </c>
    </row>
    <row r="2679">
      <c r="B2679" s="51" t="n">
        <v>44199</v>
      </c>
      <c r="C2679" s="36">
        <f>TEXT(B2679,"aaa")</f>
        <v/>
      </c>
      <c r="E2679" s="36">
        <f>INDEX(매칭테이블!C:C,MATCH(RD!G2679,매칭테이블!D:D,0))</f>
        <v/>
      </c>
      <c r="F2679" s="39" t="inlineStr">
        <is>
          <t>카페24</t>
        </is>
      </c>
      <c r="G2679" s="39" t="inlineStr">
        <is>
          <t>유즈 이그나이트 솔리드퍼퓸 001제품선택=이그나이트 솔리드퍼퓸 - 30ml</t>
        </is>
      </c>
      <c r="H2679" s="39" t="n">
        <v>1</v>
      </c>
      <c r="I2679" s="36">
        <f>VLOOKUP(G2679,매칭테이블!D:E,2,0)</f>
        <v/>
      </c>
      <c r="J2679" s="39" t="n">
        <v>210101</v>
      </c>
      <c r="L2679" s="36">
        <f>VLOOKUP($P2679,매칭테이블!$G:$J,2,0)*H2679</f>
        <v/>
      </c>
      <c r="M2679" s="36">
        <f>L2679-L2679*VLOOKUP($P2679,매칭테이블!$G:$J,3,0)</f>
        <v/>
      </c>
      <c r="N2679" s="36">
        <f>VLOOKUP($P2679,매칭테이블!$G:$J,4,0)*H2679</f>
        <v/>
      </c>
      <c r="O2679" s="52">
        <f>L2679/1.1</f>
        <v/>
      </c>
      <c r="P2679" s="36">
        <f>F2679&amp;E2679&amp;G2679&amp;J2679</f>
        <v/>
      </c>
    </row>
    <row r="2680">
      <c r="B2680" s="51" t="n">
        <v>44199</v>
      </c>
      <c r="C2680" s="36">
        <f>TEXT(B2680,"aaa")</f>
        <v/>
      </c>
      <c r="E2680" s="36">
        <f>INDEX(매칭테이블!C:C,MATCH(RD!G2680,매칭테이블!D:D,0))</f>
        <v/>
      </c>
      <c r="F2680" s="39" t="inlineStr">
        <is>
          <t>카페24</t>
        </is>
      </c>
      <c r="G2680" s="39" t="inlineStr">
        <is>
          <t>유즈 이그나이트 솔리드퍼퓸 001쇼핑백=선물용 쇼핑백</t>
        </is>
      </c>
      <c r="H2680" s="39" t="n">
        <v>1</v>
      </c>
      <c r="I2680" s="36">
        <f>VLOOKUP(G2680,매칭테이블!D:E,2,0)</f>
        <v/>
      </c>
      <c r="J2680" s="39" t="n">
        <v>210101</v>
      </c>
      <c r="L2680" s="36">
        <f>VLOOKUP($P2680,매칭테이블!$G:$J,2,0)*H2680</f>
        <v/>
      </c>
      <c r="M2680" s="36">
        <f>L2680-L2680*VLOOKUP($P2680,매칭테이블!$G:$J,3,0)</f>
        <v/>
      </c>
      <c r="N2680" s="36">
        <f>VLOOKUP($P2680,매칭테이블!$G:$J,4,0)*H2680</f>
        <v/>
      </c>
      <c r="O2680" s="52">
        <f>L2680/1.1</f>
        <v/>
      </c>
      <c r="P2680" s="36">
        <f>F2680&amp;E2680&amp;G2680&amp;J2680</f>
        <v/>
      </c>
    </row>
    <row r="2681">
      <c r="B2681" s="51" t="n">
        <v>44200</v>
      </c>
      <c r="C2681" s="36">
        <f>TEXT(B2681,"aaa")</f>
        <v/>
      </c>
      <c r="E2681" s="36">
        <f>INDEX(매칭테이블!C:C,MATCH(RD!G2681,매칭테이블!D:D,0))</f>
        <v/>
      </c>
      <c r="F2681" s="39" t="inlineStr">
        <is>
          <t>카페24</t>
        </is>
      </c>
      <c r="G2681" s="39" t="inlineStr">
        <is>
          <t>유즈 솔리드퍼퓸 - 30ml (11차 예약구매 진행중)향=이그나이트 001 SOLID PERFUME, 세트 선택=1개</t>
        </is>
      </c>
      <c r="H2681" s="39" t="n">
        <v>1</v>
      </c>
      <c r="I2681" s="36">
        <f>VLOOKUP(G2681,매칭테이블!D:E,2,0)</f>
        <v/>
      </c>
      <c r="J2681" s="39" t="n">
        <v>210101</v>
      </c>
      <c r="L2681" s="36">
        <f>VLOOKUP($P2681,매칭테이블!$G:$J,2,0)*H2681</f>
        <v/>
      </c>
      <c r="M2681" s="36">
        <f>L2681-L2681*VLOOKUP($P2681,매칭테이블!$G:$J,3,0)</f>
        <v/>
      </c>
      <c r="N2681" s="36">
        <f>VLOOKUP($P2681,매칭테이블!$G:$J,4,0)*H2681</f>
        <v/>
      </c>
      <c r="O2681" s="52">
        <f>L2681/1.1</f>
        <v/>
      </c>
      <c r="P2681" s="36">
        <f>F2681&amp;E2681&amp;G2681&amp;J2681</f>
        <v/>
      </c>
    </row>
    <row r="2682">
      <c r="B2682" s="51" t="n">
        <v>44200</v>
      </c>
      <c r="C2682" s="36">
        <f>TEXT(B2682,"aaa")</f>
        <v/>
      </c>
      <c r="E2682" s="36">
        <f>INDEX(매칭테이블!C:C,MATCH(RD!G2682,매칭테이블!D:D,0))</f>
        <v/>
      </c>
      <c r="F2682" s="39" t="inlineStr">
        <is>
          <t>카페24</t>
        </is>
      </c>
      <c r="G2682" s="39" t="inlineStr">
        <is>
          <t>유즈 솔리드퍼퓸 - 30ml (11차 예약구매 진행중)향=이그나이트 001 SOLID PERFUME, 세트 선택=best</t>
        </is>
      </c>
      <c r="H2682" s="39" t="n">
        <v>1</v>
      </c>
      <c r="I2682" s="36">
        <f>VLOOKUP(G2682,매칭테이블!D:E,2,0)</f>
        <v/>
      </c>
      <c r="J2682" s="39" t="n">
        <v>210101</v>
      </c>
      <c r="L2682" s="36">
        <f>VLOOKUP($P2682,매칭테이블!$G:$J,2,0)*H2682</f>
        <v/>
      </c>
      <c r="M2682" s="36">
        <f>L2682-L2682*VLOOKUP($P2682,매칭테이블!$G:$J,3,0)</f>
        <v/>
      </c>
      <c r="N2682" s="36">
        <f>VLOOKUP($P2682,매칭테이블!$G:$J,4,0)*H2682</f>
        <v/>
      </c>
      <c r="O2682" s="52">
        <f>L2682/1.1</f>
        <v/>
      </c>
      <c r="P2682" s="36">
        <f>F2682&amp;E2682&amp;G2682&amp;J2682</f>
        <v/>
      </c>
    </row>
    <row r="2683">
      <c r="B2683" s="51" t="n">
        <v>44200</v>
      </c>
      <c r="C2683" s="36">
        <f>TEXT(B2683,"aaa")</f>
        <v/>
      </c>
      <c r="E2683" s="36">
        <f>INDEX(매칭테이블!C:C,MATCH(RD!G2683,매칭테이블!D:D,0))</f>
        <v/>
      </c>
      <c r="F2683" s="39" t="inlineStr">
        <is>
          <t>카페24</t>
        </is>
      </c>
      <c r="G2683" s="39" t="inlineStr">
        <is>
          <t>유즈 솔리드퍼퓸 - 30ml (11차 예약구매 진행중)향=스테이포에버 002 SOLID PERFUME, 세트 선택=1개</t>
        </is>
      </c>
      <c r="H2683" s="39" t="n">
        <v>10</v>
      </c>
      <c r="I2683" s="36">
        <f>VLOOKUP(G2683,매칭테이블!D:E,2,0)</f>
        <v/>
      </c>
      <c r="J2683" s="39" t="n">
        <v>210101</v>
      </c>
      <c r="L2683" s="36">
        <f>VLOOKUP($P2683,매칭테이블!$G:$J,2,0)*H2683</f>
        <v/>
      </c>
      <c r="M2683" s="36">
        <f>L2683-L2683*VLOOKUP($P2683,매칭테이블!$G:$J,3,0)</f>
        <v/>
      </c>
      <c r="N2683" s="36">
        <f>VLOOKUP($P2683,매칭테이블!$G:$J,4,0)*H2683</f>
        <v/>
      </c>
      <c r="O2683" s="52">
        <f>L2683/1.1</f>
        <v/>
      </c>
      <c r="P2683" s="36">
        <f>F2683&amp;E2683&amp;G2683&amp;J2683</f>
        <v/>
      </c>
    </row>
    <row r="2684">
      <c r="B2684" s="51" t="n">
        <v>44200</v>
      </c>
      <c r="C2684" s="36">
        <f>TEXT(B2684,"aaa")</f>
        <v/>
      </c>
      <c r="E2684" s="36">
        <f>INDEX(매칭테이블!C:C,MATCH(RD!G2684,매칭테이블!D:D,0))</f>
        <v/>
      </c>
      <c r="F2684" s="39" t="inlineStr">
        <is>
          <t>카페24</t>
        </is>
      </c>
      <c r="G2684" s="39" t="inlineStr">
        <is>
          <t>유즈 솔리드퍼퓸 - 30ml (11차 예약구매 진행중)향=스테이포에버 002 SOLID PERFUME, 세트 선택=best</t>
        </is>
      </c>
      <c r="H2684" s="39" t="n">
        <v>4</v>
      </c>
      <c r="I2684" s="36">
        <f>VLOOKUP(G2684,매칭테이블!D:E,2,0)</f>
        <v/>
      </c>
      <c r="J2684" s="39" t="n">
        <v>210101</v>
      </c>
      <c r="L2684" s="36">
        <f>VLOOKUP($P2684,매칭테이블!$G:$J,2,0)*H2684</f>
        <v/>
      </c>
      <c r="M2684" s="36">
        <f>L2684-L2684*VLOOKUP($P2684,매칭테이블!$G:$J,3,0)</f>
        <v/>
      </c>
      <c r="N2684" s="36">
        <f>VLOOKUP($P2684,매칭테이블!$G:$J,4,0)*H2684</f>
        <v/>
      </c>
      <c r="O2684" s="52">
        <f>L2684/1.1</f>
        <v/>
      </c>
      <c r="P2684" s="36">
        <f>F2684&amp;E2684&amp;G2684&amp;J2684</f>
        <v/>
      </c>
    </row>
    <row r="2685">
      <c r="B2685" s="51" t="n">
        <v>44200</v>
      </c>
      <c r="C2685" s="36">
        <f>TEXT(B2685,"aaa")</f>
        <v/>
      </c>
      <c r="E2685" s="36">
        <f>INDEX(매칭테이블!C:C,MATCH(RD!G2685,매칭테이블!D:D,0))</f>
        <v/>
      </c>
      <c r="F2685" s="39" t="inlineStr">
        <is>
          <t>카페24</t>
        </is>
      </c>
      <c r="G2685" s="39" t="inlineStr">
        <is>
          <t>유즈 솔리드퍼퓸 - 30ml (11차 예약구매 진행중)향=스테이포에버 002 SOLID PERFUME, 세트 선택=best 2개 (28% 할인)</t>
        </is>
      </c>
      <c r="H2685" s="39" t="n">
        <v>4</v>
      </c>
      <c r="I2685" s="36">
        <f>VLOOKUP(G2685,매칭테이블!D:E,2,0)</f>
        <v/>
      </c>
      <c r="J2685" s="39" t="n">
        <v>210101</v>
      </c>
      <c r="L2685" s="36">
        <f>VLOOKUP($P2685,매칭테이블!$G:$J,2,0)*H2685</f>
        <v/>
      </c>
      <c r="M2685" s="36">
        <f>L2685-L2685*VLOOKUP($P2685,매칭테이블!$G:$J,3,0)</f>
        <v/>
      </c>
      <c r="N2685" s="36">
        <f>VLOOKUP($P2685,매칭테이블!$G:$J,4,0)*H2685</f>
        <v/>
      </c>
      <c r="O2685" s="52">
        <f>L2685/1.1</f>
        <v/>
      </c>
      <c r="P2685" s="36">
        <f>F2685&amp;E2685&amp;G2685&amp;J2685</f>
        <v/>
      </c>
    </row>
    <row r="2686">
      <c r="B2686" s="51" t="n">
        <v>44200</v>
      </c>
      <c r="C2686" s="36">
        <f>TEXT(B2686,"aaa")</f>
        <v/>
      </c>
      <c r="E2686" s="36">
        <f>INDEX(매칭테이블!C:C,MATCH(RD!G2686,매칭테이블!D:D,0))</f>
        <v/>
      </c>
      <c r="F2686" s="39" t="inlineStr">
        <is>
          <t>카페24</t>
        </is>
      </c>
      <c r="G2686" s="39" t="inlineStr">
        <is>
          <t>유즈 솔리드퍼퓸 - 30ml (11차 예약구매 진행중)향=커플세트</t>
        </is>
      </c>
      <c r="H2686" s="39" t="n">
        <v>7</v>
      </c>
      <c r="I2686" s="36">
        <f>VLOOKUP(G2686,매칭테이블!D:E,2,0)</f>
        <v/>
      </c>
      <c r="J2686" s="39" t="n">
        <v>210101</v>
      </c>
      <c r="L2686" s="36">
        <f>VLOOKUP($P2686,매칭테이블!$G:$J,2,0)*H2686</f>
        <v/>
      </c>
      <c r="M2686" s="36">
        <f>L2686-L2686*VLOOKUP($P2686,매칭테이블!$G:$J,3,0)</f>
        <v/>
      </c>
      <c r="N2686" s="36">
        <f>VLOOKUP($P2686,매칭테이블!$G:$J,4,0)*H2686</f>
        <v/>
      </c>
      <c r="O2686" s="52">
        <f>L2686/1.1</f>
        <v/>
      </c>
      <c r="P2686" s="36">
        <f>F2686&amp;E2686&amp;G2686&amp;J2686</f>
        <v/>
      </c>
    </row>
    <row r="2687">
      <c r="B2687" s="51" t="n">
        <v>44200</v>
      </c>
      <c r="C2687" s="36">
        <f>TEXT(B2687,"aaa")</f>
        <v/>
      </c>
      <c r="E2687" s="36">
        <f>INDEX(매칭테이블!C:C,MATCH(RD!G2687,매칭테이블!D:D,0))</f>
        <v/>
      </c>
      <c r="F2687" s="39" t="inlineStr">
        <is>
          <t>카페24</t>
        </is>
      </c>
      <c r="G2687" s="39" t="inlineStr">
        <is>
          <t>유즈 솔리드퍼퓸 - 30ml (11차 예약구매 진행중)향=커플세트(이그나이트 + 스테이포에버), 세트 선택=1 SET</t>
        </is>
      </c>
      <c r="H2687" s="39" t="n">
        <v>4</v>
      </c>
      <c r="I2687" s="36">
        <f>VLOOKUP(G2687,매칭테이블!D:E,2,0)</f>
        <v/>
      </c>
      <c r="J2687" s="39" t="n">
        <v>210101</v>
      </c>
      <c r="L2687" s="36">
        <f>VLOOKUP($P2687,매칭테이블!$G:$J,2,0)*H2687</f>
        <v/>
      </c>
      <c r="M2687" s="36">
        <f>L2687-L2687*VLOOKUP($P2687,매칭테이블!$G:$J,3,0)</f>
        <v/>
      </c>
      <c r="N2687" s="36">
        <f>VLOOKUP($P2687,매칭테이블!$G:$J,4,0)*H2687</f>
        <v/>
      </c>
      <c r="O2687" s="52">
        <f>L2687/1.1</f>
        <v/>
      </c>
      <c r="P2687" s="36">
        <f>F2687&amp;E2687&amp;G2687&amp;J2687</f>
        <v/>
      </c>
    </row>
    <row r="2688">
      <c r="B2688" s="51" t="n">
        <v>44200</v>
      </c>
      <c r="C2688" s="36">
        <f>TEXT(B2688,"aaa")</f>
        <v/>
      </c>
      <c r="E2688" s="36">
        <f>INDEX(매칭테이블!C:C,MATCH(RD!G2688,매칭테이블!D:D,0))</f>
        <v/>
      </c>
      <c r="F2688" s="39" t="inlineStr">
        <is>
          <t>카페24</t>
        </is>
      </c>
      <c r="G2688" s="39" t="inlineStr">
        <is>
          <t>유즈 솔리드퍼퓸 - 30ml (11차 예약구매 진행중)향=커플세트</t>
        </is>
      </c>
      <c r="H2688" s="39" t="n">
        <v>1</v>
      </c>
      <c r="I2688" s="36">
        <f>VLOOKUP(G2688,매칭테이블!D:E,2,0)</f>
        <v/>
      </c>
      <c r="J2688" s="39" t="n">
        <v>210101</v>
      </c>
      <c r="L2688" s="36">
        <f>VLOOKUP($P2688,매칭테이블!$G:$J,2,0)*H2688</f>
        <v/>
      </c>
      <c r="M2688" s="36">
        <f>L2688-L2688*VLOOKUP($P2688,매칭테이블!$G:$J,3,0)</f>
        <v/>
      </c>
      <c r="N2688" s="36">
        <f>VLOOKUP($P2688,매칭테이블!$G:$J,4,0)*H2688</f>
        <v/>
      </c>
      <c r="O2688" s="52">
        <f>L2688/1.1</f>
        <v/>
      </c>
      <c r="P2688" s="36">
        <f>F2688&amp;E2688&amp;G2688&amp;J2688</f>
        <v/>
      </c>
    </row>
    <row r="2689">
      <c r="B2689" s="51" t="n">
        <v>44200</v>
      </c>
      <c r="C2689" s="36">
        <f>TEXT(B2689,"aaa")</f>
        <v/>
      </c>
      <c r="E2689" s="36">
        <f>INDEX(매칭테이블!C:C,MATCH(RD!G2689,매칭테이블!D:D,0))</f>
        <v/>
      </c>
      <c r="F2689" s="39" t="inlineStr">
        <is>
          <t>카페24</t>
        </is>
      </c>
      <c r="G2689" s="39" t="inlineStr">
        <is>
          <t>유즈 스테이포에버 솔리드퍼퓸 002 (10차 재입고 완료제품선택=스테이포에버 1개</t>
        </is>
      </c>
      <c r="H2689" s="39" t="n">
        <v>1</v>
      </c>
      <c r="I2689" s="36">
        <f>VLOOKUP(G2689,매칭테이블!D:E,2,0)</f>
        <v/>
      </c>
      <c r="J2689" s="39" t="n">
        <v>210101</v>
      </c>
      <c r="L2689" s="36">
        <f>VLOOKUP($P2689,매칭테이블!$G:$J,2,0)*H2689</f>
        <v/>
      </c>
      <c r="M2689" s="36">
        <f>L2689-L2689*VLOOKUP($P2689,매칭테이블!$G:$J,3,0)</f>
        <v/>
      </c>
      <c r="N2689" s="36">
        <f>VLOOKUP($P2689,매칭테이블!$G:$J,4,0)*H2689</f>
        <v/>
      </c>
      <c r="O2689" s="52">
        <f>L2689/1.1</f>
        <v/>
      </c>
      <c r="P2689" s="36">
        <f>F2689&amp;E2689&amp;G2689&amp;J2689</f>
        <v/>
      </c>
    </row>
    <row r="2690">
      <c r="B2690" s="51" t="n">
        <v>44200</v>
      </c>
      <c r="C2690" s="36">
        <f>TEXT(B2690,"aaa")</f>
        <v/>
      </c>
      <c r="E2690" s="36">
        <f>INDEX(매칭테이블!C:C,MATCH(RD!G2690,매칭테이블!D:D,0))</f>
        <v/>
      </c>
      <c r="F2690" s="39" t="inlineStr">
        <is>
          <t>카페24</t>
        </is>
      </c>
      <c r="G2690" s="39" t="inlineStr">
        <is>
          <t>유즈 스테이포에버 솔리드퍼퓸 002 (10차 재입고 완료)제품선택=스테이포에버 1개</t>
        </is>
      </c>
      <c r="H2690" s="39" t="n">
        <v>1</v>
      </c>
      <c r="I2690" s="36">
        <f>VLOOKUP(G2690,매칭테이블!D:E,2,0)</f>
        <v/>
      </c>
      <c r="J2690" s="39" t="n">
        <v>210101</v>
      </c>
      <c r="L2690" s="36">
        <f>VLOOKUP($P2690,매칭테이블!$G:$J,2,0)*H2690</f>
        <v/>
      </c>
      <c r="M2690" s="36">
        <f>L2690-L2690*VLOOKUP($P2690,매칭테이블!$G:$J,3,0)</f>
        <v/>
      </c>
      <c r="N2690" s="36">
        <f>VLOOKUP($P2690,매칭테이블!$G:$J,4,0)*H2690</f>
        <v/>
      </c>
      <c r="O2690" s="52">
        <f>L2690/1.1</f>
        <v/>
      </c>
      <c r="P2690" s="36">
        <f>F2690&amp;E2690&amp;G2690&amp;J2690</f>
        <v/>
      </c>
    </row>
    <row r="2691">
      <c r="B2691" s="51" t="n">
        <v>44200</v>
      </c>
      <c r="C2691" s="36">
        <f>TEXT(B2691,"aaa")</f>
        <v/>
      </c>
      <c r="E2691" s="36">
        <f>INDEX(매칭테이블!C:C,MATCH(RD!G2691,매칭테이블!D:D,0))</f>
        <v/>
      </c>
      <c r="F2691" s="39" t="inlineStr">
        <is>
          <t>카페24</t>
        </is>
      </c>
      <c r="G2691" s="39" t="inlineStr">
        <is>
          <t>유즈 스테이포에버 솔리드퍼퓸 002 (10차 재입고 완료)제품선택=best</t>
        </is>
      </c>
      <c r="H2691" s="39" t="n">
        <v>1</v>
      </c>
      <c r="I2691" s="36">
        <f>VLOOKUP(G2691,매칭테이블!D:E,2,0)</f>
        <v/>
      </c>
      <c r="J2691" s="39" t="n">
        <v>210101</v>
      </c>
      <c r="L2691" s="36">
        <f>VLOOKUP($P2691,매칭테이블!$G:$J,2,0)*H2691</f>
        <v/>
      </c>
      <c r="M2691" s="36">
        <f>L2691-L2691*VLOOKUP($P2691,매칭테이블!$G:$J,3,0)</f>
        <v/>
      </c>
      <c r="N2691" s="36">
        <f>VLOOKUP($P2691,매칭테이블!$G:$J,4,0)*H2691</f>
        <v/>
      </c>
      <c r="O2691" s="52">
        <f>L2691/1.1</f>
        <v/>
      </c>
      <c r="P2691" s="36">
        <f>F2691&amp;E2691&amp;G2691&amp;J2691</f>
        <v/>
      </c>
    </row>
    <row r="2692">
      <c r="B2692" s="51" t="n">
        <v>44200</v>
      </c>
      <c r="C2692" s="36">
        <f>TEXT(B2692,"aaa")</f>
        <v/>
      </c>
      <c r="E2692" s="36">
        <f>INDEX(매칭테이블!C:C,MATCH(RD!G2692,매칭테이블!D:D,0))</f>
        <v/>
      </c>
      <c r="F2692" s="39" t="inlineStr">
        <is>
          <t>카페24</t>
        </is>
      </c>
      <c r="G2692" s="39" t="inlineStr">
        <is>
          <t>유즈 스테이포에버 솔리드퍼퓸 002 (11차 예약구매 진행중)제품선택=스테이포에버 1개</t>
        </is>
      </c>
      <c r="H2692" s="39" t="n">
        <v>410</v>
      </c>
      <c r="I2692" s="36">
        <f>VLOOKUP(G2692,매칭테이블!D:E,2,0)</f>
        <v/>
      </c>
      <c r="J2692" s="39" t="n">
        <v>210101</v>
      </c>
      <c r="L2692" s="36">
        <f>VLOOKUP($P2692,매칭테이블!$G:$J,2,0)*H2692</f>
        <v/>
      </c>
      <c r="M2692" s="36">
        <f>L2692-L2692*VLOOKUP($P2692,매칭테이블!$G:$J,3,0)</f>
        <v/>
      </c>
      <c r="N2692" s="36">
        <f>VLOOKUP($P2692,매칭테이블!$G:$J,4,0)*H2692</f>
        <v/>
      </c>
      <c r="O2692" s="52">
        <f>L2692/1.1</f>
        <v/>
      </c>
      <c r="P2692" s="36">
        <f>F2692&amp;E2692&amp;G2692&amp;J2692</f>
        <v/>
      </c>
    </row>
    <row r="2693">
      <c r="B2693" s="51" t="n">
        <v>44200</v>
      </c>
      <c r="C2693" s="36">
        <f>TEXT(B2693,"aaa")</f>
        <v/>
      </c>
      <c r="E2693" s="36">
        <f>INDEX(매칭테이블!C:C,MATCH(RD!G2693,매칭테이블!D:D,0))</f>
        <v/>
      </c>
      <c r="F2693" s="39" t="inlineStr">
        <is>
          <t>카페24</t>
        </is>
      </c>
      <c r="G2693" s="39" t="inlineStr">
        <is>
          <t>유즈 스테이포에버 솔리드퍼퓸 002 (11차 예약구매 진행중)제품선택=best</t>
        </is>
      </c>
      <c r="H2693" s="39" t="n">
        <v>75</v>
      </c>
      <c r="I2693" s="36">
        <f>VLOOKUP(G2693,매칭테이블!D:E,2,0)</f>
        <v/>
      </c>
      <c r="J2693" s="39" t="n">
        <v>210101</v>
      </c>
      <c r="L2693" s="36">
        <f>VLOOKUP($P2693,매칭테이블!$G:$J,2,0)*H2693</f>
        <v/>
      </c>
      <c r="M2693" s="36">
        <f>L2693-L2693*VLOOKUP($P2693,매칭테이블!$G:$J,3,0)</f>
        <v/>
      </c>
      <c r="N2693" s="36">
        <f>VLOOKUP($P2693,매칭테이블!$G:$J,4,0)*H2693</f>
        <v/>
      </c>
      <c r="O2693" s="52">
        <f>L2693/1.1</f>
        <v/>
      </c>
      <c r="P2693" s="36">
        <f>F2693&amp;E2693&amp;G2693&amp;J2693</f>
        <v/>
      </c>
    </row>
    <row r="2694">
      <c r="B2694" s="51" t="n">
        <v>44200</v>
      </c>
      <c r="C2694" s="36">
        <f>TEXT(B2694,"aaa")</f>
        <v/>
      </c>
      <c r="E2694" s="36">
        <f>INDEX(매칭테이블!C:C,MATCH(RD!G2694,매칭테이블!D:D,0))</f>
        <v/>
      </c>
      <c r="F2694" s="39" t="inlineStr">
        <is>
          <t>카페24</t>
        </is>
      </c>
      <c r="G2694" s="39" t="inlineStr">
        <is>
          <t>유즈 스테이포에버 솔리드퍼퓸 002 (11차 예약구매 진행중)제품선택=best스테이포에버 2개[28% 할인]</t>
        </is>
      </c>
      <c r="H2694" s="39" t="n">
        <v>119</v>
      </c>
      <c r="I2694" s="36">
        <f>VLOOKUP(G2694,매칭테이블!D:E,2,0)</f>
        <v/>
      </c>
      <c r="J2694" s="39" t="n">
        <v>210101</v>
      </c>
      <c r="L2694" s="36">
        <f>VLOOKUP($P2694,매칭테이블!$G:$J,2,0)*H2694</f>
        <v/>
      </c>
      <c r="M2694" s="36">
        <f>L2694-L2694*VLOOKUP($P2694,매칭테이블!$G:$J,3,0)</f>
        <v/>
      </c>
      <c r="N2694" s="36">
        <f>VLOOKUP($P2694,매칭테이블!$G:$J,4,0)*H2694</f>
        <v/>
      </c>
      <c r="O2694" s="52">
        <f>L2694/1.1</f>
        <v/>
      </c>
      <c r="P2694" s="36">
        <f>F2694&amp;E2694&amp;G2694&amp;J2694</f>
        <v/>
      </c>
    </row>
    <row r="2695">
      <c r="B2695" s="51" t="n">
        <v>44200</v>
      </c>
      <c r="C2695" s="36">
        <f>TEXT(B2695,"aaa")</f>
        <v/>
      </c>
      <c r="E2695" s="36">
        <f>INDEX(매칭테이블!C:C,MATCH(RD!G2695,매칭테이블!D:D,0))</f>
        <v/>
      </c>
      <c r="F2695" s="39" t="inlineStr">
        <is>
          <t>카페24</t>
        </is>
      </c>
      <c r="G2695" s="39" t="inlineStr">
        <is>
          <t>유즈 스테이포에버 솔리드퍼퓸 002 (11차 예약구매 진행중)제품선택=커플추천</t>
        </is>
      </c>
      <c r="H2695" s="39" t="n">
        <v>15</v>
      </c>
      <c r="I2695" s="36">
        <f>VLOOKUP(G2695,매칭테이블!D:E,2,0)</f>
        <v/>
      </c>
      <c r="J2695" s="39" t="n">
        <v>210101</v>
      </c>
      <c r="L2695" s="36">
        <f>VLOOKUP($P2695,매칭테이블!$G:$J,2,0)*H2695</f>
        <v/>
      </c>
      <c r="M2695" s="36">
        <f>L2695-L2695*VLOOKUP($P2695,매칭테이블!$G:$J,3,0)</f>
        <v/>
      </c>
      <c r="N2695" s="36">
        <f>VLOOKUP($P2695,매칭테이블!$G:$J,4,0)*H2695</f>
        <v/>
      </c>
      <c r="O2695" s="52">
        <f>L2695/1.1</f>
        <v/>
      </c>
      <c r="P2695" s="36">
        <f>F2695&amp;E2695&amp;G2695&amp;J2695</f>
        <v/>
      </c>
    </row>
    <row r="2696">
      <c r="B2696" s="51" t="n">
        <v>44200</v>
      </c>
      <c r="C2696" s="36">
        <f>TEXT(B2696,"aaa")</f>
        <v/>
      </c>
      <c r="E2696" s="36">
        <f>INDEX(매칭테이블!C:C,MATCH(RD!G2696,매칭테이블!D:D,0))</f>
        <v/>
      </c>
      <c r="F2696" s="39" t="inlineStr">
        <is>
          <t>카페24</t>
        </is>
      </c>
      <c r="G2696" s="39" t="inlineStr">
        <is>
          <t>유즈 스테이포에버 솔리드퍼퓸 002 (11차 예약구매 진행중)제품선택=커플추천스테이포에버 + 이그나이트 세트</t>
        </is>
      </c>
      <c r="H2696" s="39" t="n">
        <v>12</v>
      </c>
      <c r="I2696" s="36">
        <f>VLOOKUP(G2696,매칭테이블!D:E,2,0)</f>
        <v/>
      </c>
      <c r="J2696" s="39" t="n">
        <v>210101</v>
      </c>
      <c r="L2696" s="36">
        <f>VLOOKUP($P2696,매칭테이블!$G:$J,2,0)*H2696</f>
        <v/>
      </c>
      <c r="M2696" s="36">
        <f>L2696-L2696*VLOOKUP($P2696,매칭테이블!$G:$J,3,0)</f>
        <v/>
      </c>
      <c r="N2696" s="36">
        <f>VLOOKUP($P2696,매칭테이블!$G:$J,4,0)*H2696</f>
        <v/>
      </c>
      <c r="O2696" s="52">
        <f>L2696/1.1</f>
        <v/>
      </c>
      <c r="P2696" s="36">
        <f>F2696&amp;E2696&amp;G2696&amp;J2696</f>
        <v/>
      </c>
    </row>
    <row r="2697">
      <c r="B2697" s="51" t="n">
        <v>44200</v>
      </c>
      <c r="C2697" s="36">
        <f>TEXT(B2697,"aaa")</f>
        <v/>
      </c>
      <c r="E2697" s="36">
        <f>INDEX(매칭테이블!C:C,MATCH(RD!G2697,매칭테이블!D:D,0))</f>
        <v/>
      </c>
      <c r="F2697" s="39" t="inlineStr">
        <is>
          <t>카페24</t>
        </is>
      </c>
      <c r="G2697" s="39" t="inlineStr">
        <is>
          <t>유즈 스테이포에버 솔리드퍼퓸 002 (11차 예약구매 진행중)쇼핑백=선물용 쇼핑백</t>
        </is>
      </c>
      <c r="H2697" s="39" t="n">
        <v>16</v>
      </c>
      <c r="I2697" s="36">
        <f>VLOOKUP(G2697,매칭테이블!D:E,2,0)</f>
        <v/>
      </c>
      <c r="J2697" s="39" t="n">
        <v>210101</v>
      </c>
      <c r="L2697" s="36">
        <f>VLOOKUP($P2697,매칭테이블!$G:$J,2,0)*H2697</f>
        <v/>
      </c>
      <c r="M2697" s="36">
        <f>L2697-L2697*VLOOKUP($P2697,매칭테이블!$G:$J,3,0)</f>
        <v/>
      </c>
      <c r="N2697" s="36">
        <f>VLOOKUP($P2697,매칭테이블!$G:$J,4,0)*H2697</f>
        <v/>
      </c>
      <c r="O2697" s="52">
        <f>L2697/1.1</f>
        <v/>
      </c>
      <c r="P2697" s="36">
        <f>F2697&amp;E2697&amp;G2697&amp;J2697</f>
        <v/>
      </c>
    </row>
    <row r="2698">
      <c r="B2698" s="51" t="n">
        <v>44200</v>
      </c>
      <c r="C2698" s="36">
        <f>TEXT(B2698,"aaa")</f>
        <v/>
      </c>
      <c r="E2698" s="36">
        <f>INDEX(매칭테이블!C:C,MATCH(RD!G2698,매칭테이블!D:D,0))</f>
        <v/>
      </c>
      <c r="F2698" s="39" t="inlineStr">
        <is>
          <t>카페24</t>
        </is>
      </c>
      <c r="G2698" s="39" t="inlineStr">
        <is>
          <t>유즈 이그나이트 솔리드퍼퓸 001제품선택=이그나이트 솔리드퍼퓸 - 30ml</t>
        </is>
      </c>
      <c r="H2698" s="39" t="n">
        <v>7</v>
      </c>
      <c r="I2698" s="36">
        <f>VLOOKUP(G2698,매칭테이블!D:E,2,0)</f>
        <v/>
      </c>
      <c r="J2698" s="39" t="n">
        <v>210101</v>
      </c>
      <c r="L2698" s="36">
        <f>VLOOKUP($P2698,매칭테이블!$G:$J,2,0)*H2698</f>
        <v/>
      </c>
      <c r="M2698" s="36">
        <f>L2698-L2698*VLOOKUP($P2698,매칭테이블!$G:$J,3,0)</f>
        <v/>
      </c>
      <c r="N2698" s="36">
        <f>VLOOKUP($P2698,매칭테이블!$G:$J,4,0)*H2698</f>
        <v/>
      </c>
      <c r="O2698" s="52">
        <f>L2698/1.1</f>
        <v/>
      </c>
      <c r="P2698" s="36">
        <f>F2698&amp;E2698&amp;G2698&amp;J2698</f>
        <v/>
      </c>
    </row>
    <row r="2699">
      <c r="B2699" s="51" t="n">
        <v>44201</v>
      </c>
      <c r="C2699" s="36">
        <f>TEXT(B2699,"aaa")</f>
        <v/>
      </c>
      <c r="E2699" s="36">
        <f>INDEX(매칭테이블!C:C,MATCH(RD!G2699,매칭테이블!D:D,0))</f>
        <v/>
      </c>
      <c r="F2699" s="39" t="inlineStr">
        <is>
          <t>카페24</t>
        </is>
      </c>
      <c r="G2699" s="39" t="inlineStr">
        <is>
          <t>유즈 솔리드퍼퓸 - 30ml (11차 예약구매 진행중)향=이그나이트 001 SOLID PERFUME, 세트 선택=1개</t>
        </is>
      </c>
      <c r="H2699" s="39" t="n">
        <v>1</v>
      </c>
      <c r="I2699" s="36">
        <f>VLOOKUP(G2699,매칭테이블!D:E,2,0)</f>
        <v/>
      </c>
      <c r="J2699" s="39" t="n">
        <v>210101</v>
      </c>
      <c r="L2699" s="36">
        <f>VLOOKUP($P2699,매칭테이블!$G:$J,2,0)*H2699</f>
        <v/>
      </c>
      <c r="M2699" s="36">
        <f>L2699-L2699*VLOOKUP($P2699,매칭테이블!$G:$J,3,0)</f>
        <v/>
      </c>
      <c r="N2699" s="36">
        <f>VLOOKUP($P2699,매칭테이블!$G:$J,4,0)*H2699</f>
        <v/>
      </c>
      <c r="O2699" s="52">
        <f>L2699/1.1</f>
        <v/>
      </c>
      <c r="P2699" s="36">
        <f>F2699&amp;E2699&amp;G2699&amp;J2699</f>
        <v/>
      </c>
    </row>
    <row r="2700">
      <c r="B2700" s="51" t="n">
        <v>44201</v>
      </c>
      <c r="C2700" s="36">
        <f>TEXT(B2700,"aaa")</f>
        <v/>
      </c>
      <c r="E2700" s="36">
        <f>INDEX(매칭테이블!C:C,MATCH(RD!G2700,매칭테이블!D:D,0))</f>
        <v/>
      </c>
      <c r="F2700" s="39" t="inlineStr">
        <is>
          <t>카페24</t>
        </is>
      </c>
      <c r="G2700" s="39" t="inlineStr">
        <is>
          <t>유즈 솔리드퍼퓸 - 30ml (11차 예약구매 진행중)향=스테이포에버 002 SOLID PERFUME, 세트 선택=1개</t>
        </is>
      </c>
      <c r="H2700" s="39" t="n">
        <v>12</v>
      </c>
      <c r="I2700" s="36">
        <f>VLOOKUP(G2700,매칭테이블!D:E,2,0)</f>
        <v/>
      </c>
      <c r="J2700" s="39" t="n">
        <v>210101</v>
      </c>
      <c r="L2700" s="36">
        <f>VLOOKUP($P2700,매칭테이블!$G:$J,2,0)*H2700</f>
        <v/>
      </c>
      <c r="M2700" s="36">
        <f>L2700-L2700*VLOOKUP($P2700,매칭테이블!$G:$J,3,0)</f>
        <v/>
      </c>
      <c r="N2700" s="36">
        <f>VLOOKUP($P2700,매칭테이블!$G:$J,4,0)*H2700</f>
        <v/>
      </c>
      <c r="O2700" s="52">
        <f>L2700/1.1</f>
        <v/>
      </c>
      <c r="P2700" s="36">
        <f>F2700&amp;E2700&amp;G2700&amp;J2700</f>
        <v/>
      </c>
    </row>
    <row r="2701">
      <c r="B2701" s="51" t="n">
        <v>44201</v>
      </c>
      <c r="C2701" s="36">
        <f>TEXT(B2701,"aaa")</f>
        <v/>
      </c>
      <c r="E2701" s="36">
        <f>INDEX(매칭테이블!C:C,MATCH(RD!G2701,매칭테이블!D:D,0))</f>
        <v/>
      </c>
      <c r="F2701" s="39" t="inlineStr">
        <is>
          <t>카페24</t>
        </is>
      </c>
      <c r="G2701" s="39" t="inlineStr">
        <is>
          <t>유즈 솔리드퍼퓸 - 30ml (11차 예약구매 진행중)향=스테이포에버 002 SOLID PERFUME, 세트 선택=best</t>
        </is>
      </c>
      <c r="H2701" s="39" t="n">
        <v>6</v>
      </c>
      <c r="I2701" s="36">
        <f>VLOOKUP(G2701,매칭테이블!D:E,2,0)</f>
        <v/>
      </c>
      <c r="J2701" s="39" t="n">
        <v>210101</v>
      </c>
      <c r="L2701" s="36">
        <f>VLOOKUP($P2701,매칭테이블!$G:$J,2,0)*H2701</f>
        <v/>
      </c>
      <c r="M2701" s="36">
        <f>L2701-L2701*VLOOKUP($P2701,매칭테이블!$G:$J,3,0)</f>
        <v/>
      </c>
      <c r="N2701" s="36">
        <f>VLOOKUP($P2701,매칭테이블!$G:$J,4,0)*H2701</f>
        <v/>
      </c>
      <c r="O2701" s="52">
        <f>L2701/1.1</f>
        <v/>
      </c>
      <c r="P2701" s="36">
        <f>F2701&amp;E2701&amp;G2701&amp;J2701</f>
        <v/>
      </c>
    </row>
    <row r="2702">
      <c r="B2702" s="51" t="n">
        <v>44201</v>
      </c>
      <c r="C2702" s="36">
        <f>TEXT(B2702,"aaa")</f>
        <v/>
      </c>
      <c r="E2702" s="36">
        <f>INDEX(매칭테이블!C:C,MATCH(RD!G2702,매칭테이블!D:D,0))</f>
        <v/>
      </c>
      <c r="F2702" s="39" t="inlineStr">
        <is>
          <t>카페24</t>
        </is>
      </c>
      <c r="G2702" s="39" t="inlineStr">
        <is>
          <t>유즈 솔리드퍼퓸 - 30ml (11차 예약구매 진행중)향=스테이포에버 002 SOLID PERFUME, 세트 선택=best 2개 (28% 할인)</t>
        </is>
      </c>
      <c r="H2702" s="39" t="n">
        <v>4</v>
      </c>
      <c r="I2702" s="36">
        <f>VLOOKUP(G2702,매칭테이블!D:E,2,0)</f>
        <v/>
      </c>
      <c r="J2702" s="39" t="n">
        <v>210101</v>
      </c>
      <c r="L2702" s="36">
        <f>VLOOKUP($P2702,매칭테이블!$G:$J,2,0)*H2702</f>
        <v/>
      </c>
      <c r="M2702" s="36">
        <f>L2702-L2702*VLOOKUP($P2702,매칭테이블!$G:$J,3,0)</f>
        <v/>
      </c>
      <c r="N2702" s="36">
        <f>VLOOKUP($P2702,매칭테이블!$G:$J,4,0)*H2702</f>
        <v/>
      </c>
      <c r="O2702" s="52">
        <f>L2702/1.1</f>
        <v/>
      </c>
      <c r="P2702" s="36">
        <f>F2702&amp;E2702&amp;G2702&amp;J2702</f>
        <v/>
      </c>
    </row>
    <row r="2703">
      <c r="B2703" s="51" t="n">
        <v>44201</v>
      </c>
      <c r="C2703" s="36">
        <f>TEXT(B2703,"aaa")</f>
        <v/>
      </c>
      <c r="E2703" s="36">
        <f>INDEX(매칭테이블!C:C,MATCH(RD!G2703,매칭테이블!D:D,0))</f>
        <v/>
      </c>
      <c r="F2703" s="39" t="inlineStr">
        <is>
          <t>카페24</t>
        </is>
      </c>
      <c r="G2703" s="39" t="inlineStr">
        <is>
          <t>유즈 솔리드퍼퓸 - 30ml (11차 예약구매 진행중)향=커플세트</t>
        </is>
      </c>
      <c r="H2703" s="39" t="n">
        <v>4</v>
      </c>
      <c r="I2703" s="36">
        <f>VLOOKUP(G2703,매칭테이블!D:E,2,0)</f>
        <v/>
      </c>
      <c r="J2703" s="39" t="n">
        <v>210101</v>
      </c>
      <c r="L2703" s="36">
        <f>VLOOKUP($P2703,매칭테이블!$G:$J,2,0)*H2703</f>
        <v/>
      </c>
      <c r="M2703" s="36">
        <f>L2703-L2703*VLOOKUP($P2703,매칭테이블!$G:$J,3,0)</f>
        <v/>
      </c>
      <c r="N2703" s="36">
        <f>VLOOKUP($P2703,매칭테이블!$G:$J,4,0)*H2703</f>
        <v/>
      </c>
      <c r="O2703" s="52">
        <f>L2703/1.1</f>
        <v/>
      </c>
      <c r="P2703" s="36">
        <f>F2703&amp;E2703&amp;G2703&amp;J2703</f>
        <v/>
      </c>
    </row>
    <row r="2704">
      <c r="B2704" s="51" t="n">
        <v>44201</v>
      </c>
      <c r="C2704" s="36">
        <f>TEXT(B2704,"aaa")</f>
        <v/>
      </c>
      <c r="E2704" s="36">
        <f>INDEX(매칭테이블!C:C,MATCH(RD!G2704,매칭테이블!D:D,0))</f>
        <v/>
      </c>
      <c r="F2704" s="39" t="inlineStr">
        <is>
          <t>카페24</t>
        </is>
      </c>
      <c r="G2704" s="39" t="inlineStr">
        <is>
          <t>유즈 솔리드퍼퓸 - 30ml (11차 예약구매 진행중)향=커플세트(이그나이트 + 스테이포에버), 세트 선택=1 SET</t>
        </is>
      </c>
      <c r="H2704" s="39" t="n">
        <v>4</v>
      </c>
      <c r="I2704" s="36">
        <f>VLOOKUP(G2704,매칭테이블!D:E,2,0)</f>
        <v/>
      </c>
      <c r="J2704" s="39" t="n">
        <v>210101</v>
      </c>
      <c r="L2704" s="36">
        <f>VLOOKUP($P2704,매칭테이블!$G:$J,2,0)*H2704</f>
        <v/>
      </c>
      <c r="M2704" s="36">
        <f>L2704-L2704*VLOOKUP($P2704,매칭테이블!$G:$J,3,0)</f>
        <v/>
      </c>
      <c r="N2704" s="36">
        <f>VLOOKUP($P2704,매칭테이블!$G:$J,4,0)*H2704</f>
        <v/>
      </c>
      <c r="O2704" s="52">
        <f>L2704/1.1</f>
        <v/>
      </c>
      <c r="P2704" s="36">
        <f>F2704&amp;E2704&amp;G2704&amp;J2704</f>
        <v/>
      </c>
    </row>
    <row r="2705">
      <c r="B2705" s="51" t="n">
        <v>44201</v>
      </c>
      <c r="C2705" s="36">
        <f>TEXT(B2705,"aaa")</f>
        <v/>
      </c>
      <c r="E2705" s="36">
        <f>INDEX(매칭테이블!C:C,MATCH(RD!G2705,매칭테이블!D:D,0))</f>
        <v/>
      </c>
      <c r="F2705" s="39" t="inlineStr">
        <is>
          <t>카페24</t>
        </is>
      </c>
      <c r="G2705" s="39" t="inlineStr">
        <is>
          <t>유즈 솔리드퍼퓸 - 30ml (11차 예약구매 진행중)향=커플세트</t>
        </is>
      </c>
      <c r="H2705" s="39" t="n">
        <v>1</v>
      </c>
      <c r="I2705" s="36">
        <f>VLOOKUP(G2705,매칭테이블!D:E,2,0)</f>
        <v/>
      </c>
      <c r="J2705" s="39" t="n">
        <v>210101</v>
      </c>
      <c r="L2705" s="36">
        <f>VLOOKUP($P2705,매칭테이블!$G:$J,2,0)*H2705</f>
        <v/>
      </c>
      <c r="M2705" s="36">
        <f>L2705-L2705*VLOOKUP($P2705,매칭테이블!$G:$J,3,0)</f>
        <v/>
      </c>
      <c r="N2705" s="36">
        <f>VLOOKUP($P2705,매칭테이블!$G:$J,4,0)*H2705</f>
        <v/>
      </c>
      <c r="O2705" s="52">
        <f>L2705/1.1</f>
        <v/>
      </c>
      <c r="P2705" s="36">
        <f>F2705&amp;E2705&amp;G2705&amp;J2705</f>
        <v/>
      </c>
    </row>
    <row r="2706">
      <c r="B2706" s="51" t="n">
        <v>44201</v>
      </c>
      <c r="C2706" s="36">
        <f>TEXT(B2706,"aaa")</f>
        <v/>
      </c>
      <c r="E2706" s="36">
        <f>INDEX(매칭테이블!C:C,MATCH(RD!G2706,매칭테이블!D:D,0))</f>
        <v/>
      </c>
      <c r="F2706" s="39" t="inlineStr">
        <is>
          <t>카페24</t>
        </is>
      </c>
      <c r="G2706" s="39" t="inlineStr">
        <is>
          <t>유즈 스테이포에버 솔리드퍼퓸 002 (10차 재입고 완료제품선택=스테이포에버 1개</t>
        </is>
      </c>
      <c r="H2706" s="39" t="n">
        <v>1</v>
      </c>
      <c r="I2706" s="36">
        <f>VLOOKUP(G2706,매칭테이블!D:E,2,0)</f>
        <v/>
      </c>
      <c r="J2706" s="39" t="n">
        <v>210101</v>
      </c>
      <c r="L2706" s="36">
        <f>VLOOKUP($P2706,매칭테이블!$G:$J,2,0)*H2706</f>
        <v/>
      </c>
      <c r="M2706" s="36">
        <f>L2706-L2706*VLOOKUP($P2706,매칭테이블!$G:$J,3,0)</f>
        <v/>
      </c>
      <c r="N2706" s="36">
        <f>VLOOKUP($P2706,매칭테이블!$G:$J,4,0)*H2706</f>
        <v/>
      </c>
      <c r="O2706" s="52">
        <f>L2706/1.1</f>
        <v/>
      </c>
      <c r="P2706" s="36">
        <f>F2706&amp;E2706&amp;G2706&amp;J2706</f>
        <v/>
      </c>
    </row>
    <row r="2707">
      <c r="B2707" s="51" t="n">
        <v>44201</v>
      </c>
      <c r="C2707" s="36">
        <f>TEXT(B2707,"aaa")</f>
        <v/>
      </c>
      <c r="E2707" s="36">
        <f>INDEX(매칭테이블!C:C,MATCH(RD!G2707,매칭테이블!D:D,0))</f>
        <v/>
      </c>
      <c r="F2707" s="39" t="inlineStr">
        <is>
          <t>카페24</t>
        </is>
      </c>
      <c r="G2707" s="39" t="inlineStr">
        <is>
          <t>유즈 스테이포에버 솔리드퍼퓸 002 (10차 재입고 완료제품선택=best</t>
        </is>
      </c>
      <c r="H2707" s="39" t="n">
        <v>1</v>
      </c>
      <c r="I2707" s="36">
        <f>VLOOKUP(G2707,매칭테이블!D:E,2,0)</f>
        <v/>
      </c>
      <c r="J2707" s="39" t="n">
        <v>210101</v>
      </c>
      <c r="L2707" s="36">
        <f>VLOOKUP($P2707,매칭테이블!$G:$J,2,0)*H2707</f>
        <v/>
      </c>
      <c r="M2707" s="36">
        <f>L2707-L2707*VLOOKUP($P2707,매칭테이블!$G:$J,3,0)</f>
        <v/>
      </c>
      <c r="N2707" s="36">
        <f>VLOOKUP($P2707,매칭테이블!$G:$J,4,0)*H2707</f>
        <v/>
      </c>
      <c r="O2707" s="52">
        <f>L2707/1.1</f>
        <v/>
      </c>
      <c r="P2707" s="36">
        <f>F2707&amp;E2707&amp;G2707&amp;J2707</f>
        <v/>
      </c>
    </row>
    <row r="2708">
      <c r="B2708" s="51" t="n">
        <v>44201</v>
      </c>
      <c r="C2708" s="36">
        <f>TEXT(B2708,"aaa")</f>
        <v/>
      </c>
      <c r="E2708" s="36">
        <f>INDEX(매칭테이블!C:C,MATCH(RD!G2708,매칭테이블!D:D,0))</f>
        <v/>
      </c>
      <c r="F2708" s="39" t="inlineStr">
        <is>
          <t>카페24</t>
        </is>
      </c>
      <c r="G2708" s="39" t="inlineStr">
        <is>
          <t>유즈 스테이포에버 솔리드퍼퓸 002 (10차 재입고 완료)제품선택=스테이포에버 1개</t>
        </is>
      </c>
      <c r="H2708" s="39" t="n">
        <v>1</v>
      </c>
      <c r="I2708" s="36">
        <f>VLOOKUP(G2708,매칭테이블!D:E,2,0)</f>
        <v/>
      </c>
      <c r="J2708" s="39" t="n">
        <v>210101</v>
      </c>
      <c r="L2708" s="36">
        <f>VLOOKUP($P2708,매칭테이블!$G:$J,2,0)*H2708</f>
        <v/>
      </c>
      <c r="M2708" s="36">
        <f>L2708-L2708*VLOOKUP($P2708,매칭테이블!$G:$J,3,0)</f>
        <v/>
      </c>
      <c r="N2708" s="36">
        <f>VLOOKUP($P2708,매칭테이블!$G:$J,4,0)*H2708</f>
        <v/>
      </c>
      <c r="O2708" s="52">
        <f>L2708/1.1</f>
        <v/>
      </c>
      <c r="P2708" s="36">
        <f>F2708&amp;E2708&amp;G2708&amp;J2708</f>
        <v/>
      </c>
    </row>
    <row r="2709">
      <c r="B2709" s="51" t="n">
        <v>44201</v>
      </c>
      <c r="C2709" s="36">
        <f>TEXT(B2709,"aaa")</f>
        <v/>
      </c>
      <c r="E2709" s="36">
        <f>INDEX(매칭테이블!C:C,MATCH(RD!G2709,매칭테이블!D:D,0))</f>
        <v/>
      </c>
      <c r="F2709" s="39" t="inlineStr">
        <is>
          <t>카페24</t>
        </is>
      </c>
      <c r="G2709" s="39" t="inlineStr">
        <is>
          <t>유즈 스테이포에버 솔리드퍼퓸 002 (10차 재입고 완료)제품선택=best</t>
        </is>
      </c>
      <c r="H2709" s="39" t="n">
        <v>2</v>
      </c>
      <c r="I2709" s="36">
        <f>VLOOKUP(G2709,매칭테이블!D:E,2,0)</f>
        <v/>
      </c>
      <c r="J2709" s="39" t="n">
        <v>210101</v>
      </c>
      <c r="L2709" s="36">
        <f>VLOOKUP($P2709,매칭테이블!$G:$J,2,0)*H2709</f>
        <v/>
      </c>
      <c r="M2709" s="36">
        <f>L2709-L2709*VLOOKUP($P2709,매칭테이블!$G:$J,3,0)</f>
        <v/>
      </c>
      <c r="N2709" s="36">
        <f>VLOOKUP($P2709,매칭테이블!$G:$J,4,0)*H2709</f>
        <v/>
      </c>
      <c r="O2709" s="52">
        <f>L2709/1.1</f>
        <v/>
      </c>
      <c r="P2709" s="36">
        <f>F2709&amp;E2709&amp;G2709&amp;J2709</f>
        <v/>
      </c>
    </row>
    <row r="2710">
      <c r="B2710" s="51" t="n">
        <v>44201</v>
      </c>
      <c r="C2710" s="36">
        <f>TEXT(B2710,"aaa")</f>
        <v/>
      </c>
      <c r="E2710" s="36">
        <f>INDEX(매칭테이블!C:C,MATCH(RD!G2710,매칭테이블!D:D,0))</f>
        <v/>
      </c>
      <c r="F2710" s="39" t="inlineStr">
        <is>
          <t>카페24</t>
        </is>
      </c>
      <c r="G2710" s="39" t="inlineStr">
        <is>
          <t>유즈 스테이포에버 솔리드퍼퓸 002 (11차 예약구매 진행중)제품선택=스테이포에버 1개</t>
        </is>
      </c>
      <c r="H2710" s="39" t="n">
        <v>419</v>
      </c>
      <c r="I2710" s="36">
        <f>VLOOKUP(G2710,매칭테이블!D:E,2,0)</f>
        <v/>
      </c>
      <c r="J2710" s="39" t="n">
        <v>210101</v>
      </c>
      <c r="L2710" s="36">
        <f>VLOOKUP($P2710,매칭테이블!$G:$J,2,0)*H2710</f>
        <v/>
      </c>
      <c r="M2710" s="36">
        <f>L2710-L2710*VLOOKUP($P2710,매칭테이블!$G:$J,3,0)</f>
        <v/>
      </c>
      <c r="N2710" s="36">
        <f>VLOOKUP($P2710,매칭테이블!$G:$J,4,0)*H2710</f>
        <v/>
      </c>
      <c r="O2710" s="52">
        <f>L2710/1.1</f>
        <v/>
      </c>
      <c r="P2710" s="36">
        <f>F2710&amp;E2710&amp;G2710&amp;J2710</f>
        <v/>
      </c>
    </row>
    <row r="2711">
      <c r="B2711" s="51" t="n">
        <v>44201</v>
      </c>
      <c r="C2711" s="36">
        <f>TEXT(B2711,"aaa")</f>
        <v/>
      </c>
      <c r="E2711" s="36">
        <f>INDEX(매칭테이블!C:C,MATCH(RD!G2711,매칭테이블!D:D,0))</f>
        <v/>
      </c>
      <c r="F2711" s="39" t="inlineStr">
        <is>
          <t>카페24</t>
        </is>
      </c>
      <c r="G2711" s="39" t="inlineStr">
        <is>
          <t>유즈 스테이포에버 솔리드퍼퓸 002 (11차 예약구매 진행중)제품선택=best</t>
        </is>
      </c>
      <c r="H2711" s="39" t="n">
        <v>77</v>
      </c>
      <c r="I2711" s="36">
        <f>VLOOKUP(G2711,매칭테이블!D:E,2,0)</f>
        <v/>
      </c>
      <c r="J2711" s="39" t="n">
        <v>210101</v>
      </c>
      <c r="L2711" s="36">
        <f>VLOOKUP($P2711,매칭테이블!$G:$J,2,0)*H2711</f>
        <v/>
      </c>
      <c r="M2711" s="36">
        <f>L2711-L2711*VLOOKUP($P2711,매칭테이블!$G:$J,3,0)</f>
        <v/>
      </c>
      <c r="N2711" s="36">
        <f>VLOOKUP($P2711,매칭테이블!$G:$J,4,0)*H2711</f>
        <v/>
      </c>
      <c r="O2711" s="52">
        <f>L2711/1.1</f>
        <v/>
      </c>
      <c r="P2711" s="36">
        <f>F2711&amp;E2711&amp;G2711&amp;J2711</f>
        <v/>
      </c>
    </row>
    <row r="2712">
      <c r="B2712" s="51" t="n">
        <v>44201</v>
      </c>
      <c r="C2712" s="36">
        <f>TEXT(B2712,"aaa")</f>
        <v/>
      </c>
      <c r="E2712" s="36">
        <f>INDEX(매칭테이블!C:C,MATCH(RD!G2712,매칭테이블!D:D,0))</f>
        <v/>
      </c>
      <c r="F2712" s="39" t="inlineStr">
        <is>
          <t>카페24</t>
        </is>
      </c>
      <c r="G2712" s="39" t="inlineStr">
        <is>
          <t>유즈 스테이포에버 솔리드퍼퓸 002 (11차 예약구매 진행중)제품선택=best스테이포에버 2개[28% 할인]</t>
        </is>
      </c>
      <c r="H2712" s="39" t="n">
        <v>122</v>
      </c>
      <c r="I2712" s="36">
        <f>VLOOKUP(G2712,매칭테이블!D:E,2,0)</f>
        <v/>
      </c>
      <c r="J2712" s="39" t="n">
        <v>210101</v>
      </c>
      <c r="L2712" s="36">
        <f>VLOOKUP($P2712,매칭테이블!$G:$J,2,0)*H2712</f>
        <v/>
      </c>
      <c r="M2712" s="36">
        <f>L2712-L2712*VLOOKUP($P2712,매칭테이블!$G:$J,3,0)</f>
        <v/>
      </c>
      <c r="N2712" s="36">
        <f>VLOOKUP($P2712,매칭테이블!$G:$J,4,0)*H2712</f>
        <v/>
      </c>
      <c r="O2712" s="52">
        <f>L2712/1.1</f>
        <v/>
      </c>
      <c r="P2712" s="36">
        <f>F2712&amp;E2712&amp;G2712&amp;J2712</f>
        <v/>
      </c>
    </row>
    <row r="2713">
      <c r="B2713" s="51" t="n">
        <v>44201</v>
      </c>
      <c r="C2713" s="36">
        <f>TEXT(B2713,"aaa")</f>
        <v/>
      </c>
      <c r="E2713" s="36">
        <f>INDEX(매칭테이블!C:C,MATCH(RD!G2713,매칭테이블!D:D,0))</f>
        <v/>
      </c>
      <c r="F2713" s="39" t="inlineStr">
        <is>
          <t>카페24</t>
        </is>
      </c>
      <c r="G2713" s="39" t="inlineStr">
        <is>
          <t>유즈 스테이포에버 솔리드퍼퓸 002 (11차 예약구매 진행중)제품선택=커플추천</t>
        </is>
      </c>
      <c r="H2713" s="39" t="n">
        <v>9</v>
      </c>
      <c r="I2713" s="36">
        <f>VLOOKUP(G2713,매칭테이블!D:E,2,0)</f>
        <v/>
      </c>
      <c r="J2713" s="39" t="n">
        <v>210101</v>
      </c>
      <c r="L2713" s="36">
        <f>VLOOKUP($P2713,매칭테이블!$G:$J,2,0)*H2713</f>
        <v/>
      </c>
      <c r="M2713" s="36">
        <f>L2713-L2713*VLOOKUP($P2713,매칭테이블!$G:$J,3,0)</f>
        <v/>
      </c>
      <c r="N2713" s="36">
        <f>VLOOKUP($P2713,매칭테이블!$G:$J,4,0)*H2713</f>
        <v/>
      </c>
      <c r="O2713" s="52">
        <f>L2713/1.1</f>
        <v/>
      </c>
      <c r="P2713" s="36">
        <f>F2713&amp;E2713&amp;G2713&amp;J2713</f>
        <v/>
      </c>
    </row>
    <row r="2714">
      <c r="B2714" s="51" t="n">
        <v>44201</v>
      </c>
      <c r="C2714" s="36">
        <f>TEXT(B2714,"aaa")</f>
        <v/>
      </c>
      <c r="E2714" s="36">
        <f>INDEX(매칭테이블!C:C,MATCH(RD!G2714,매칭테이블!D:D,0))</f>
        <v/>
      </c>
      <c r="F2714" s="39" t="inlineStr">
        <is>
          <t>카페24</t>
        </is>
      </c>
      <c r="G2714" s="39" t="inlineStr">
        <is>
          <t>유즈 스테이포에버 솔리드퍼퓸 002 (11차 예약구매 진행중)제품선택=커플추천스테이포에버 + 이그나이트 세트</t>
        </is>
      </c>
      <c r="H2714" s="39" t="n">
        <v>17</v>
      </c>
      <c r="I2714" s="36">
        <f>VLOOKUP(G2714,매칭테이블!D:E,2,0)</f>
        <v/>
      </c>
      <c r="J2714" s="39" t="n">
        <v>210101</v>
      </c>
      <c r="L2714" s="36">
        <f>VLOOKUP($P2714,매칭테이블!$G:$J,2,0)*H2714</f>
        <v/>
      </c>
      <c r="M2714" s="36">
        <f>L2714-L2714*VLOOKUP($P2714,매칭테이블!$G:$J,3,0)</f>
        <v/>
      </c>
      <c r="N2714" s="36">
        <f>VLOOKUP($P2714,매칭테이블!$G:$J,4,0)*H2714</f>
        <v/>
      </c>
      <c r="O2714" s="52">
        <f>L2714/1.1</f>
        <v/>
      </c>
      <c r="P2714" s="36">
        <f>F2714&amp;E2714&amp;G2714&amp;J2714</f>
        <v/>
      </c>
    </row>
    <row r="2715">
      <c r="B2715" s="51" t="n">
        <v>44201</v>
      </c>
      <c r="C2715" s="36">
        <f>TEXT(B2715,"aaa")</f>
        <v/>
      </c>
      <c r="E2715" s="36">
        <f>INDEX(매칭테이블!C:C,MATCH(RD!G2715,매칭테이블!D:D,0))</f>
        <v/>
      </c>
      <c r="F2715" s="39" t="inlineStr">
        <is>
          <t>카페24</t>
        </is>
      </c>
      <c r="G2715" s="39" t="inlineStr">
        <is>
          <t>유즈 스테이포에버 솔리드퍼퓸 002 (11차 예약구매 진행중)쇼핑백=선물용 쇼핑백</t>
        </is>
      </c>
      <c r="H2715" s="39" t="n">
        <v>8</v>
      </c>
      <c r="I2715" s="36">
        <f>VLOOKUP(G2715,매칭테이블!D:E,2,0)</f>
        <v/>
      </c>
      <c r="J2715" s="39" t="n">
        <v>210101</v>
      </c>
      <c r="L2715" s="36">
        <f>VLOOKUP($P2715,매칭테이블!$G:$J,2,0)*H2715</f>
        <v/>
      </c>
      <c r="M2715" s="36">
        <f>L2715-L2715*VLOOKUP($P2715,매칭테이블!$G:$J,3,0)</f>
        <v/>
      </c>
      <c r="N2715" s="36">
        <f>VLOOKUP($P2715,매칭테이블!$G:$J,4,0)*H2715</f>
        <v/>
      </c>
      <c r="O2715" s="52">
        <f>L2715/1.1</f>
        <v/>
      </c>
      <c r="P2715" s="36">
        <f>F2715&amp;E2715&amp;G2715&amp;J2715</f>
        <v/>
      </c>
    </row>
    <row r="2716">
      <c r="B2716" s="51" t="n">
        <v>44201</v>
      </c>
      <c r="C2716" s="36">
        <f>TEXT(B2716,"aaa")</f>
        <v/>
      </c>
      <c r="E2716" s="36">
        <f>INDEX(매칭테이블!C:C,MATCH(RD!G2716,매칭테이블!D:D,0))</f>
        <v/>
      </c>
      <c r="F2716" s="39" t="inlineStr">
        <is>
          <t>카페24</t>
        </is>
      </c>
      <c r="G2716" s="39" t="inlineStr">
        <is>
          <t>유즈 이그나이트 솔리드퍼퓸 001제품선택=이그나이트 솔리드퍼퓸 - 30ml</t>
        </is>
      </c>
      <c r="H2716" s="39" t="n">
        <v>2</v>
      </c>
      <c r="I2716" s="36">
        <f>VLOOKUP(G2716,매칭테이블!D:E,2,0)</f>
        <v/>
      </c>
      <c r="J2716" s="39" t="n">
        <v>210101</v>
      </c>
      <c r="L2716" s="36">
        <f>VLOOKUP($P2716,매칭테이블!$G:$J,2,0)*H2716</f>
        <v/>
      </c>
      <c r="M2716" s="36">
        <f>L2716-L2716*VLOOKUP($P2716,매칭테이블!$G:$J,3,0)</f>
        <v/>
      </c>
      <c r="N2716" s="36">
        <f>VLOOKUP($P2716,매칭테이블!$G:$J,4,0)*H2716</f>
        <v/>
      </c>
      <c r="O2716" s="52">
        <f>L2716/1.1</f>
        <v/>
      </c>
      <c r="P2716" s="36">
        <f>F2716&amp;E2716&amp;G2716&amp;J2716</f>
        <v/>
      </c>
    </row>
    <row r="2717">
      <c r="B2717" s="51" t="n">
        <v>44201</v>
      </c>
      <c r="C2717" s="36">
        <f>TEXT(B2717,"aaa")</f>
        <v/>
      </c>
      <c r="E2717" s="36">
        <f>INDEX(매칭테이블!C:C,MATCH(RD!G2717,매칭테이블!D:D,0))</f>
        <v/>
      </c>
      <c r="F2717" s="39" t="inlineStr">
        <is>
          <t>카페24</t>
        </is>
      </c>
      <c r="G2717" s="39" t="inlineStr">
        <is>
          <t>유즈 이그나이트 솔리드퍼퓸 001제품선택=이그나이트 2개 세트</t>
        </is>
      </c>
      <c r="H2717" s="39" t="n">
        <v>2</v>
      </c>
      <c r="I2717" s="36">
        <f>VLOOKUP(G2717,매칭테이블!D:E,2,0)</f>
        <v/>
      </c>
      <c r="J2717" s="39" t="n">
        <v>210101</v>
      </c>
      <c r="L2717" s="36">
        <f>VLOOKUP($P2717,매칭테이블!$G:$J,2,0)*H2717</f>
        <v/>
      </c>
      <c r="M2717" s="36">
        <f>L2717-L2717*VLOOKUP($P2717,매칭테이블!$G:$J,3,0)</f>
        <v/>
      </c>
      <c r="N2717" s="36">
        <f>VLOOKUP($P2717,매칭테이블!$G:$J,4,0)*H2717</f>
        <v/>
      </c>
      <c r="O2717" s="52">
        <f>L2717/1.1</f>
        <v/>
      </c>
      <c r="P2717" s="36">
        <f>F2717&amp;E2717&amp;G2717&amp;J2717</f>
        <v/>
      </c>
    </row>
    <row r="2718">
      <c r="B2718" s="51" t="n">
        <v>44201</v>
      </c>
      <c r="C2718" s="36">
        <f>TEXT(B2718,"aaa")</f>
        <v/>
      </c>
      <c r="E2718" s="36">
        <f>INDEX(매칭테이블!C:C,MATCH(RD!G2718,매칭테이블!D:D,0))</f>
        <v/>
      </c>
      <c r="F2718" s="39" t="inlineStr">
        <is>
          <t>카페24</t>
        </is>
      </c>
      <c r="G2718" s="39" t="inlineStr">
        <is>
          <t>유즈 이그나이트 솔리드퍼퓸 001쇼핑백=선물용 쇼핑백</t>
        </is>
      </c>
      <c r="H2718" s="39" t="n">
        <v>1</v>
      </c>
      <c r="I2718" s="36">
        <f>VLOOKUP(G2718,매칭테이블!D:E,2,0)</f>
        <v/>
      </c>
      <c r="J2718" s="39" t="n">
        <v>210101</v>
      </c>
      <c r="L2718" s="36">
        <f>VLOOKUP($P2718,매칭테이블!$G:$J,2,0)*H2718</f>
        <v/>
      </c>
      <c r="M2718" s="36">
        <f>L2718-L2718*VLOOKUP($P2718,매칭테이블!$G:$J,3,0)</f>
        <v/>
      </c>
      <c r="N2718" s="36">
        <f>VLOOKUP($P2718,매칭테이블!$G:$J,4,0)*H2718</f>
        <v/>
      </c>
      <c r="O2718" s="52">
        <f>L2718/1.1</f>
        <v/>
      </c>
      <c r="P2718" s="36">
        <f>F2718&amp;E2718&amp;G2718&amp;J2718</f>
        <v/>
      </c>
    </row>
    <row r="2719">
      <c r="B2719" s="51" t="n">
        <v>44202</v>
      </c>
      <c r="C2719" s="36">
        <f>TEXT(B2719,"aaa")</f>
        <v/>
      </c>
      <c r="E2719" s="36">
        <f>INDEX(매칭테이블!C:C,MATCH(RD!G2719,매칭테이블!D:D,0))</f>
        <v/>
      </c>
      <c r="F2719" s="39" t="inlineStr">
        <is>
          <t>카페24</t>
        </is>
      </c>
      <c r="G2719" s="39" t="inlineStr">
        <is>
          <t>솔리드퍼퓸 스테이포에버 002 30ml</t>
        </is>
      </c>
      <c r="H2719" s="39" t="n">
        <v>3</v>
      </c>
      <c r="I2719" s="36">
        <f>VLOOKUP(G2719,매칭테이블!D:E,2,0)</f>
        <v/>
      </c>
      <c r="J2719" s="39" t="n">
        <v>210101</v>
      </c>
      <c r="L2719" s="36">
        <f>VLOOKUP($P2719,매칭테이블!$G:$J,2,0)*H2719</f>
        <v/>
      </c>
      <c r="M2719" s="36">
        <f>L2719-L2719*VLOOKUP($P2719,매칭테이블!$G:$J,3,0)</f>
        <v/>
      </c>
      <c r="N2719" s="36">
        <f>VLOOKUP($P2719,매칭테이블!$G:$J,4,0)*H2719</f>
        <v/>
      </c>
      <c r="O2719" s="52">
        <f>L2719/1.1</f>
        <v/>
      </c>
      <c r="P2719" s="36">
        <f>F2719&amp;E2719&amp;G2719&amp;J2719</f>
        <v/>
      </c>
    </row>
    <row r="2720">
      <c r="B2720" s="51" t="n">
        <v>44202</v>
      </c>
      <c r="C2720" s="36">
        <f>TEXT(B2720,"aaa")</f>
        <v/>
      </c>
      <c r="E2720" s="36">
        <f>INDEX(매칭테이블!C:C,MATCH(RD!G2720,매칭테이블!D:D,0))</f>
        <v/>
      </c>
      <c r="F2720" s="39" t="inlineStr">
        <is>
          <t>카페24</t>
        </is>
      </c>
      <c r="G2720" s="39" t="inlineStr">
        <is>
          <t>유즈 솔리드퍼퓸 - 30ml (11차 예약구매 진행중)향=이그나이트 001 SOLID PERFUME, 세트 선택=1개</t>
        </is>
      </c>
      <c r="H2720" s="39" t="n">
        <v>2</v>
      </c>
      <c r="I2720" s="36">
        <f>VLOOKUP(G2720,매칭테이블!D:E,2,0)</f>
        <v/>
      </c>
      <c r="J2720" s="39" t="n">
        <v>210101</v>
      </c>
      <c r="L2720" s="36">
        <f>VLOOKUP($P2720,매칭테이블!$G:$J,2,0)*H2720</f>
        <v/>
      </c>
      <c r="M2720" s="36">
        <f>L2720-L2720*VLOOKUP($P2720,매칭테이블!$G:$J,3,0)</f>
        <v/>
      </c>
      <c r="N2720" s="36">
        <f>VLOOKUP($P2720,매칭테이블!$G:$J,4,0)*H2720</f>
        <v/>
      </c>
      <c r="O2720" s="52">
        <f>L2720/1.1</f>
        <v/>
      </c>
      <c r="P2720" s="36">
        <f>F2720&amp;E2720&amp;G2720&amp;J2720</f>
        <v/>
      </c>
    </row>
    <row r="2721">
      <c r="B2721" s="51" t="n">
        <v>44202</v>
      </c>
      <c r="C2721" s="36">
        <f>TEXT(B2721,"aaa")</f>
        <v/>
      </c>
      <c r="E2721" s="36">
        <f>INDEX(매칭테이블!C:C,MATCH(RD!G2721,매칭테이블!D:D,0))</f>
        <v/>
      </c>
      <c r="F2721" s="39" t="inlineStr">
        <is>
          <t>카페24</t>
        </is>
      </c>
      <c r="G2721" s="39" t="inlineStr">
        <is>
          <t>유즈 솔리드퍼퓸 - 30ml (11차 예약구매 진행중)향=스테이포에버 002 SOLID PERFUME, 세트 선택=1개</t>
        </is>
      </c>
      <c r="H2721" s="39" t="n">
        <v>12</v>
      </c>
      <c r="I2721" s="36">
        <f>VLOOKUP(G2721,매칭테이블!D:E,2,0)</f>
        <v/>
      </c>
      <c r="J2721" s="39" t="n">
        <v>210101</v>
      </c>
      <c r="L2721" s="36">
        <f>VLOOKUP($P2721,매칭테이블!$G:$J,2,0)*H2721</f>
        <v/>
      </c>
      <c r="M2721" s="36">
        <f>L2721-L2721*VLOOKUP($P2721,매칭테이블!$G:$J,3,0)</f>
        <v/>
      </c>
      <c r="N2721" s="36">
        <f>VLOOKUP($P2721,매칭테이블!$G:$J,4,0)*H2721</f>
        <v/>
      </c>
      <c r="O2721" s="52">
        <f>L2721/1.1</f>
        <v/>
      </c>
      <c r="P2721" s="36">
        <f>F2721&amp;E2721&amp;G2721&amp;J2721</f>
        <v/>
      </c>
    </row>
    <row r="2722">
      <c r="B2722" s="51" t="n">
        <v>44202</v>
      </c>
      <c r="C2722" s="36">
        <f>TEXT(B2722,"aaa")</f>
        <v/>
      </c>
      <c r="E2722" s="36">
        <f>INDEX(매칭테이블!C:C,MATCH(RD!G2722,매칭테이블!D:D,0))</f>
        <v/>
      </c>
      <c r="F2722" s="39" t="inlineStr">
        <is>
          <t>카페24</t>
        </is>
      </c>
      <c r="G2722" s="39" t="inlineStr">
        <is>
          <t>유즈 솔리드퍼퓸 - 30ml (11차 예약구매 진행중)향=스테이포에버 002 SOLID PERFUME, 세트 선택=best</t>
        </is>
      </c>
      <c r="H2722" s="39" t="n">
        <v>6</v>
      </c>
      <c r="I2722" s="36">
        <f>VLOOKUP(G2722,매칭테이블!D:E,2,0)</f>
        <v/>
      </c>
      <c r="J2722" s="39" t="n">
        <v>210101</v>
      </c>
      <c r="L2722" s="36">
        <f>VLOOKUP($P2722,매칭테이블!$G:$J,2,0)*H2722</f>
        <v/>
      </c>
      <c r="M2722" s="36">
        <f>L2722-L2722*VLOOKUP($P2722,매칭테이블!$G:$J,3,0)</f>
        <v/>
      </c>
      <c r="N2722" s="36">
        <f>VLOOKUP($P2722,매칭테이블!$G:$J,4,0)*H2722</f>
        <v/>
      </c>
      <c r="O2722" s="52">
        <f>L2722/1.1</f>
        <v/>
      </c>
      <c r="P2722" s="36">
        <f>F2722&amp;E2722&amp;G2722&amp;J2722</f>
        <v/>
      </c>
    </row>
    <row r="2723">
      <c r="B2723" s="51" t="n">
        <v>44202</v>
      </c>
      <c r="C2723" s="36">
        <f>TEXT(B2723,"aaa")</f>
        <v/>
      </c>
      <c r="E2723" s="36">
        <f>INDEX(매칭테이블!C:C,MATCH(RD!G2723,매칭테이블!D:D,0))</f>
        <v/>
      </c>
      <c r="F2723" s="39" t="inlineStr">
        <is>
          <t>카페24</t>
        </is>
      </c>
      <c r="G2723" s="39" t="inlineStr">
        <is>
          <t>유즈 솔리드퍼퓸 - 30ml (11차 예약구매 진행중)향=스테이포에버 002 SOLID PERFUME, 세트 선택=best 2개 (28% 할인)</t>
        </is>
      </c>
      <c r="H2723" s="39" t="n">
        <v>2</v>
      </c>
      <c r="I2723" s="36">
        <f>VLOOKUP(G2723,매칭테이블!D:E,2,0)</f>
        <v/>
      </c>
      <c r="J2723" s="39" t="n">
        <v>210101</v>
      </c>
      <c r="L2723" s="36">
        <f>VLOOKUP($P2723,매칭테이블!$G:$J,2,0)*H2723</f>
        <v/>
      </c>
      <c r="M2723" s="36">
        <f>L2723-L2723*VLOOKUP($P2723,매칭테이블!$G:$J,3,0)</f>
        <v/>
      </c>
      <c r="N2723" s="36">
        <f>VLOOKUP($P2723,매칭테이블!$G:$J,4,0)*H2723</f>
        <v/>
      </c>
      <c r="O2723" s="52">
        <f>L2723/1.1</f>
        <v/>
      </c>
      <c r="P2723" s="36">
        <f>F2723&amp;E2723&amp;G2723&amp;J2723</f>
        <v/>
      </c>
    </row>
    <row r="2724">
      <c r="B2724" s="51" t="n">
        <v>44202</v>
      </c>
      <c r="C2724" s="36">
        <f>TEXT(B2724,"aaa")</f>
        <v/>
      </c>
      <c r="E2724" s="36">
        <f>INDEX(매칭테이블!C:C,MATCH(RD!G2724,매칭테이블!D:D,0))</f>
        <v/>
      </c>
      <c r="F2724" s="39" t="inlineStr">
        <is>
          <t>카페24</t>
        </is>
      </c>
      <c r="G2724" s="39" t="inlineStr">
        <is>
          <t>유즈 솔리드퍼퓸 - 30ml (11차 예약구매 진행중)향=커플세트</t>
        </is>
      </c>
      <c r="H2724" s="39" t="n">
        <v>4</v>
      </c>
      <c r="I2724" s="36">
        <f>VLOOKUP(G2724,매칭테이블!D:E,2,0)</f>
        <v/>
      </c>
      <c r="J2724" s="39" t="n">
        <v>210101</v>
      </c>
      <c r="L2724" s="36">
        <f>VLOOKUP($P2724,매칭테이블!$G:$J,2,0)*H2724</f>
        <v/>
      </c>
      <c r="M2724" s="36">
        <f>L2724-L2724*VLOOKUP($P2724,매칭테이블!$G:$J,3,0)</f>
        <v/>
      </c>
      <c r="N2724" s="36">
        <f>VLOOKUP($P2724,매칭테이블!$G:$J,4,0)*H2724</f>
        <v/>
      </c>
      <c r="O2724" s="52">
        <f>L2724/1.1</f>
        <v/>
      </c>
      <c r="P2724" s="36">
        <f>F2724&amp;E2724&amp;G2724&amp;J2724</f>
        <v/>
      </c>
    </row>
    <row r="2725">
      <c r="B2725" s="51" t="n">
        <v>44202</v>
      </c>
      <c r="C2725" s="36">
        <f>TEXT(B2725,"aaa")</f>
        <v/>
      </c>
      <c r="E2725" s="36">
        <f>INDEX(매칭테이블!C:C,MATCH(RD!G2725,매칭테이블!D:D,0))</f>
        <v/>
      </c>
      <c r="F2725" s="39" t="inlineStr">
        <is>
          <t>카페24</t>
        </is>
      </c>
      <c r="G2725" s="39" t="inlineStr">
        <is>
          <t>유즈 솔리드퍼퓸 - 30ml (11차 예약구매 진행중)향=커플세트(이그나이트 + 스테이포에버), 세트 선택=1 SET</t>
        </is>
      </c>
      <c r="H2725" s="39" t="n">
        <v>7</v>
      </c>
      <c r="I2725" s="36">
        <f>VLOOKUP(G2725,매칭테이블!D:E,2,0)</f>
        <v/>
      </c>
      <c r="J2725" s="39" t="n">
        <v>210101</v>
      </c>
      <c r="L2725" s="36">
        <f>VLOOKUP($P2725,매칭테이블!$G:$J,2,0)*H2725</f>
        <v/>
      </c>
      <c r="M2725" s="36">
        <f>L2725-L2725*VLOOKUP($P2725,매칭테이블!$G:$J,3,0)</f>
        <v/>
      </c>
      <c r="N2725" s="36">
        <f>VLOOKUP($P2725,매칭테이블!$G:$J,4,0)*H2725</f>
        <v/>
      </c>
      <c r="O2725" s="52">
        <f>L2725/1.1</f>
        <v/>
      </c>
      <c r="P2725" s="36">
        <f>F2725&amp;E2725&amp;G2725&amp;J2725</f>
        <v/>
      </c>
    </row>
    <row r="2726">
      <c r="B2726" s="51" t="n">
        <v>44202</v>
      </c>
      <c r="C2726" s="36">
        <f>TEXT(B2726,"aaa")</f>
        <v/>
      </c>
      <c r="E2726" s="36">
        <f>INDEX(매칭테이블!C:C,MATCH(RD!G2726,매칭테이블!D:D,0))</f>
        <v/>
      </c>
      <c r="F2726" s="39" t="inlineStr">
        <is>
          <t>카페24</t>
        </is>
      </c>
      <c r="G2726" s="39" t="inlineStr">
        <is>
          <t>유즈 스테이포에버 솔리드퍼퓸 002 (11차 예약구매 진행중)제품선택=스테이포에버 1개</t>
        </is>
      </c>
      <c r="H2726" s="39" t="n">
        <v>355</v>
      </c>
      <c r="I2726" s="36">
        <f>VLOOKUP(G2726,매칭테이블!D:E,2,0)</f>
        <v/>
      </c>
      <c r="J2726" s="39" t="n">
        <v>210101</v>
      </c>
      <c r="L2726" s="36">
        <f>VLOOKUP($P2726,매칭테이블!$G:$J,2,0)*H2726</f>
        <v/>
      </c>
      <c r="M2726" s="36">
        <f>L2726-L2726*VLOOKUP($P2726,매칭테이블!$G:$J,3,0)</f>
        <v/>
      </c>
      <c r="N2726" s="36">
        <f>VLOOKUP($P2726,매칭테이블!$G:$J,4,0)*H2726</f>
        <v/>
      </c>
      <c r="O2726" s="52">
        <f>L2726/1.1</f>
        <v/>
      </c>
      <c r="P2726" s="36">
        <f>F2726&amp;E2726&amp;G2726&amp;J2726</f>
        <v/>
      </c>
    </row>
    <row r="2727">
      <c r="B2727" s="51" t="n">
        <v>44202</v>
      </c>
      <c r="C2727" s="36">
        <f>TEXT(B2727,"aaa")</f>
        <v/>
      </c>
      <c r="E2727" s="36">
        <f>INDEX(매칭테이블!C:C,MATCH(RD!G2727,매칭테이블!D:D,0))</f>
        <v/>
      </c>
      <c r="F2727" s="39" t="inlineStr">
        <is>
          <t>카페24</t>
        </is>
      </c>
      <c r="G2727" s="39" t="inlineStr">
        <is>
          <t>유즈 스테이포에버 솔리드퍼퓸 002 (11차 예약구매 진행중)제품선택=best</t>
        </is>
      </c>
      <c r="H2727" s="39" t="n">
        <v>70</v>
      </c>
      <c r="I2727" s="36">
        <f>VLOOKUP(G2727,매칭테이블!D:E,2,0)</f>
        <v/>
      </c>
      <c r="J2727" s="39" t="n">
        <v>210101</v>
      </c>
      <c r="L2727" s="36">
        <f>VLOOKUP($P2727,매칭테이블!$G:$J,2,0)*H2727</f>
        <v/>
      </c>
      <c r="M2727" s="36">
        <f>L2727-L2727*VLOOKUP($P2727,매칭테이블!$G:$J,3,0)</f>
        <v/>
      </c>
      <c r="N2727" s="36">
        <f>VLOOKUP($P2727,매칭테이블!$G:$J,4,0)*H2727</f>
        <v/>
      </c>
      <c r="O2727" s="52">
        <f>L2727/1.1</f>
        <v/>
      </c>
      <c r="P2727" s="36">
        <f>F2727&amp;E2727&amp;G2727&amp;J2727</f>
        <v/>
      </c>
    </row>
    <row r="2728">
      <c r="B2728" s="51" t="n">
        <v>44202</v>
      </c>
      <c r="C2728" s="36">
        <f>TEXT(B2728,"aaa")</f>
        <v/>
      </c>
      <c r="E2728" s="36">
        <f>INDEX(매칭테이블!C:C,MATCH(RD!G2728,매칭테이블!D:D,0))</f>
        <v/>
      </c>
      <c r="F2728" s="39" t="inlineStr">
        <is>
          <t>카페24</t>
        </is>
      </c>
      <c r="G2728" s="39" t="inlineStr">
        <is>
          <t>유즈 스테이포에버 솔리드퍼퓸 002 (11차 예약구매 진행중)제품선택=best스테이포에버 2개[28% 할인]</t>
        </is>
      </c>
      <c r="H2728" s="39" t="n">
        <v>116</v>
      </c>
      <c r="I2728" s="36">
        <f>VLOOKUP(G2728,매칭테이블!D:E,2,0)</f>
        <v/>
      </c>
      <c r="J2728" s="39" t="n">
        <v>210101</v>
      </c>
      <c r="L2728" s="36">
        <f>VLOOKUP($P2728,매칭테이블!$G:$J,2,0)*H2728</f>
        <v/>
      </c>
      <c r="M2728" s="36">
        <f>L2728-L2728*VLOOKUP($P2728,매칭테이블!$G:$J,3,0)</f>
        <v/>
      </c>
      <c r="N2728" s="36">
        <f>VLOOKUP($P2728,매칭테이블!$G:$J,4,0)*H2728</f>
        <v/>
      </c>
      <c r="O2728" s="52">
        <f>L2728/1.1</f>
        <v/>
      </c>
      <c r="P2728" s="36">
        <f>F2728&amp;E2728&amp;G2728&amp;J2728</f>
        <v/>
      </c>
    </row>
    <row r="2729">
      <c r="B2729" s="51" t="n">
        <v>44202</v>
      </c>
      <c r="C2729" s="36">
        <f>TEXT(B2729,"aaa")</f>
        <v/>
      </c>
      <c r="E2729" s="36">
        <f>INDEX(매칭테이블!C:C,MATCH(RD!G2729,매칭테이블!D:D,0))</f>
        <v/>
      </c>
      <c r="F2729" s="39" t="inlineStr">
        <is>
          <t>카페24</t>
        </is>
      </c>
      <c r="G2729" s="39" t="inlineStr">
        <is>
          <t>유즈 스테이포에버 솔리드퍼퓸 002 (11차 예약구매 진행중)제품선택=커플추천</t>
        </is>
      </c>
      <c r="H2729" s="39" t="n">
        <v>13</v>
      </c>
      <c r="I2729" s="36">
        <f>VLOOKUP(G2729,매칭테이블!D:E,2,0)</f>
        <v/>
      </c>
      <c r="J2729" s="39" t="n">
        <v>210101</v>
      </c>
      <c r="L2729" s="36">
        <f>VLOOKUP($P2729,매칭테이블!$G:$J,2,0)*H2729</f>
        <v/>
      </c>
      <c r="M2729" s="36">
        <f>L2729-L2729*VLOOKUP($P2729,매칭테이블!$G:$J,3,0)</f>
        <v/>
      </c>
      <c r="N2729" s="36">
        <f>VLOOKUP($P2729,매칭테이블!$G:$J,4,0)*H2729</f>
        <v/>
      </c>
      <c r="O2729" s="52">
        <f>L2729/1.1</f>
        <v/>
      </c>
      <c r="P2729" s="36">
        <f>F2729&amp;E2729&amp;G2729&amp;J2729</f>
        <v/>
      </c>
    </row>
    <row r="2730">
      <c r="B2730" s="51" t="n">
        <v>44202</v>
      </c>
      <c r="C2730" s="36">
        <f>TEXT(B2730,"aaa")</f>
        <v/>
      </c>
      <c r="E2730" s="36">
        <f>INDEX(매칭테이블!C:C,MATCH(RD!G2730,매칭테이블!D:D,0))</f>
        <v/>
      </c>
      <c r="F2730" s="39" t="inlineStr">
        <is>
          <t>카페24</t>
        </is>
      </c>
      <c r="G2730" s="39" t="inlineStr">
        <is>
          <t>유즈 스테이포에버 솔리드퍼퓸 002 (11차 예약구매 진행중)제품선택=커플추천스테이포에버 + 이그나이트 세트</t>
        </is>
      </c>
      <c r="H2730" s="39" t="n">
        <v>18</v>
      </c>
      <c r="I2730" s="36">
        <f>VLOOKUP(G2730,매칭테이블!D:E,2,0)</f>
        <v/>
      </c>
      <c r="J2730" s="39" t="n">
        <v>210101</v>
      </c>
      <c r="L2730" s="36">
        <f>VLOOKUP($P2730,매칭테이블!$G:$J,2,0)*H2730</f>
        <v/>
      </c>
      <c r="M2730" s="36">
        <f>L2730-L2730*VLOOKUP($P2730,매칭테이블!$G:$J,3,0)</f>
        <v/>
      </c>
      <c r="N2730" s="36">
        <f>VLOOKUP($P2730,매칭테이블!$G:$J,4,0)*H2730</f>
        <v/>
      </c>
      <c r="O2730" s="52">
        <f>L2730/1.1</f>
        <v/>
      </c>
      <c r="P2730" s="36">
        <f>F2730&amp;E2730&amp;G2730&amp;J2730</f>
        <v/>
      </c>
    </row>
    <row r="2731">
      <c r="B2731" s="51" t="n">
        <v>44202</v>
      </c>
      <c r="C2731" s="36">
        <f>TEXT(B2731,"aaa")</f>
        <v/>
      </c>
      <c r="E2731" s="36">
        <f>INDEX(매칭테이블!C:C,MATCH(RD!G2731,매칭테이블!D:D,0))</f>
        <v/>
      </c>
      <c r="F2731" s="39" t="inlineStr">
        <is>
          <t>카페24</t>
        </is>
      </c>
      <c r="G2731" s="39" t="inlineStr">
        <is>
          <t>유즈 스테이포에버 솔리드퍼퓸 002 (11차 예약구매 진행중)쇼핑백=선물용 쇼핑백</t>
        </is>
      </c>
      <c r="H2731" s="39" t="n">
        <v>15</v>
      </c>
      <c r="I2731" s="36">
        <f>VLOOKUP(G2731,매칭테이블!D:E,2,0)</f>
        <v/>
      </c>
      <c r="J2731" s="39" t="n">
        <v>210101</v>
      </c>
      <c r="L2731" s="36">
        <f>VLOOKUP($P2731,매칭테이블!$G:$J,2,0)*H2731</f>
        <v/>
      </c>
      <c r="M2731" s="36">
        <f>L2731-L2731*VLOOKUP($P2731,매칭테이블!$G:$J,3,0)</f>
        <v/>
      </c>
      <c r="N2731" s="36">
        <f>VLOOKUP($P2731,매칭테이블!$G:$J,4,0)*H2731</f>
        <v/>
      </c>
      <c r="O2731" s="52">
        <f>L2731/1.1</f>
        <v/>
      </c>
      <c r="P2731" s="36">
        <f>F2731&amp;E2731&amp;G2731&amp;J2731</f>
        <v/>
      </c>
    </row>
    <row r="2732">
      <c r="B2732" s="51" t="n">
        <v>44202</v>
      </c>
      <c r="C2732" s="36">
        <f>TEXT(B2732,"aaa")</f>
        <v/>
      </c>
      <c r="E2732" s="36">
        <f>INDEX(매칭테이블!C:C,MATCH(RD!G2732,매칭테이블!D:D,0))</f>
        <v/>
      </c>
      <c r="F2732" s="39" t="inlineStr">
        <is>
          <t>카페24</t>
        </is>
      </c>
      <c r="G2732" s="39" t="inlineStr">
        <is>
          <t>유즈 이그나이트 솔리드퍼퓸 001제품선택=이그나이트 솔리드퍼퓸 - 30ml</t>
        </is>
      </c>
      <c r="H2732" s="39" t="n">
        <v>6</v>
      </c>
      <c r="I2732" s="36">
        <f>VLOOKUP(G2732,매칭테이블!D:E,2,0)</f>
        <v/>
      </c>
      <c r="J2732" s="39" t="n">
        <v>210101</v>
      </c>
      <c r="L2732" s="36">
        <f>VLOOKUP($P2732,매칭테이블!$G:$J,2,0)*H2732</f>
        <v/>
      </c>
      <c r="M2732" s="36">
        <f>L2732-L2732*VLOOKUP($P2732,매칭테이블!$G:$J,3,0)</f>
        <v/>
      </c>
      <c r="N2732" s="36">
        <f>VLOOKUP($P2732,매칭테이블!$G:$J,4,0)*H2732</f>
        <v/>
      </c>
      <c r="O2732" s="52">
        <f>L2732/1.1</f>
        <v/>
      </c>
      <c r="P2732" s="36">
        <f>F2732&amp;E2732&amp;G2732&amp;J2732</f>
        <v/>
      </c>
    </row>
    <row r="2733">
      <c r="B2733" s="51" t="n">
        <v>44202</v>
      </c>
      <c r="C2733" s="36">
        <f>TEXT(B2733,"aaa")</f>
        <v/>
      </c>
      <c r="E2733" s="36">
        <f>INDEX(매칭테이블!C:C,MATCH(RD!G2733,매칭테이블!D:D,0))</f>
        <v/>
      </c>
      <c r="F2733" s="39" t="inlineStr">
        <is>
          <t>카페24</t>
        </is>
      </c>
      <c r="G2733" s="39" t="inlineStr">
        <is>
          <t>유즈 이그나이트 솔리드퍼퓸 001제품선택=이그나이트 2개 세트</t>
        </is>
      </c>
      <c r="H2733" s="39" t="n">
        <v>1</v>
      </c>
      <c r="I2733" s="36">
        <f>VLOOKUP(G2733,매칭테이블!D:E,2,0)</f>
        <v/>
      </c>
      <c r="J2733" s="39" t="n">
        <v>210101</v>
      </c>
      <c r="L2733" s="36">
        <f>VLOOKUP($P2733,매칭테이블!$G:$J,2,0)*H2733</f>
        <v/>
      </c>
      <c r="M2733" s="36">
        <f>L2733-L2733*VLOOKUP($P2733,매칭테이블!$G:$J,3,0)</f>
        <v/>
      </c>
      <c r="N2733" s="36">
        <f>VLOOKUP($P2733,매칭테이블!$G:$J,4,0)*H2733</f>
        <v/>
      </c>
      <c r="O2733" s="52">
        <f>L2733/1.1</f>
        <v/>
      </c>
      <c r="P2733" s="36">
        <f>F2733&amp;E2733&amp;G2733&amp;J2733</f>
        <v/>
      </c>
    </row>
    <row r="2734">
      <c r="B2734" s="51" t="n">
        <v>44202</v>
      </c>
      <c r="C2734" s="36">
        <f>TEXT(B2734,"aaa")</f>
        <v/>
      </c>
      <c r="E2734" s="36">
        <f>INDEX(매칭테이블!C:C,MATCH(RD!G2734,매칭테이블!D:D,0))</f>
        <v/>
      </c>
      <c r="F2734" s="39" t="inlineStr">
        <is>
          <t>카페24</t>
        </is>
      </c>
      <c r="G2734" s="39" t="inlineStr">
        <is>
          <t>유즈 이그나이트 솔리드퍼퓸 001쇼핑백=선물용 쇼핑백</t>
        </is>
      </c>
      <c r="H2734" s="39" t="n">
        <v>1</v>
      </c>
      <c r="I2734" s="36">
        <f>VLOOKUP(G2734,매칭테이블!D:E,2,0)</f>
        <v/>
      </c>
      <c r="J2734" s="39" t="n">
        <v>210101</v>
      </c>
      <c r="L2734" s="36">
        <f>VLOOKUP($P2734,매칭테이블!$G:$J,2,0)*H2734</f>
        <v/>
      </c>
      <c r="M2734" s="36">
        <f>L2734-L2734*VLOOKUP($P2734,매칭테이블!$G:$J,3,0)</f>
        <v/>
      </c>
      <c r="N2734" s="36">
        <f>VLOOKUP($P2734,매칭테이블!$G:$J,4,0)*H2734</f>
        <v/>
      </c>
      <c r="O2734" s="52">
        <f>L2734/1.1</f>
        <v/>
      </c>
      <c r="P2734" s="36">
        <f>F2734&amp;E2734&amp;G2734&amp;J2734</f>
        <v/>
      </c>
    </row>
    <row r="2735">
      <c r="B2735" s="51" t="n">
        <v>44203</v>
      </c>
      <c r="C2735" s="36">
        <f>TEXT(B2735,"aaa")</f>
        <v/>
      </c>
      <c r="E2735" s="36">
        <f>INDEX(매칭테이블!C:C,MATCH(RD!G2735,매칭테이블!D:D,0))</f>
        <v/>
      </c>
      <c r="F2735" s="39" t="inlineStr">
        <is>
          <t>유즈 CS</t>
        </is>
      </c>
      <c r="G2735" s="39" t="inlineStr">
        <is>
          <t>솔리드퍼퓸 스테이포에버 002 30ml</t>
        </is>
      </c>
      <c r="H2735" s="39" t="n">
        <v>2</v>
      </c>
      <c r="I2735" s="36">
        <f>VLOOKUP(G2735,매칭테이블!D:E,2,0)</f>
        <v/>
      </c>
      <c r="J2735" s="39" t="n">
        <v>210101</v>
      </c>
      <c r="L2735" s="36">
        <f>VLOOKUP($P2735,매칭테이블!$G:$J,2,0)*H2735</f>
        <v/>
      </c>
      <c r="M2735" s="36">
        <f>L2735-L2735*VLOOKUP($P2735,매칭테이블!$G:$J,3,0)</f>
        <v/>
      </c>
      <c r="N2735" s="36">
        <f>VLOOKUP($P2735,매칭테이블!$G:$J,4,0)*H2735</f>
        <v/>
      </c>
      <c r="O2735" s="52">
        <f>L2735/1.1</f>
        <v/>
      </c>
      <c r="P2735" s="36">
        <f>F2735&amp;E2735&amp;G2735&amp;J2735</f>
        <v/>
      </c>
    </row>
    <row r="2736">
      <c r="B2736" s="51" t="n">
        <v>44203</v>
      </c>
      <c r="C2736" s="36">
        <f>TEXT(B2736,"aaa")</f>
        <v/>
      </c>
      <c r="E2736" s="36">
        <f>INDEX(매칭테이블!C:C,MATCH(RD!G2736,매칭테이블!D:D,0))</f>
        <v/>
      </c>
      <c r="F2736" s="39" t="inlineStr">
        <is>
          <t>카페24</t>
        </is>
      </c>
      <c r="G2736" s="39" t="inlineStr">
        <is>
          <t>유즈 솔리드퍼퓸 - 30ml (11차 예약구매 진행중)향=이그나이트 001 SOLID PERFUME, 세트 선택=best</t>
        </is>
      </c>
      <c r="H2736" s="39" t="n">
        <v>1</v>
      </c>
      <c r="I2736" s="36">
        <f>VLOOKUP(G2736,매칭테이블!D:E,2,0)</f>
        <v/>
      </c>
      <c r="J2736" s="39" t="n">
        <v>210101</v>
      </c>
      <c r="L2736" s="36">
        <f>VLOOKUP($P2736,매칭테이블!$G:$J,2,0)*H2736</f>
        <v/>
      </c>
      <c r="M2736" s="36">
        <f>L2736-L2736*VLOOKUP($P2736,매칭테이블!$G:$J,3,0)</f>
        <v/>
      </c>
      <c r="N2736" s="36">
        <f>VLOOKUP($P2736,매칭테이블!$G:$J,4,0)*H2736</f>
        <v/>
      </c>
      <c r="O2736" s="52">
        <f>L2736/1.1</f>
        <v/>
      </c>
      <c r="P2736" s="36">
        <f>F2736&amp;E2736&amp;G2736&amp;J2736</f>
        <v/>
      </c>
    </row>
    <row r="2737">
      <c r="B2737" s="51" t="n">
        <v>44203</v>
      </c>
      <c r="C2737" s="36">
        <f>TEXT(B2737,"aaa")</f>
        <v/>
      </c>
      <c r="E2737" s="36">
        <f>INDEX(매칭테이블!C:C,MATCH(RD!G2737,매칭테이블!D:D,0))</f>
        <v/>
      </c>
      <c r="F2737" s="39" t="inlineStr">
        <is>
          <t>카페24</t>
        </is>
      </c>
      <c r="G2737" s="39" t="inlineStr">
        <is>
          <t>유즈 솔리드퍼퓸 - 30ml (11차 예약구매 진행중)향=스테이포에버 002 SOLID PERFUME, 세트 선택=1개</t>
        </is>
      </c>
      <c r="H2737" s="39" t="n">
        <v>10</v>
      </c>
      <c r="I2737" s="36">
        <f>VLOOKUP(G2737,매칭테이블!D:E,2,0)</f>
        <v/>
      </c>
      <c r="J2737" s="39" t="n">
        <v>210101</v>
      </c>
      <c r="L2737" s="36">
        <f>VLOOKUP($P2737,매칭테이블!$G:$J,2,0)*H2737</f>
        <v/>
      </c>
      <c r="M2737" s="36">
        <f>L2737-L2737*VLOOKUP($P2737,매칭테이블!$G:$J,3,0)</f>
        <v/>
      </c>
      <c r="N2737" s="36">
        <f>VLOOKUP($P2737,매칭테이블!$G:$J,4,0)*H2737</f>
        <v/>
      </c>
      <c r="O2737" s="52">
        <f>L2737/1.1</f>
        <v/>
      </c>
      <c r="P2737" s="36">
        <f>F2737&amp;E2737&amp;G2737&amp;J2737</f>
        <v/>
      </c>
    </row>
    <row r="2738">
      <c r="B2738" s="51" t="n">
        <v>44203</v>
      </c>
      <c r="C2738" s="36">
        <f>TEXT(B2738,"aaa")</f>
        <v/>
      </c>
      <c r="E2738" s="36">
        <f>INDEX(매칭테이블!C:C,MATCH(RD!G2738,매칭테이블!D:D,0))</f>
        <v/>
      </c>
      <c r="F2738" s="39" t="inlineStr">
        <is>
          <t>카페24</t>
        </is>
      </c>
      <c r="G2738" s="39" t="inlineStr">
        <is>
          <t>유즈 솔리드퍼퓸 - 30ml (11차 예약구매 진행중)향=스테이포에버 002 SOLID PERFUME, 세트 선택=best</t>
        </is>
      </c>
      <c r="H2738" s="39" t="n">
        <v>4</v>
      </c>
      <c r="I2738" s="36">
        <f>VLOOKUP(G2738,매칭테이블!D:E,2,0)</f>
        <v/>
      </c>
      <c r="J2738" s="39" t="n">
        <v>210101</v>
      </c>
      <c r="L2738" s="36">
        <f>VLOOKUP($P2738,매칭테이블!$G:$J,2,0)*H2738</f>
        <v/>
      </c>
      <c r="M2738" s="36">
        <f>L2738-L2738*VLOOKUP($P2738,매칭테이블!$G:$J,3,0)</f>
        <v/>
      </c>
      <c r="N2738" s="36">
        <f>VLOOKUP($P2738,매칭테이블!$G:$J,4,0)*H2738</f>
        <v/>
      </c>
      <c r="O2738" s="52">
        <f>L2738/1.1</f>
        <v/>
      </c>
      <c r="P2738" s="36">
        <f>F2738&amp;E2738&amp;G2738&amp;J2738</f>
        <v/>
      </c>
    </row>
    <row r="2739">
      <c r="B2739" s="51" t="n">
        <v>44203</v>
      </c>
      <c r="C2739" s="36">
        <f>TEXT(B2739,"aaa")</f>
        <v/>
      </c>
      <c r="E2739" s="36">
        <f>INDEX(매칭테이블!C:C,MATCH(RD!G2739,매칭테이블!D:D,0))</f>
        <v/>
      </c>
      <c r="F2739" s="39" t="inlineStr">
        <is>
          <t>카페24</t>
        </is>
      </c>
      <c r="G2739" s="39" t="inlineStr">
        <is>
          <t>유즈 솔리드퍼퓸 - 30ml (11차 예약구매 진행중)향=스테이포에버 002 SOLID PERFUME, 세트 선택=best 2개 (28% 할인)</t>
        </is>
      </c>
      <c r="H2739" s="39" t="n">
        <v>1</v>
      </c>
      <c r="I2739" s="36">
        <f>VLOOKUP(G2739,매칭테이블!D:E,2,0)</f>
        <v/>
      </c>
      <c r="J2739" s="39" t="n">
        <v>210101</v>
      </c>
      <c r="L2739" s="36">
        <f>VLOOKUP($P2739,매칭테이블!$G:$J,2,0)*H2739</f>
        <v/>
      </c>
      <c r="M2739" s="36">
        <f>L2739-L2739*VLOOKUP($P2739,매칭테이블!$G:$J,3,0)</f>
        <v/>
      </c>
      <c r="N2739" s="36">
        <f>VLOOKUP($P2739,매칭테이블!$G:$J,4,0)*H2739</f>
        <v/>
      </c>
      <c r="O2739" s="52">
        <f>L2739/1.1</f>
        <v/>
      </c>
      <c r="P2739" s="36">
        <f>F2739&amp;E2739&amp;G2739&amp;J2739</f>
        <v/>
      </c>
    </row>
    <row r="2740">
      <c r="B2740" s="51" t="n">
        <v>44203</v>
      </c>
      <c r="C2740" s="36">
        <f>TEXT(B2740,"aaa")</f>
        <v/>
      </c>
      <c r="E2740" s="36">
        <f>INDEX(매칭테이블!C:C,MATCH(RD!G2740,매칭테이블!D:D,0))</f>
        <v/>
      </c>
      <c r="F2740" s="39" t="inlineStr">
        <is>
          <t>카페24</t>
        </is>
      </c>
      <c r="G2740" s="39" t="inlineStr">
        <is>
          <t>유즈 솔리드퍼퓸 - 30ml (11차 예약구매 진행중)향=커플세트</t>
        </is>
      </c>
      <c r="H2740" s="39" t="n">
        <v>3</v>
      </c>
      <c r="I2740" s="36">
        <f>VLOOKUP(G2740,매칭테이블!D:E,2,0)</f>
        <v/>
      </c>
      <c r="J2740" s="39" t="n">
        <v>210101</v>
      </c>
      <c r="L2740" s="36">
        <f>VLOOKUP($P2740,매칭테이블!$G:$J,2,0)*H2740</f>
        <v/>
      </c>
      <c r="M2740" s="36">
        <f>L2740-L2740*VLOOKUP($P2740,매칭테이블!$G:$J,3,0)</f>
        <v/>
      </c>
      <c r="N2740" s="36">
        <f>VLOOKUP($P2740,매칭테이블!$G:$J,4,0)*H2740</f>
        <v/>
      </c>
      <c r="O2740" s="52">
        <f>L2740/1.1</f>
        <v/>
      </c>
      <c r="P2740" s="36">
        <f>F2740&amp;E2740&amp;G2740&amp;J2740</f>
        <v/>
      </c>
    </row>
    <row r="2741">
      <c r="B2741" s="51" t="n">
        <v>44203</v>
      </c>
      <c r="C2741" s="36">
        <f>TEXT(B2741,"aaa")</f>
        <v/>
      </c>
      <c r="E2741" s="36">
        <f>INDEX(매칭테이블!C:C,MATCH(RD!G2741,매칭테이블!D:D,0))</f>
        <v/>
      </c>
      <c r="F2741" s="39" t="inlineStr">
        <is>
          <t>카페24</t>
        </is>
      </c>
      <c r="G2741" s="39" t="inlineStr">
        <is>
          <t>유즈 솔리드퍼퓸 - 30ml (11차 예약구매 진행중)향=커플세트(이그나이트 + 스테이포에버), 세트 선택=1 SET</t>
        </is>
      </c>
      <c r="H2741" s="39" t="n">
        <v>4</v>
      </c>
      <c r="I2741" s="36">
        <f>VLOOKUP(G2741,매칭테이블!D:E,2,0)</f>
        <v/>
      </c>
      <c r="J2741" s="39" t="n">
        <v>210101</v>
      </c>
      <c r="L2741" s="36">
        <f>VLOOKUP($P2741,매칭테이블!$G:$J,2,0)*H2741</f>
        <v/>
      </c>
      <c r="M2741" s="36">
        <f>L2741-L2741*VLOOKUP($P2741,매칭테이블!$G:$J,3,0)</f>
        <v/>
      </c>
      <c r="N2741" s="36">
        <f>VLOOKUP($P2741,매칭테이블!$G:$J,4,0)*H2741</f>
        <v/>
      </c>
      <c r="O2741" s="52">
        <f>L2741/1.1</f>
        <v/>
      </c>
      <c r="P2741" s="36">
        <f>F2741&amp;E2741&amp;G2741&amp;J2741</f>
        <v/>
      </c>
    </row>
    <row r="2742">
      <c r="B2742" s="51" t="n">
        <v>44203</v>
      </c>
      <c r="C2742" s="36">
        <f>TEXT(B2742,"aaa")</f>
        <v/>
      </c>
      <c r="E2742" s="36">
        <f>INDEX(매칭테이블!C:C,MATCH(RD!G2742,매칭테이블!D:D,0))</f>
        <v/>
      </c>
      <c r="F2742" s="39" t="inlineStr">
        <is>
          <t>카페24</t>
        </is>
      </c>
      <c r="G2742" s="39" t="inlineStr">
        <is>
          <t>유즈 스테이포에버 솔리드퍼퓸 002 (11차 예약구매 진행중)제품선택=스테이포에버 1개</t>
        </is>
      </c>
      <c r="H2742" s="39" t="n">
        <v>351</v>
      </c>
      <c r="I2742" s="36">
        <f>VLOOKUP(G2742,매칭테이블!D:E,2,0)</f>
        <v/>
      </c>
      <c r="J2742" s="39" t="n">
        <v>210101</v>
      </c>
      <c r="L2742" s="36">
        <f>VLOOKUP($P2742,매칭테이블!$G:$J,2,0)*H2742</f>
        <v/>
      </c>
      <c r="M2742" s="36">
        <f>L2742-L2742*VLOOKUP($P2742,매칭테이블!$G:$J,3,0)</f>
        <v/>
      </c>
      <c r="N2742" s="36">
        <f>VLOOKUP($P2742,매칭테이블!$G:$J,4,0)*H2742</f>
        <v/>
      </c>
      <c r="O2742" s="52">
        <f>L2742/1.1</f>
        <v/>
      </c>
      <c r="P2742" s="36">
        <f>F2742&amp;E2742&amp;G2742&amp;J2742</f>
        <v/>
      </c>
    </row>
    <row r="2743">
      <c r="B2743" s="51" t="n">
        <v>44203</v>
      </c>
      <c r="C2743" s="36">
        <f>TEXT(B2743,"aaa")</f>
        <v/>
      </c>
      <c r="E2743" s="36">
        <f>INDEX(매칭테이블!C:C,MATCH(RD!G2743,매칭테이블!D:D,0))</f>
        <v/>
      </c>
      <c r="F2743" s="39" t="inlineStr">
        <is>
          <t>카페24</t>
        </is>
      </c>
      <c r="G2743" s="39" t="inlineStr">
        <is>
          <t>유즈 스테이포에버 솔리드퍼퓸 002 (11차 예약구매 진행중)제품선택=best</t>
        </is>
      </c>
      <c r="H2743" s="39" t="n">
        <v>82</v>
      </c>
      <c r="I2743" s="36">
        <f>VLOOKUP(G2743,매칭테이블!D:E,2,0)</f>
        <v/>
      </c>
      <c r="J2743" s="39" t="n">
        <v>210101</v>
      </c>
      <c r="L2743" s="36">
        <f>VLOOKUP($P2743,매칭테이블!$G:$J,2,0)*H2743</f>
        <v/>
      </c>
      <c r="M2743" s="36">
        <f>L2743-L2743*VLOOKUP($P2743,매칭테이블!$G:$J,3,0)</f>
        <v/>
      </c>
      <c r="N2743" s="36">
        <f>VLOOKUP($P2743,매칭테이블!$G:$J,4,0)*H2743</f>
        <v/>
      </c>
      <c r="O2743" s="52">
        <f>L2743/1.1</f>
        <v/>
      </c>
      <c r="P2743" s="36">
        <f>F2743&amp;E2743&amp;G2743&amp;J2743</f>
        <v/>
      </c>
    </row>
    <row r="2744">
      <c r="B2744" s="51" t="n">
        <v>44203</v>
      </c>
      <c r="C2744" s="36">
        <f>TEXT(B2744,"aaa")</f>
        <v/>
      </c>
      <c r="E2744" s="36">
        <f>INDEX(매칭테이블!C:C,MATCH(RD!G2744,매칭테이블!D:D,0))</f>
        <v/>
      </c>
      <c r="F2744" s="39" t="inlineStr">
        <is>
          <t>카페24</t>
        </is>
      </c>
      <c r="G2744" s="39" t="inlineStr">
        <is>
          <t>유즈 스테이포에버 솔리드퍼퓸 002 (11차 예약구매 진행중)제품선택=best스테이포에버 2개[28% 할인]</t>
        </is>
      </c>
      <c r="H2744" s="39" t="n">
        <v>115</v>
      </c>
      <c r="I2744" s="36">
        <f>VLOOKUP(G2744,매칭테이블!D:E,2,0)</f>
        <v/>
      </c>
      <c r="J2744" s="39" t="n">
        <v>210101</v>
      </c>
      <c r="L2744" s="36">
        <f>VLOOKUP($P2744,매칭테이블!$G:$J,2,0)*H2744</f>
        <v/>
      </c>
      <c r="M2744" s="36">
        <f>L2744-L2744*VLOOKUP($P2744,매칭테이블!$G:$J,3,0)</f>
        <v/>
      </c>
      <c r="N2744" s="36">
        <f>VLOOKUP($P2744,매칭테이블!$G:$J,4,0)*H2744</f>
        <v/>
      </c>
      <c r="O2744" s="52">
        <f>L2744/1.1</f>
        <v/>
      </c>
      <c r="P2744" s="36">
        <f>F2744&amp;E2744&amp;G2744&amp;J2744</f>
        <v/>
      </c>
    </row>
    <row r="2745">
      <c r="B2745" s="51" t="n">
        <v>44203</v>
      </c>
      <c r="C2745" s="36">
        <f>TEXT(B2745,"aaa")</f>
        <v/>
      </c>
      <c r="E2745" s="36">
        <f>INDEX(매칭테이블!C:C,MATCH(RD!G2745,매칭테이블!D:D,0))</f>
        <v/>
      </c>
      <c r="F2745" s="39" t="inlineStr">
        <is>
          <t>카페24</t>
        </is>
      </c>
      <c r="G2745" s="39" t="inlineStr">
        <is>
          <t>유즈 스테이포에버 솔리드퍼퓸 002 (11차 예약구매 진행중)제품선택=커플추천</t>
        </is>
      </c>
      <c r="H2745" s="39" t="n">
        <v>7</v>
      </c>
      <c r="I2745" s="36">
        <f>VLOOKUP(G2745,매칭테이블!D:E,2,0)</f>
        <v/>
      </c>
      <c r="J2745" s="39" t="n">
        <v>210101</v>
      </c>
      <c r="L2745" s="36">
        <f>VLOOKUP($P2745,매칭테이블!$G:$J,2,0)*H2745</f>
        <v/>
      </c>
      <c r="M2745" s="36">
        <f>L2745-L2745*VLOOKUP($P2745,매칭테이블!$G:$J,3,0)</f>
        <v/>
      </c>
      <c r="N2745" s="36">
        <f>VLOOKUP($P2745,매칭테이블!$G:$J,4,0)*H2745</f>
        <v/>
      </c>
      <c r="O2745" s="52">
        <f>L2745/1.1</f>
        <v/>
      </c>
      <c r="P2745" s="36">
        <f>F2745&amp;E2745&amp;G2745&amp;J2745</f>
        <v/>
      </c>
    </row>
    <row r="2746">
      <c r="B2746" s="51" t="n">
        <v>44203</v>
      </c>
      <c r="C2746" s="36">
        <f>TEXT(B2746,"aaa")</f>
        <v/>
      </c>
      <c r="E2746" s="36">
        <f>INDEX(매칭테이블!C:C,MATCH(RD!G2746,매칭테이블!D:D,0))</f>
        <v/>
      </c>
      <c r="F2746" s="39" t="inlineStr">
        <is>
          <t>카페24</t>
        </is>
      </c>
      <c r="G2746" s="39" t="inlineStr">
        <is>
          <t>유즈 스테이포에버 솔리드퍼퓸 002 (11차 예약구매 진행중)제품선택=커플추천스테이포에버 + 이그나이트 세트</t>
        </is>
      </c>
      <c r="H2746" s="39" t="n">
        <v>17</v>
      </c>
      <c r="I2746" s="36">
        <f>VLOOKUP(G2746,매칭테이블!D:E,2,0)</f>
        <v/>
      </c>
      <c r="J2746" s="39" t="n">
        <v>210101</v>
      </c>
      <c r="L2746" s="36">
        <f>VLOOKUP($P2746,매칭테이블!$G:$J,2,0)*H2746</f>
        <v/>
      </c>
      <c r="M2746" s="36">
        <f>L2746-L2746*VLOOKUP($P2746,매칭테이블!$G:$J,3,0)</f>
        <v/>
      </c>
      <c r="N2746" s="36">
        <f>VLOOKUP($P2746,매칭테이블!$G:$J,4,0)*H2746</f>
        <v/>
      </c>
      <c r="O2746" s="52">
        <f>L2746/1.1</f>
        <v/>
      </c>
      <c r="P2746" s="36">
        <f>F2746&amp;E2746&amp;G2746&amp;J2746</f>
        <v/>
      </c>
    </row>
    <row r="2747">
      <c r="B2747" s="51" t="n">
        <v>44203</v>
      </c>
      <c r="C2747" s="36">
        <f>TEXT(B2747,"aaa")</f>
        <v/>
      </c>
      <c r="E2747" s="36">
        <f>INDEX(매칭테이블!C:C,MATCH(RD!G2747,매칭테이블!D:D,0))</f>
        <v/>
      </c>
      <c r="F2747" s="39" t="inlineStr">
        <is>
          <t>카페24</t>
        </is>
      </c>
      <c r="G2747" s="39" t="inlineStr">
        <is>
          <t>유즈 스테이포에버 솔리드퍼퓸 002 (11차 예약구매 진행중)쇼핑백=선물용 쇼핑백</t>
        </is>
      </c>
      <c r="H2747" s="39" t="n">
        <v>9</v>
      </c>
      <c r="I2747" s="36">
        <f>VLOOKUP(G2747,매칭테이블!D:E,2,0)</f>
        <v/>
      </c>
      <c r="J2747" s="39" t="n">
        <v>210101</v>
      </c>
      <c r="L2747" s="36">
        <f>VLOOKUP($P2747,매칭테이블!$G:$J,2,0)*H2747</f>
        <v/>
      </c>
      <c r="M2747" s="36">
        <f>L2747-L2747*VLOOKUP($P2747,매칭테이블!$G:$J,3,0)</f>
        <v/>
      </c>
      <c r="N2747" s="36">
        <f>VLOOKUP($P2747,매칭테이블!$G:$J,4,0)*H2747</f>
        <v/>
      </c>
      <c r="O2747" s="52">
        <f>L2747/1.1</f>
        <v/>
      </c>
      <c r="P2747" s="36">
        <f>F2747&amp;E2747&amp;G2747&amp;J2747</f>
        <v/>
      </c>
    </row>
    <row r="2748">
      <c r="B2748" s="51" t="n">
        <v>44203</v>
      </c>
      <c r="C2748" s="36">
        <f>TEXT(B2748,"aaa")</f>
        <v/>
      </c>
      <c r="E2748" s="36">
        <f>INDEX(매칭테이블!C:C,MATCH(RD!G2748,매칭테이블!D:D,0))</f>
        <v/>
      </c>
      <c r="F2748" s="39" t="inlineStr">
        <is>
          <t>카페24</t>
        </is>
      </c>
      <c r="G2748" s="39" t="inlineStr">
        <is>
          <t>유즈 이그나이트 솔리드퍼퓸 001제품선택=이그나이트 솔리드퍼퓸 - 30ml</t>
        </is>
      </c>
      <c r="H2748" s="39" t="n">
        <v>5</v>
      </c>
      <c r="I2748" s="36">
        <f>VLOOKUP(G2748,매칭테이블!D:E,2,0)</f>
        <v/>
      </c>
      <c r="J2748" s="39" t="n">
        <v>210101</v>
      </c>
      <c r="L2748" s="36">
        <f>VLOOKUP($P2748,매칭테이블!$G:$J,2,0)*H2748</f>
        <v/>
      </c>
      <c r="M2748" s="36">
        <f>L2748-L2748*VLOOKUP($P2748,매칭테이블!$G:$J,3,0)</f>
        <v/>
      </c>
      <c r="N2748" s="36">
        <f>VLOOKUP($P2748,매칭테이블!$G:$J,4,0)*H2748</f>
        <v/>
      </c>
      <c r="O2748" s="52">
        <f>L2748/1.1</f>
        <v/>
      </c>
      <c r="P2748" s="36">
        <f>F2748&amp;E2748&amp;G2748&amp;J2748</f>
        <v/>
      </c>
    </row>
    <row r="2749">
      <c r="B2749" s="51" t="n">
        <v>44204</v>
      </c>
      <c r="C2749" s="36">
        <f>TEXT(B2749,"aaa")</f>
        <v/>
      </c>
      <c r="E2749" s="36">
        <f>INDEX(매칭테이블!C:C,MATCH(RD!G2749,매칭테이블!D:D,0))</f>
        <v/>
      </c>
      <c r="F2749" s="39" t="inlineStr">
        <is>
          <t>카페24</t>
        </is>
      </c>
      <c r="G2749" s="39" t="inlineStr">
        <is>
          <t>유즈 솔리드퍼퓸 - 30ml (11차 예약구매 진행중)향=이그나이트 001 SOLID PERFUME, 세트 선택=1개</t>
        </is>
      </c>
      <c r="H2749" s="39" t="n">
        <v>2</v>
      </c>
      <c r="I2749" s="36">
        <f>VLOOKUP(G2749,매칭테이블!D:E,2,0)</f>
        <v/>
      </c>
      <c r="J2749" s="39" t="n">
        <v>210101</v>
      </c>
      <c r="L2749" s="36">
        <f>VLOOKUP($P2749,매칭테이블!$G:$J,2,0)*H2749</f>
        <v/>
      </c>
      <c r="M2749" s="36">
        <f>L2749-L2749*VLOOKUP($P2749,매칭테이블!$G:$J,3,0)</f>
        <v/>
      </c>
      <c r="N2749" s="36">
        <f>VLOOKUP($P2749,매칭테이블!$G:$J,4,0)*H2749</f>
        <v/>
      </c>
      <c r="O2749" s="52">
        <f>L2749/1.1</f>
        <v/>
      </c>
      <c r="P2749" s="36">
        <f>F2749&amp;E2749&amp;G2749&amp;J2749</f>
        <v/>
      </c>
    </row>
    <row r="2750">
      <c r="B2750" s="51" t="n">
        <v>44204</v>
      </c>
      <c r="C2750" s="36">
        <f>TEXT(B2750,"aaa")</f>
        <v/>
      </c>
      <c r="E2750" s="36">
        <f>INDEX(매칭테이블!C:C,MATCH(RD!G2750,매칭테이블!D:D,0))</f>
        <v/>
      </c>
      <c r="F2750" s="39" t="inlineStr">
        <is>
          <t>카페24</t>
        </is>
      </c>
      <c r="G2750" s="39" t="inlineStr">
        <is>
          <t>유즈 솔리드퍼퓸 - 30ml (11차 예약구매 진행중)향=스테이포에버 002 SOLID PERFUME, 세트 선택=1개</t>
        </is>
      </c>
      <c r="H2750" s="39" t="n">
        <v>16</v>
      </c>
      <c r="I2750" s="36">
        <f>VLOOKUP(G2750,매칭테이블!D:E,2,0)</f>
        <v/>
      </c>
      <c r="J2750" s="39" t="n">
        <v>210101</v>
      </c>
      <c r="L2750" s="36">
        <f>VLOOKUP($P2750,매칭테이블!$G:$J,2,0)*H2750</f>
        <v/>
      </c>
      <c r="M2750" s="36">
        <f>L2750-L2750*VLOOKUP($P2750,매칭테이블!$G:$J,3,0)</f>
        <v/>
      </c>
      <c r="N2750" s="36">
        <f>VLOOKUP($P2750,매칭테이블!$G:$J,4,0)*H2750</f>
        <v/>
      </c>
      <c r="O2750" s="52">
        <f>L2750/1.1</f>
        <v/>
      </c>
      <c r="P2750" s="36">
        <f>F2750&amp;E2750&amp;G2750&amp;J2750</f>
        <v/>
      </c>
    </row>
    <row r="2751">
      <c r="B2751" s="51" t="n">
        <v>44204</v>
      </c>
      <c r="C2751" s="36">
        <f>TEXT(B2751,"aaa")</f>
        <v/>
      </c>
      <c r="E2751" s="36">
        <f>INDEX(매칭테이블!C:C,MATCH(RD!G2751,매칭테이블!D:D,0))</f>
        <v/>
      </c>
      <c r="F2751" s="39" t="inlineStr">
        <is>
          <t>카페24</t>
        </is>
      </c>
      <c r="G2751" s="39" t="inlineStr">
        <is>
          <t>유즈 솔리드퍼퓸 - 30ml (11차 예약구매 진행중)향=스테이포에버 002 SOLID PERFUME, 세트 선택=best</t>
        </is>
      </c>
      <c r="H2751" s="39" t="n">
        <v>5</v>
      </c>
      <c r="I2751" s="36">
        <f>VLOOKUP(G2751,매칭테이블!D:E,2,0)</f>
        <v/>
      </c>
      <c r="J2751" s="39" t="n">
        <v>210101</v>
      </c>
      <c r="L2751" s="36">
        <f>VLOOKUP($P2751,매칭테이블!$G:$J,2,0)*H2751</f>
        <v/>
      </c>
      <c r="M2751" s="36">
        <f>L2751-L2751*VLOOKUP($P2751,매칭테이블!$G:$J,3,0)</f>
        <v/>
      </c>
      <c r="N2751" s="36">
        <f>VLOOKUP($P2751,매칭테이블!$G:$J,4,0)*H2751</f>
        <v/>
      </c>
      <c r="O2751" s="52">
        <f>L2751/1.1</f>
        <v/>
      </c>
      <c r="P2751" s="36">
        <f>F2751&amp;E2751&amp;G2751&amp;J2751</f>
        <v/>
      </c>
    </row>
    <row r="2752">
      <c r="B2752" s="51" t="n">
        <v>44204</v>
      </c>
      <c r="C2752" s="36">
        <f>TEXT(B2752,"aaa")</f>
        <v/>
      </c>
      <c r="E2752" s="36">
        <f>INDEX(매칭테이블!C:C,MATCH(RD!G2752,매칭테이블!D:D,0))</f>
        <v/>
      </c>
      <c r="F2752" s="39" t="inlineStr">
        <is>
          <t>카페24</t>
        </is>
      </c>
      <c r="G2752" s="39" t="inlineStr">
        <is>
          <t>유즈 솔리드퍼퓸 - 30ml (11차 예약구매 진행중)향=스테이포에버 002 SOLID PERFUME, 세트 선택=best 2개 (28% 할인)</t>
        </is>
      </c>
      <c r="H2752" s="39" t="n">
        <v>4</v>
      </c>
      <c r="I2752" s="36">
        <f>VLOOKUP(G2752,매칭테이블!D:E,2,0)</f>
        <v/>
      </c>
      <c r="J2752" s="39" t="n">
        <v>210101</v>
      </c>
      <c r="L2752" s="36">
        <f>VLOOKUP($P2752,매칭테이블!$G:$J,2,0)*H2752</f>
        <v/>
      </c>
      <c r="M2752" s="36">
        <f>L2752-L2752*VLOOKUP($P2752,매칭테이블!$G:$J,3,0)</f>
        <v/>
      </c>
      <c r="N2752" s="36">
        <f>VLOOKUP($P2752,매칭테이블!$G:$J,4,0)*H2752</f>
        <v/>
      </c>
      <c r="O2752" s="52">
        <f>L2752/1.1</f>
        <v/>
      </c>
      <c r="P2752" s="36">
        <f>F2752&amp;E2752&amp;G2752&amp;J2752</f>
        <v/>
      </c>
    </row>
    <row r="2753">
      <c r="B2753" s="51" t="n">
        <v>44204</v>
      </c>
      <c r="C2753" s="36">
        <f>TEXT(B2753,"aaa")</f>
        <v/>
      </c>
      <c r="E2753" s="36">
        <f>INDEX(매칭테이블!C:C,MATCH(RD!G2753,매칭테이블!D:D,0))</f>
        <v/>
      </c>
      <c r="F2753" s="39" t="inlineStr">
        <is>
          <t>카페24</t>
        </is>
      </c>
      <c r="G2753" s="39" t="inlineStr">
        <is>
          <t>유즈 솔리드퍼퓸 - 30ml (11차 예약구매 진행중)향=커플세트</t>
        </is>
      </c>
      <c r="H2753" s="39" t="n">
        <v>8</v>
      </c>
      <c r="I2753" s="36">
        <f>VLOOKUP(G2753,매칭테이블!D:E,2,0)</f>
        <v/>
      </c>
      <c r="J2753" s="39" t="n">
        <v>210101</v>
      </c>
      <c r="L2753" s="36">
        <f>VLOOKUP($P2753,매칭테이블!$G:$J,2,0)*H2753</f>
        <v/>
      </c>
      <c r="M2753" s="36">
        <f>L2753-L2753*VLOOKUP($P2753,매칭테이블!$G:$J,3,0)</f>
        <v/>
      </c>
      <c r="N2753" s="36">
        <f>VLOOKUP($P2753,매칭테이블!$G:$J,4,0)*H2753</f>
        <v/>
      </c>
      <c r="O2753" s="52">
        <f>L2753/1.1</f>
        <v/>
      </c>
      <c r="P2753" s="36">
        <f>F2753&amp;E2753&amp;G2753&amp;J2753</f>
        <v/>
      </c>
    </row>
    <row r="2754">
      <c r="B2754" s="51" t="n">
        <v>44204</v>
      </c>
      <c r="C2754" s="36">
        <f>TEXT(B2754,"aaa")</f>
        <v/>
      </c>
      <c r="E2754" s="36">
        <f>INDEX(매칭테이블!C:C,MATCH(RD!G2754,매칭테이블!D:D,0))</f>
        <v/>
      </c>
      <c r="F2754" s="39" t="inlineStr">
        <is>
          <t>카페24</t>
        </is>
      </c>
      <c r="G2754" s="39" t="inlineStr">
        <is>
          <t>유즈 솔리드퍼퓸 - 30ml (11차 예약구매 진행중)향=커플세트(이그나이트 + 스테이포에버), 세트 선택=1 SET</t>
        </is>
      </c>
      <c r="H2754" s="39" t="n">
        <v>5</v>
      </c>
      <c r="I2754" s="36">
        <f>VLOOKUP(G2754,매칭테이블!D:E,2,0)</f>
        <v/>
      </c>
      <c r="J2754" s="39" t="n">
        <v>210101</v>
      </c>
      <c r="L2754" s="36">
        <f>VLOOKUP($P2754,매칭테이블!$G:$J,2,0)*H2754</f>
        <v/>
      </c>
      <c r="M2754" s="36">
        <f>L2754-L2754*VLOOKUP($P2754,매칭테이블!$G:$J,3,0)</f>
        <v/>
      </c>
      <c r="N2754" s="36">
        <f>VLOOKUP($P2754,매칭테이블!$G:$J,4,0)*H2754</f>
        <v/>
      </c>
      <c r="O2754" s="52">
        <f>L2754/1.1</f>
        <v/>
      </c>
      <c r="P2754" s="36">
        <f>F2754&amp;E2754&amp;G2754&amp;J2754</f>
        <v/>
      </c>
    </row>
    <row r="2755">
      <c r="B2755" s="51" t="n">
        <v>44204</v>
      </c>
      <c r="C2755" s="36">
        <f>TEXT(B2755,"aaa")</f>
        <v/>
      </c>
      <c r="E2755" s="36">
        <f>INDEX(매칭테이블!C:C,MATCH(RD!G2755,매칭테이블!D:D,0))</f>
        <v/>
      </c>
      <c r="F2755" s="39" t="inlineStr">
        <is>
          <t>카페24</t>
        </is>
      </c>
      <c r="G2755" s="39" t="inlineStr">
        <is>
          <t>유즈 스테이포에버 솔리드퍼퓸 002 (11차 예약구매 진행중)제품선택=스테이포에버 1개</t>
        </is>
      </c>
      <c r="H2755" s="39" t="n">
        <v>294</v>
      </c>
      <c r="I2755" s="36">
        <f>VLOOKUP(G2755,매칭테이블!D:E,2,0)</f>
        <v/>
      </c>
      <c r="J2755" s="39" t="n">
        <v>210101</v>
      </c>
      <c r="L2755" s="36">
        <f>VLOOKUP($P2755,매칭테이블!$G:$J,2,0)*H2755</f>
        <v/>
      </c>
      <c r="M2755" s="36">
        <f>L2755-L2755*VLOOKUP($P2755,매칭테이블!$G:$J,3,0)</f>
        <v/>
      </c>
      <c r="N2755" s="36">
        <f>VLOOKUP($P2755,매칭테이블!$G:$J,4,0)*H2755</f>
        <v/>
      </c>
      <c r="O2755" s="52">
        <f>L2755/1.1</f>
        <v/>
      </c>
      <c r="P2755" s="36">
        <f>F2755&amp;E2755&amp;G2755&amp;J2755</f>
        <v/>
      </c>
    </row>
    <row r="2756">
      <c r="B2756" s="51" t="n">
        <v>44204</v>
      </c>
      <c r="C2756" s="36">
        <f>TEXT(B2756,"aaa")</f>
        <v/>
      </c>
      <c r="E2756" s="36">
        <f>INDEX(매칭테이블!C:C,MATCH(RD!G2756,매칭테이블!D:D,0))</f>
        <v/>
      </c>
      <c r="F2756" s="39" t="inlineStr">
        <is>
          <t>카페24</t>
        </is>
      </c>
      <c r="G2756" s="39" t="inlineStr">
        <is>
          <t>유즈 스테이포에버 솔리드퍼퓸 002 (11차 예약구매 진행중)제품선택=best</t>
        </is>
      </c>
      <c r="H2756" s="39" t="n">
        <v>68</v>
      </c>
      <c r="I2756" s="36">
        <f>VLOOKUP(G2756,매칭테이블!D:E,2,0)</f>
        <v/>
      </c>
      <c r="J2756" s="39" t="n">
        <v>210101</v>
      </c>
      <c r="L2756" s="36">
        <f>VLOOKUP($P2756,매칭테이블!$G:$J,2,0)*H2756</f>
        <v/>
      </c>
      <c r="M2756" s="36">
        <f>L2756-L2756*VLOOKUP($P2756,매칭테이블!$G:$J,3,0)</f>
        <v/>
      </c>
      <c r="N2756" s="36">
        <f>VLOOKUP($P2756,매칭테이블!$G:$J,4,0)*H2756</f>
        <v/>
      </c>
      <c r="O2756" s="52">
        <f>L2756/1.1</f>
        <v/>
      </c>
      <c r="P2756" s="36">
        <f>F2756&amp;E2756&amp;G2756&amp;J2756</f>
        <v/>
      </c>
    </row>
    <row r="2757">
      <c r="B2757" s="51" t="n">
        <v>44204</v>
      </c>
      <c r="C2757" s="36">
        <f>TEXT(B2757,"aaa")</f>
        <v/>
      </c>
      <c r="E2757" s="36">
        <f>INDEX(매칭테이블!C:C,MATCH(RD!G2757,매칭테이블!D:D,0))</f>
        <v/>
      </c>
      <c r="F2757" s="39" t="inlineStr">
        <is>
          <t>카페24</t>
        </is>
      </c>
      <c r="G2757" s="39" t="inlineStr">
        <is>
          <t>유즈 스테이포에버 솔리드퍼퓸 002 (11차 예약구매 진행중)제품선택=best스테이포에버 2개[28% 할인]</t>
        </is>
      </c>
      <c r="H2757" s="39" t="n">
        <v>92</v>
      </c>
      <c r="I2757" s="36">
        <f>VLOOKUP(G2757,매칭테이블!D:E,2,0)</f>
        <v/>
      </c>
      <c r="J2757" s="39" t="n">
        <v>210101</v>
      </c>
      <c r="L2757" s="36">
        <f>VLOOKUP($P2757,매칭테이블!$G:$J,2,0)*H2757</f>
        <v/>
      </c>
      <c r="M2757" s="36">
        <f>L2757-L2757*VLOOKUP($P2757,매칭테이블!$G:$J,3,0)</f>
        <v/>
      </c>
      <c r="N2757" s="36">
        <f>VLOOKUP($P2757,매칭테이블!$G:$J,4,0)*H2757</f>
        <v/>
      </c>
      <c r="O2757" s="52">
        <f>L2757/1.1</f>
        <v/>
      </c>
      <c r="P2757" s="36">
        <f>F2757&amp;E2757&amp;G2757&amp;J2757</f>
        <v/>
      </c>
    </row>
    <row r="2758">
      <c r="B2758" s="51" t="n">
        <v>44204</v>
      </c>
      <c r="C2758" s="36">
        <f>TEXT(B2758,"aaa")</f>
        <v/>
      </c>
      <c r="E2758" s="36">
        <f>INDEX(매칭테이블!C:C,MATCH(RD!G2758,매칭테이블!D:D,0))</f>
        <v/>
      </c>
      <c r="F2758" s="39" t="inlineStr">
        <is>
          <t>카페24</t>
        </is>
      </c>
      <c r="G2758" s="39" t="inlineStr">
        <is>
          <t>유즈 스테이포에버 솔리드퍼퓸 002 (11차 예약구매 진행중)제품선택=커플추천</t>
        </is>
      </c>
      <c r="H2758" s="39" t="n">
        <v>6</v>
      </c>
      <c r="I2758" s="36">
        <f>VLOOKUP(G2758,매칭테이블!D:E,2,0)</f>
        <v/>
      </c>
      <c r="J2758" s="39" t="n">
        <v>210101</v>
      </c>
      <c r="L2758" s="36">
        <f>VLOOKUP($P2758,매칭테이블!$G:$J,2,0)*H2758</f>
        <v/>
      </c>
      <c r="M2758" s="36">
        <f>L2758-L2758*VLOOKUP($P2758,매칭테이블!$G:$J,3,0)</f>
        <v/>
      </c>
      <c r="N2758" s="36">
        <f>VLOOKUP($P2758,매칭테이블!$G:$J,4,0)*H2758</f>
        <v/>
      </c>
      <c r="O2758" s="52">
        <f>L2758/1.1</f>
        <v/>
      </c>
      <c r="P2758" s="36">
        <f>F2758&amp;E2758&amp;G2758&amp;J2758</f>
        <v/>
      </c>
    </row>
    <row r="2759">
      <c r="B2759" s="51" t="n">
        <v>44204</v>
      </c>
      <c r="C2759" s="36">
        <f>TEXT(B2759,"aaa")</f>
        <v/>
      </c>
      <c r="E2759" s="36">
        <f>INDEX(매칭테이블!C:C,MATCH(RD!G2759,매칭테이블!D:D,0))</f>
        <v/>
      </c>
      <c r="F2759" s="39" t="inlineStr">
        <is>
          <t>카페24</t>
        </is>
      </c>
      <c r="G2759" s="39" t="inlineStr">
        <is>
          <t>유즈 스테이포에버 솔리드퍼퓸 002 (11차 예약구매 진행중)제품선택=커플추천스테이포에버 + 이그나이트 세트</t>
        </is>
      </c>
      <c r="H2759" s="39" t="n">
        <v>10</v>
      </c>
      <c r="I2759" s="36">
        <f>VLOOKUP(G2759,매칭테이블!D:E,2,0)</f>
        <v/>
      </c>
      <c r="J2759" s="39" t="n">
        <v>210101</v>
      </c>
      <c r="L2759" s="36">
        <f>VLOOKUP($P2759,매칭테이블!$G:$J,2,0)*H2759</f>
        <v/>
      </c>
      <c r="M2759" s="36">
        <f>L2759-L2759*VLOOKUP($P2759,매칭테이블!$G:$J,3,0)</f>
        <v/>
      </c>
      <c r="N2759" s="36">
        <f>VLOOKUP($P2759,매칭테이블!$G:$J,4,0)*H2759</f>
        <v/>
      </c>
      <c r="O2759" s="52">
        <f>L2759/1.1</f>
        <v/>
      </c>
      <c r="P2759" s="36">
        <f>F2759&amp;E2759&amp;G2759&amp;J2759</f>
        <v/>
      </c>
    </row>
    <row r="2760">
      <c r="B2760" s="51" t="n">
        <v>44204</v>
      </c>
      <c r="C2760" s="36">
        <f>TEXT(B2760,"aaa")</f>
        <v/>
      </c>
      <c r="E2760" s="36">
        <f>INDEX(매칭테이블!C:C,MATCH(RD!G2760,매칭테이블!D:D,0))</f>
        <v/>
      </c>
      <c r="F2760" s="39" t="inlineStr">
        <is>
          <t>카페24</t>
        </is>
      </c>
      <c r="G2760" s="39" t="inlineStr">
        <is>
          <t>유즈 스테이포에버 솔리드퍼퓸 002 (11차 예약구매 진행중)쇼핑백=선물용 쇼핑백</t>
        </is>
      </c>
      <c r="H2760" s="39" t="n">
        <v>11</v>
      </c>
      <c r="I2760" s="36">
        <f>VLOOKUP(G2760,매칭테이블!D:E,2,0)</f>
        <v/>
      </c>
      <c r="J2760" s="39" t="n">
        <v>210101</v>
      </c>
      <c r="L2760" s="36">
        <f>VLOOKUP($P2760,매칭테이블!$G:$J,2,0)*H2760</f>
        <v/>
      </c>
      <c r="M2760" s="36">
        <f>L2760-L2760*VLOOKUP($P2760,매칭테이블!$G:$J,3,0)</f>
        <v/>
      </c>
      <c r="N2760" s="36">
        <f>VLOOKUP($P2760,매칭테이블!$G:$J,4,0)*H2760</f>
        <v/>
      </c>
      <c r="O2760" s="52">
        <f>L2760/1.1</f>
        <v/>
      </c>
      <c r="P2760" s="36">
        <f>F2760&amp;E2760&amp;G2760&amp;J2760</f>
        <v/>
      </c>
    </row>
    <row r="2761">
      <c r="B2761" s="51" t="n">
        <v>44204</v>
      </c>
      <c r="C2761" s="36">
        <f>TEXT(B2761,"aaa")</f>
        <v/>
      </c>
      <c r="E2761" s="36">
        <f>INDEX(매칭테이블!C:C,MATCH(RD!G2761,매칭테이블!D:D,0))</f>
        <v/>
      </c>
      <c r="F2761" s="39" t="inlineStr">
        <is>
          <t>카페24</t>
        </is>
      </c>
      <c r="G2761" s="39" t="inlineStr">
        <is>
          <t>유즈 이그나이트 솔리드퍼퓸 001제품선택=이그나이트 솔리드퍼퓸 - 30ml</t>
        </is>
      </c>
      <c r="H2761" s="39" t="n">
        <v>6</v>
      </c>
      <c r="I2761" s="36">
        <f>VLOOKUP(G2761,매칭테이블!D:E,2,0)</f>
        <v/>
      </c>
      <c r="J2761" s="39" t="n">
        <v>210101</v>
      </c>
      <c r="L2761" s="36">
        <f>VLOOKUP($P2761,매칭테이블!$G:$J,2,0)*H2761</f>
        <v/>
      </c>
      <c r="M2761" s="36">
        <f>L2761-L2761*VLOOKUP($P2761,매칭테이블!$G:$J,3,0)</f>
        <v/>
      </c>
      <c r="N2761" s="36">
        <f>VLOOKUP($P2761,매칭테이블!$G:$J,4,0)*H2761</f>
        <v/>
      </c>
      <c r="O2761" s="52">
        <f>L2761/1.1</f>
        <v/>
      </c>
      <c r="P2761" s="36">
        <f>F2761&amp;E2761&amp;G2761&amp;J2761</f>
        <v/>
      </c>
    </row>
    <row r="2762">
      <c r="B2762" s="51" t="n">
        <v>44204</v>
      </c>
      <c r="C2762" s="36">
        <f>TEXT(B2762,"aaa")</f>
        <v/>
      </c>
      <c r="E2762" s="36">
        <f>INDEX(매칭테이블!C:C,MATCH(RD!G2762,매칭테이블!D:D,0))</f>
        <v/>
      </c>
      <c r="F2762" s="39" t="inlineStr">
        <is>
          <t>카페24</t>
        </is>
      </c>
      <c r="G2762" s="39" t="inlineStr">
        <is>
          <t>유즈 이그나이트 솔리드퍼퓸 001제품선택=이그나이트 2개 세트</t>
        </is>
      </c>
      <c r="H2762" s="39" t="n">
        <v>1</v>
      </c>
      <c r="I2762" s="36">
        <f>VLOOKUP(G2762,매칭테이블!D:E,2,0)</f>
        <v/>
      </c>
      <c r="J2762" s="39" t="n">
        <v>210101</v>
      </c>
      <c r="L2762" s="36">
        <f>VLOOKUP($P2762,매칭테이블!$G:$J,2,0)*H2762</f>
        <v/>
      </c>
      <c r="M2762" s="36">
        <f>L2762-L2762*VLOOKUP($P2762,매칭테이블!$G:$J,3,0)</f>
        <v/>
      </c>
      <c r="N2762" s="36">
        <f>VLOOKUP($P2762,매칭테이블!$G:$J,4,0)*H2762</f>
        <v/>
      </c>
      <c r="O2762" s="52">
        <f>L2762/1.1</f>
        <v/>
      </c>
      <c r="P2762" s="36">
        <f>F2762&amp;E2762&amp;G2762&amp;J2762</f>
        <v/>
      </c>
    </row>
    <row r="2763">
      <c r="B2763" s="51" t="n">
        <v>44204</v>
      </c>
      <c r="C2763" s="36">
        <f>TEXT(B2763,"aaa")</f>
        <v/>
      </c>
      <c r="E2763" s="36">
        <f>INDEX(매칭테이블!C:C,MATCH(RD!G2763,매칭테이블!D:D,0))</f>
        <v/>
      </c>
      <c r="F2763" s="39" t="inlineStr">
        <is>
          <t>카페24</t>
        </is>
      </c>
      <c r="G2763" s="39" t="inlineStr">
        <is>
          <t>유즈 이그나이트 솔리드퍼퓸 001쇼핑백=선물용 쇼핑백</t>
        </is>
      </c>
      <c r="H2763" s="39" t="n">
        <v>1</v>
      </c>
      <c r="I2763" s="36">
        <f>VLOOKUP(G2763,매칭테이블!D:E,2,0)</f>
        <v/>
      </c>
      <c r="J2763" s="39" t="n">
        <v>210101</v>
      </c>
      <c r="L2763" s="36">
        <f>VLOOKUP($P2763,매칭테이블!$G:$J,2,0)*H2763</f>
        <v/>
      </c>
      <c r="M2763" s="36">
        <f>L2763-L2763*VLOOKUP($P2763,매칭테이블!$G:$J,3,0)</f>
        <v/>
      </c>
      <c r="N2763" s="36">
        <f>VLOOKUP($P2763,매칭테이블!$G:$J,4,0)*H2763</f>
        <v/>
      </c>
      <c r="O2763" s="52">
        <f>L2763/1.1</f>
        <v/>
      </c>
      <c r="P2763" s="36">
        <f>F2763&amp;E2763&amp;G2763&amp;J2763</f>
        <v/>
      </c>
    </row>
    <row r="2764">
      <c r="B2764" s="51" t="n">
        <v>44205</v>
      </c>
      <c r="C2764" s="36">
        <f>TEXT(B2764,"aaa")</f>
        <v/>
      </c>
      <c r="E2764" s="36">
        <f>INDEX(매칭테이블!C:C,MATCH(RD!G2764,매칭테이블!D:D,0))</f>
        <v/>
      </c>
      <c r="F2764" s="39" t="inlineStr">
        <is>
          <t>카페24</t>
        </is>
      </c>
      <c r="G2764" s="39" t="inlineStr">
        <is>
          <t>유즈 솔리드퍼퓸 - 30ml (11차 예약구매 진행중)향=이그나이트 001 SOLID PERFUME, 세트 선택=1개</t>
        </is>
      </c>
      <c r="H2764" s="39" t="n">
        <v>1</v>
      </c>
      <c r="I2764" s="36">
        <f>VLOOKUP(G2764,매칭테이블!D:E,2,0)</f>
        <v/>
      </c>
      <c r="J2764" s="39" t="n">
        <v>210101</v>
      </c>
      <c r="L2764" s="36">
        <f>VLOOKUP($P2764,매칭테이블!$G:$J,2,0)*H2764</f>
        <v/>
      </c>
      <c r="M2764" s="36">
        <f>L2764-L2764*VLOOKUP($P2764,매칭테이블!$G:$J,3,0)</f>
        <v/>
      </c>
      <c r="N2764" s="36">
        <f>VLOOKUP($P2764,매칭테이블!$G:$J,4,0)*H2764</f>
        <v/>
      </c>
      <c r="O2764" s="52">
        <f>L2764/1.1</f>
        <v/>
      </c>
      <c r="P2764" s="36">
        <f>F2764&amp;E2764&amp;G2764&amp;J2764</f>
        <v/>
      </c>
    </row>
    <row r="2765">
      <c r="B2765" s="51" t="n">
        <v>44205</v>
      </c>
      <c r="C2765" s="36">
        <f>TEXT(B2765,"aaa")</f>
        <v/>
      </c>
      <c r="E2765" s="36">
        <f>INDEX(매칭테이블!C:C,MATCH(RD!G2765,매칭테이블!D:D,0))</f>
        <v/>
      </c>
      <c r="F2765" s="39" t="inlineStr">
        <is>
          <t>카페24</t>
        </is>
      </c>
      <c r="G2765" s="39" t="inlineStr">
        <is>
          <t>유즈 솔리드퍼퓸 - 30ml (11차 예약구매 진행중)향=스테이포에버 002 SOLID PERFUME, 세트 선택=1개</t>
        </is>
      </c>
      <c r="H2765" s="39" t="n">
        <v>20</v>
      </c>
      <c r="I2765" s="36">
        <f>VLOOKUP(G2765,매칭테이블!D:E,2,0)</f>
        <v/>
      </c>
      <c r="J2765" s="39" t="n">
        <v>210101</v>
      </c>
      <c r="L2765" s="36">
        <f>VLOOKUP($P2765,매칭테이블!$G:$J,2,0)*H2765</f>
        <v/>
      </c>
      <c r="M2765" s="36">
        <f>L2765-L2765*VLOOKUP($P2765,매칭테이블!$G:$J,3,0)</f>
        <v/>
      </c>
      <c r="N2765" s="36">
        <f>VLOOKUP($P2765,매칭테이블!$G:$J,4,0)*H2765</f>
        <v/>
      </c>
      <c r="O2765" s="52">
        <f>L2765/1.1</f>
        <v/>
      </c>
      <c r="P2765" s="36">
        <f>F2765&amp;E2765&amp;G2765&amp;J2765</f>
        <v/>
      </c>
    </row>
    <row r="2766">
      <c r="B2766" s="51" t="n">
        <v>44205</v>
      </c>
      <c r="C2766" s="36">
        <f>TEXT(B2766,"aaa")</f>
        <v/>
      </c>
      <c r="E2766" s="36">
        <f>INDEX(매칭테이블!C:C,MATCH(RD!G2766,매칭테이블!D:D,0))</f>
        <v/>
      </c>
      <c r="F2766" s="39" t="inlineStr">
        <is>
          <t>카페24</t>
        </is>
      </c>
      <c r="G2766" s="39" t="inlineStr">
        <is>
          <t>유즈 솔리드퍼퓸 - 30ml (11차 예약구매 진행중)향=스테이포에버 002 SOLID PERFUME, 세트 선택=best</t>
        </is>
      </c>
      <c r="H2766" s="39" t="n">
        <v>4</v>
      </c>
      <c r="I2766" s="36">
        <f>VLOOKUP(G2766,매칭테이블!D:E,2,0)</f>
        <v/>
      </c>
      <c r="J2766" s="39" t="n">
        <v>210101</v>
      </c>
      <c r="L2766" s="36">
        <f>VLOOKUP($P2766,매칭테이블!$G:$J,2,0)*H2766</f>
        <v/>
      </c>
      <c r="M2766" s="36">
        <f>L2766-L2766*VLOOKUP($P2766,매칭테이블!$G:$J,3,0)</f>
        <v/>
      </c>
      <c r="N2766" s="36">
        <f>VLOOKUP($P2766,매칭테이블!$G:$J,4,0)*H2766</f>
        <v/>
      </c>
      <c r="O2766" s="52">
        <f>L2766/1.1</f>
        <v/>
      </c>
      <c r="P2766" s="36">
        <f>F2766&amp;E2766&amp;G2766&amp;J2766</f>
        <v/>
      </c>
    </row>
    <row r="2767">
      <c r="B2767" s="51" t="n">
        <v>44205</v>
      </c>
      <c r="C2767" s="36">
        <f>TEXT(B2767,"aaa")</f>
        <v/>
      </c>
      <c r="E2767" s="36">
        <f>INDEX(매칭테이블!C:C,MATCH(RD!G2767,매칭테이블!D:D,0))</f>
        <v/>
      </c>
      <c r="F2767" s="39" t="inlineStr">
        <is>
          <t>카페24</t>
        </is>
      </c>
      <c r="G2767" s="39" t="inlineStr">
        <is>
          <t>유즈 솔리드퍼퓸 - 30ml (11차 예약구매 진행중)향=스테이포에버 002 SOLID PERFUME, 세트 선택=best 2개 (28% 할인)</t>
        </is>
      </c>
      <c r="H2767" s="39" t="n">
        <v>3</v>
      </c>
      <c r="I2767" s="36">
        <f>VLOOKUP(G2767,매칭테이블!D:E,2,0)</f>
        <v/>
      </c>
      <c r="J2767" s="39" t="n">
        <v>210101</v>
      </c>
      <c r="L2767" s="36">
        <f>VLOOKUP($P2767,매칭테이블!$G:$J,2,0)*H2767</f>
        <v/>
      </c>
      <c r="M2767" s="36">
        <f>L2767-L2767*VLOOKUP($P2767,매칭테이블!$G:$J,3,0)</f>
        <v/>
      </c>
      <c r="N2767" s="36">
        <f>VLOOKUP($P2767,매칭테이블!$G:$J,4,0)*H2767</f>
        <v/>
      </c>
      <c r="O2767" s="52">
        <f>L2767/1.1</f>
        <v/>
      </c>
      <c r="P2767" s="36">
        <f>F2767&amp;E2767&amp;G2767&amp;J2767</f>
        <v/>
      </c>
    </row>
    <row r="2768">
      <c r="B2768" s="51" t="n">
        <v>44205</v>
      </c>
      <c r="C2768" s="36">
        <f>TEXT(B2768,"aaa")</f>
        <v/>
      </c>
      <c r="E2768" s="36">
        <f>INDEX(매칭테이블!C:C,MATCH(RD!G2768,매칭테이블!D:D,0))</f>
        <v/>
      </c>
      <c r="F2768" s="39" t="inlineStr">
        <is>
          <t>카페24</t>
        </is>
      </c>
      <c r="G2768" s="39" t="inlineStr">
        <is>
          <t>유즈 솔리드퍼퓸 - 30ml (11차 예약구매 진행중)향=커플세트</t>
        </is>
      </c>
      <c r="H2768" s="39" t="n">
        <v>5</v>
      </c>
      <c r="I2768" s="36">
        <f>VLOOKUP(G2768,매칭테이블!D:E,2,0)</f>
        <v/>
      </c>
      <c r="J2768" s="39" t="n">
        <v>210101</v>
      </c>
      <c r="L2768" s="36">
        <f>VLOOKUP($P2768,매칭테이블!$G:$J,2,0)*H2768</f>
        <v/>
      </c>
      <c r="M2768" s="36">
        <f>L2768-L2768*VLOOKUP($P2768,매칭테이블!$G:$J,3,0)</f>
        <v/>
      </c>
      <c r="N2768" s="36">
        <f>VLOOKUP($P2768,매칭테이블!$G:$J,4,0)*H2768</f>
        <v/>
      </c>
      <c r="O2768" s="52">
        <f>L2768/1.1</f>
        <v/>
      </c>
      <c r="P2768" s="36">
        <f>F2768&amp;E2768&amp;G2768&amp;J2768</f>
        <v/>
      </c>
    </row>
    <row r="2769">
      <c r="B2769" s="51" t="n">
        <v>44205</v>
      </c>
      <c r="C2769" s="36">
        <f>TEXT(B2769,"aaa")</f>
        <v/>
      </c>
      <c r="E2769" s="36">
        <f>INDEX(매칭테이블!C:C,MATCH(RD!G2769,매칭테이블!D:D,0))</f>
        <v/>
      </c>
      <c r="F2769" s="39" t="inlineStr">
        <is>
          <t>카페24</t>
        </is>
      </c>
      <c r="G2769" s="39" t="inlineStr">
        <is>
          <t>유즈 솔리드퍼퓸 - 30ml (11차 예약구매 진행중)향=커플세트(이그나이트 + 스테이포에버), 세트 선택=1 SET</t>
        </is>
      </c>
      <c r="H2769" s="39" t="n">
        <v>2</v>
      </c>
      <c r="I2769" s="36">
        <f>VLOOKUP(G2769,매칭테이블!D:E,2,0)</f>
        <v/>
      </c>
      <c r="J2769" s="39" t="n">
        <v>210101</v>
      </c>
      <c r="L2769" s="36">
        <f>VLOOKUP($P2769,매칭테이블!$G:$J,2,0)*H2769</f>
        <v/>
      </c>
      <c r="M2769" s="36">
        <f>L2769-L2769*VLOOKUP($P2769,매칭테이블!$G:$J,3,0)</f>
        <v/>
      </c>
      <c r="N2769" s="36">
        <f>VLOOKUP($P2769,매칭테이블!$G:$J,4,0)*H2769</f>
        <v/>
      </c>
      <c r="O2769" s="52">
        <f>L2769/1.1</f>
        <v/>
      </c>
      <c r="P2769" s="36">
        <f>F2769&amp;E2769&amp;G2769&amp;J2769</f>
        <v/>
      </c>
    </row>
    <row r="2770">
      <c r="B2770" s="51" t="n">
        <v>44205</v>
      </c>
      <c r="C2770" s="36">
        <f>TEXT(B2770,"aaa")</f>
        <v/>
      </c>
      <c r="E2770" s="36">
        <f>INDEX(매칭테이블!C:C,MATCH(RD!G2770,매칭테이블!D:D,0))</f>
        <v/>
      </c>
      <c r="F2770" s="39" t="inlineStr">
        <is>
          <t>카페24</t>
        </is>
      </c>
      <c r="G2770" s="39" t="inlineStr">
        <is>
          <t>유즈 스테이포에버 솔리드퍼퓸 002 (11차 예약구매 진행중)제품선택=스테이포에버 1개</t>
        </is>
      </c>
      <c r="H2770" s="39" t="n">
        <v>406</v>
      </c>
      <c r="I2770" s="36">
        <f>VLOOKUP(G2770,매칭테이블!D:E,2,0)</f>
        <v/>
      </c>
      <c r="J2770" s="39" t="n">
        <v>210101</v>
      </c>
      <c r="L2770" s="36">
        <f>VLOOKUP($P2770,매칭테이블!$G:$J,2,0)*H2770</f>
        <v/>
      </c>
      <c r="M2770" s="36">
        <f>L2770-L2770*VLOOKUP($P2770,매칭테이블!$G:$J,3,0)</f>
        <v/>
      </c>
      <c r="N2770" s="36">
        <f>VLOOKUP($P2770,매칭테이블!$G:$J,4,0)*H2770</f>
        <v/>
      </c>
      <c r="O2770" s="52">
        <f>L2770/1.1</f>
        <v/>
      </c>
      <c r="P2770" s="36">
        <f>F2770&amp;E2770&amp;G2770&amp;J2770</f>
        <v/>
      </c>
    </row>
    <row r="2771">
      <c r="B2771" s="51" t="n">
        <v>44205</v>
      </c>
      <c r="C2771" s="36">
        <f>TEXT(B2771,"aaa")</f>
        <v/>
      </c>
      <c r="E2771" s="36">
        <f>INDEX(매칭테이블!C:C,MATCH(RD!G2771,매칭테이블!D:D,0))</f>
        <v/>
      </c>
      <c r="F2771" s="39" t="inlineStr">
        <is>
          <t>카페24</t>
        </is>
      </c>
      <c r="G2771" s="39" t="inlineStr">
        <is>
          <t>유즈 스테이포에버 솔리드퍼퓸 002 (11차 예약구매 진행중)제품선택=best</t>
        </is>
      </c>
      <c r="H2771" s="39" t="n">
        <v>97</v>
      </c>
      <c r="I2771" s="36">
        <f>VLOOKUP(G2771,매칭테이블!D:E,2,0)</f>
        <v/>
      </c>
      <c r="J2771" s="39" t="n">
        <v>210101</v>
      </c>
      <c r="L2771" s="36">
        <f>VLOOKUP($P2771,매칭테이블!$G:$J,2,0)*H2771</f>
        <v/>
      </c>
      <c r="M2771" s="36">
        <f>L2771-L2771*VLOOKUP($P2771,매칭테이블!$G:$J,3,0)</f>
        <v/>
      </c>
      <c r="N2771" s="36">
        <f>VLOOKUP($P2771,매칭테이블!$G:$J,4,0)*H2771</f>
        <v/>
      </c>
      <c r="O2771" s="52">
        <f>L2771/1.1</f>
        <v/>
      </c>
      <c r="P2771" s="36">
        <f>F2771&amp;E2771&amp;G2771&amp;J2771</f>
        <v/>
      </c>
    </row>
    <row r="2772">
      <c r="B2772" s="51" t="n">
        <v>44205</v>
      </c>
      <c r="C2772" s="36">
        <f>TEXT(B2772,"aaa")</f>
        <v/>
      </c>
      <c r="E2772" s="36">
        <f>INDEX(매칭테이블!C:C,MATCH(RD!G2772,매칭테이블!D:D,0))</f>
        <v/>
      </c>
      <c r="F2772" s="39" t="inlineStr">
        <is>
          <t>카페24</t>
        </is>
      </c>
      <c r="G2772" s="39" t="inlineStr">
        <is>
          <t>유즈 스테이포에버 솔리드퍼퓸 002 (11차 예약구매 진행중)제품선택=best스테이포에버 2개[28% 할인]</t>
        </is>
      </c>
      <c r="H2772" s="39" t="n">
        <v>129</v>
      </c>
      <c r="I2772" s="36">
        <f>VLOOKUP(G2772,매칭테이블!D:E,2,0)</f>
        <v/>
      </c>
      <c r="J2772" s="39" t="n">
        <v>210101</v>
      </c>
      <c r="L2772" s="36">
        <f>VLOOKUP($P2772,매칭테이블!$G:$J,2,0)*H2772</f>
        <v/>
      </c>
      <c r="M2772" s="36">
        <f>L2772-L2772*VLOOKUP($P2772,매칭테이블!$G:$J,3,0)</f>
        <v/>
      </c>
      <c r="N2772" s="36">
        <f>VLOOKUP($P2772,매칭테이블!$G:$J,4,0)*H2772</f>
        <v/>
      </c>
      <c r="O2772" s="52">
        <f>L2772/1.1</f>
        <v/>
      </c>
      <c r="P2772" s="36">
        <f>F2772&amp;E2772&amp;G2772&amp;J2772</f>
        <v/>
      </c>
    </row>
    <row r="2773">
      <c r="B2773" s="51" t="n">
        <v>44205</v>
      </c>
      <c r="C2773" s="36">
        <f>TEXT(B2773,"aaa")</f>
        <v/>
      </c>
      <c r="E2773" s="36">
        <f>INDEX(매칭테이블!C:C,MATCH(RD!G2773,매칭테이블!D:D,0))</f>
        <v/>
      </c>
      <c r="F2773" s="39" t="inlineStr">
        <is>
          <t>카페24</t>
        </is>
      </c>
      <c r="G2773" s="39" t="inlineStr">
        <is>
          <t>유즈 스테이포에버 솔리드퍼퓸 002 (11차 예약구매 진행중)제품선택=커플추천</t>
        </is>
      </c>
      <c r="H2773" s="39" t="n">
        <v>10</v>
      </c>
      <c r="I2773" s="36">
        <f>VLOOKUP(G2773,매칭테이블!D:E,2,0)</f>
        <v/>
      </c>
      <c r="J2773" s="39" t="n">
        <v>210101</v>
      </c>
      <c r="L2773" s="36">
        <f>VLOOKUP($P2773,매칭테이블!$G:$J,2,0)*H2773</f>
        <v/>
      </c>
      <c r="M2773" s="36">
        <f>L2773-L2773*VLOOKUP($P2773,매칭테이블!$G:$J,3,0)</f>
        <v/>
      </c>
      <c r="N2773" s="36">
        <f>VLOOKUP($P2773,매칭테이블!$G:$J,4,0)*H2773</f>
        <v/>
      </c>
      <c r="O2773" s="52">
        <f>L2773/1.1</f>
        <v/>
      </c>
      <c r="P2773" s="36">
        <f>F2773&amp;E2773&amp;G2773&amp;J2773</f>
        <v/>
      </c>
    </row>
    <row r="2774">
      <c r="B2774" s="51" t="n">
        <v>44205</v>
      </c>
      <c r="C2774" s="36">
        <f>TEXT(B2774,"aaa")</f>
        <v/>
      </c>
      <c r="E2774" s="36">
        <f>INDEX(매칭테이블!C:C,MATCH(RD!G2774,매칭테이블!D:D,0))</f>
        <v/>
      </c>
      <c r="F2774" s="39" t="inlineStr">
        <is>
          <t>카페24</t>
        </is>
      </c>
      <c r="G2774" s="39" t="inlineStr">
        <is>
          <t>유즈 스테이포에버 솔리드퍼퓸 002 (11차 예약구매 진행중)제품선택=커플추천스테이포에버 + 이그나이트 세트</t>
        </is>
      </c>
      <c r="H2774" s="39" t="n">
        <v>16</v>
      </c>
      <c r="I2774" s="36">
        <f>VLOOKUP(G2774,매칭테이블!D:E,2,0)</f>
        <v/>
      </c>
      <c r="J2774" s="39" t="n">
        <v>210101</v>
      </c>
      <c r="L2774" s="36">
        <f>VLOOKUP($P2774,매칭테이블!$G:$J,2,0)*H2774</f>
        <v/>
      </c>
      <c r="M2774" s="36">
        <f>L2774-L2774*VLOOKUP($P2774,매칭테이블!$G:$J,3,0)</f>
        <v/>
      </c>
      <c r="N2774" s="36">
        <f>VLOOKUP($P2774,매칭테이블!$G:$J,4,0)*H2774</f>
        <v/>
      </c>
      <c r="O2774" s="52">
        <f>L2774/1.1</f>
        <v/>
      </c>
      <c r="P2774" s="36">
        <f>F2774&amp;E2774&amp;G2774&amp;J2774</f>
        <v/>
      </c>
    </row>
    <row r="2775">
      <c r="B2775" s="51" t="n">
        <v>44205</v>
      </c>
      <c r="C2775" s="36">
        <f>TEXT(B2775,"aaa")</f>
        <v/>
      </c>
      <c r="E2775" s="36">
        <f>INDEX(매칭테이블!C:C,MATCH(RD!G2775,매칭테이블!D:D,0))</f>
        <v/>
      </c>
      <c r="F2775" s="39" t="inlineStr">
        <is>
          <t>카페24</t>
        </is>
      </c>
      <c r="G2775" s="39" t="inlineStr">
        <is>
          <t>유즈 스테이포에버 솔리드퍼퓸 002 (11차 예약구매 진행중)쇼핑백=선물용 쇼핑백</t>
        </is>
      </c>
      <c r="H2775" s="39" t="n">
        <v>23</v>
      </c>
      <c r="I2775" s="36">
        <f>VLOOKUP(G2775,매칭테이블!D:E,2,0)</f>
        <v/>
      </c>
      <c r="J2775" s="39" t="n">
        <v>210101</v>
      </c>
      <c r="L2775" s="36">
        <f>VLOOKUP($P2775,매칭테이블!$G:$J,2,0)*H2775</f>
        <v/>
      </c>
      <c r="M2775" s="36">
        <f>L2775-L2775*VLOOKUP($P2775,매칭테이블!$G:$J,3,0)</f>
        <v/>
      </c>
      <c r="N2775" s="36">
        <f>VLOOKUP($P2775,매칭테이블!$G:$J,4,0)*H2775</f>
        <v/>
      </c>
      <c r="O2775" s="52">
        <f>L2775/1.1</f>
        <v/>
      </c>
      <c r="P2775" s="36">
        <f>F2775&amp;E2775&amp;G2775&amp;J2775</f>
        <v/>
      </c>
    </row>
    <row r="2776">
      <c r="B2776" s="51" t="n">
        <v>44205</v>
      </c>
      <c r="C2776" s="36">
        <f>TEXT(B2776,"aaa")</f>
        <v/>
      </c>
      <c r="E2776" s="36">
        <f>INDEX(매칭테이블!C:C,MATCH(RD!G2776,매칭테이블!D:D,0))</f>
        <v/>
      </c>
      <c r="F2776" s="39" t="inlineStr">
        <is>
          <t>카페24</t>
        </is>
      </c>
      <c r="G2776" s="39" t="inlineStr">
        <is>
          <t>유즈 이그나이트 솔리드퍼퓸 001제품선택=이그나이트 솔리드퍼퓸 - 30ml</t>
        </is>
      </c>
      <c r="H2776" s="39" t="n">
        <v>4</v>
      </c>
      <c r="I2776" s="36">
        <f>VLOOKUP(G2776,매칭테이블!D:E,2,0)</f>
        <v/>
      </c>
      <c r="J2776" s="39" t="n">
        <v>210101</v>
      </c>
      <c r="L2776" s="36">
        <f>VLOOKUP($P2776,매칭테이블!$G:$J,2,0)*H2776</f>
        <v/>
      </c>
      <c r="M2776" s="36">
        <f>L2776-L2776*VLOOKUP($P2776,매칭테이블!$G:$J,3,0)</f>
        <v/>
      </c>
      <c r="N2776" s="36">
        <f>VLOOKUP($P2776,매칭테이블!$G:$J,4,0)*H2776</f>
        <v/>
      </c>
      <c r="O2776" s="52">
        <f>L2776/1.1</f>
        <v/>
      </c>
      <c r="P2776" s="36">
        <f>F2776&amp;E2776&amp;G2776&amp;J2776</f>
        <v/>
      </c>
    </row>
    <row r="2777">
      <c r="B2777" s="51" t="n">
        <v>44205</v>
      </c>
      <c r="C2777" s="36">
        <f>TEXT(B2777,"aaa")</f>
        <v/>
      </c>
      <c r="E2777" s="36">
        <f>INDEX(매칭테이블!C:C,MATCH(RD!G2777,매칭테이블!D:D,0))</f>
        <v/>
      </c>
      <c r="F2777" s="39" t="inlineStr">
        <is>
          <t>카페24</t>
        </is>
      </c>
      <c r="G2777" s="39" t="inlineStr">
        <is>
          <t>유즈 이그나이트 솔리드퍼퓸 001제품선택=이그나이트 2개 세트</t>
        </is>
      </c>
      <c r="H2777" s="39" t="n">
        <v>2</v>
      </c>
      <c r="I2777" s="36">
        <f>VLOOKUP(G2777,매칭테이블!D:E,2,0)</f>
        <v/>
      </c>
      <c r="J2777" s="39" t="n">
        <v>210101</v>
      </c>
      <c r="L2777" s="36">
        <f>VLOOKUP($P2777,매칭테이블!$G:$J,2,0)*H2777</f>
        <v/>
      </c>
      <c r="M2777" s="36">
        <f>L2777-L2777*VLOOKUP($P2777,매칭테이블!$G:$J,3,0)</f>
        <v/>
      </c>
      <c r="N2777" s="36">
        <f>VLOOKUP($P2777,매칭테이블!$G:$J,4,0)*H2777</f>
        <v/>
      </c>
      <c r="O2777" s="52">
        <f>L2777/1.1</f>
        <v/>
      </c>
      <c r="P2777" s="36">
        <f>F2777&amp;E2777&amp;G2777&amp;J2777</f>
        <v/>
      </c>
    </row>
    <row r="2778">
      <c r="B2778" s="51" t="n">
        <v>44206</v>
      </c>
      <c r="C2778" s="36">
        <f>TEXT(B2778,"aaa")</f>
        <v/>
      </c>
      <c r="E2778" s="36">
        <f>INDEX(매칭테이블!C:C,MATCH(RD!G2778,매칭테이블!D:D,0))</f>
        <v/>
      </c>
      <c r="F2778" s="39" t="inlineStr">
        <is>
          <t>카페24</t>
        </is>
      </c>
      <c r="G2778" s="39" t="inlineStr">
        <is>
          <t>SHOPPING BAG</t>
        </is>
      </c>
      <c r="H2778" s="39" t="n">
        <v>2</v>
      </c>
      <c r="I2778" s="36">
        <f>VLOOKUP(G2778,매칭테이블!D:E,2,0)</f>
        <v/>
      </c>
      <c r="J2778" s="39" t="n">
        <v>210101</v>
      </c>
      <c r="L2778" s="36">
        <f>VLOOKUP($P2778,매칭테이블!$G:$J,2,0)*H2778</f>
        <v/>
      </c>
      <c r="M2778" s="36">
        <f>L2778-L2778*VLOOKUP($P2778,매칭테이블!$G:$J,3,0)</f>
        <v/>
      </c>
      <c r="N2778" s="36">
        <f>VLOOKUP($P2778,매칭테이블!$G:$J,4,0)*H2778</f>
        <v/>
      </c>
      <c r="O2778" s="52">
        <f>L2778/1.1</f>
        <v/>
      </c>
      <c r="P2778" s="36">
        <f>F2778&amp;E2778&amp;G2778&amp;J2778</f>
        <v/>
      </c>
    </row>
    <row r="2779">
      <c r="B2779" s="51" t="n">
        <v>44206</v>
      </c>
      <c r="C2779" s="36">
        <f>TEXT(B2779,"aaa")</f>
        <v/>
      </c>
      <c r="E2779" s="36">
        <f>INDEX(매칭테이블!C:C,MATCH(RD!G2779,매칭테이블!D:D,0))</f>
        <v/>
      </c>
      <c r="F2779" s="39" t="inlineStr">
        <is>
          <t>카페24</t>
        </is>
      </c>
      <c r="G2779" s="39" t="inlineStr">
        <is>
          <t>유즈 솔리드퍼퓸 - 30ml (11차 예약구매 진행중)향=이그나이트 001 SOLID PERFUME, 세트 선택=1개</t>
        </is>
      </c>
      <c r="H2779" s="39" t="n">
        <v>2</v>
      </c>
      <c r="I2779" s="36">
        <f>VLOOKUP(G2779,매칭테이블!D:E,2,0)</f>
        <v/>
      </c>
      <c r="J2779" s="39" t="n">
        <v>210101</v>
      </c>
      <c r="L2779" s="36">
        <f>VLOOKUP($P2779,매칭테이블!$G:$J,2,0)*H2779</f>
        <v/>
      </c>
      <c r="M2779" s="36">
        <f>L2779-L2779*VLOOKUP($P2779,매칭테이블!$G:$J,3,0)</f>
        <v/>
      </c>
      <c r="N2779" s="36">
        <f>VLOOKUP($P2779,매칭테이블!$G:$J,4,0)*H2779</f>
        <v/>
      </c>
      <c r="O2779" s="52">
        <f>L2779/1.1</f>
        <v/>
      </c>
      <c r="P2779" s="36">
        <f>F2779&amp;E2779&amp;G2779&amp;J2779</f>
        <v/>
      </c>
    </row>
    <row r="2780">
      <c r="B2780" s="51" t="n">
        <v>44206</v>
      </c>
      <c r="C2780" s="36">
        <f>TEXT(B2780,"aaa")</f>
        <v/>
      </c>
      <c r="E2780" s="36">
        <f>INDEX(매칭테이블!C:C,MATCH(RD!G2780,매칭테이블!D:D,0))</f>
        <v/>
      </c>
      <c r="F2780" s="39" t="inlineStr">
        <is>
          <t>카페24</t>
        </is>
      </c>
      <c r="G2780" s="39" t="inlineStr">
        <is>
          <t>유즈 솔리드퍼퓸 - 30ml (11차 예약구매 진행중)향=스테이포에버 002 SOLID PERFUME, 세트 선택=1개</t>
        </is>
      </c>
      <c r="H2780" s="39" t="n">
        <v>10</v>
      </c>
      <c r="I2780" s="36">
        <f>VLOOKUP(G2780,매칭테이블!D:E,2,0)</f>
        <v/>
      </c>
      <c r="J2780" s="39" t="n">
        <v>210101</v>
      </c>
      <c r="L2780" s="36">
        <f>VLOOKUP($P2780,매칭테이블!$G:$J,2,0)*H2780</f>
        <v/>
      </c>
      <c r="M2780" s="36">
        <f>L2780-L2780*VLOOKUP($P2780,매칭테이블!$G:$J,3,0)</f>
        <v/>
      </c>
      <c r="N2780" s="36">
        <f>VLOOKUP($P2780,매칭테이블!$G:$J,4,0)*H2780</f>
        <v/>
      </c>
      <c r="O2780" s="52">
        <f>L2780/1.1</f>
        <v/>
      </c>
      <c r="P2780" s="36">
        <f>F2780&amp;E2780&amp;G2780&amp;J2780</f>
        <v/>
      </c>
    </row>
    <row r="2781">
      <c r="B2781" s="51" t="n">
        <v>44206</v>
      </c>
      <c r="C2781" s="36">
        <f>TEXT(B2781,"aaa")</f>
        <v/>
      </c>
      <c r="E2781" s="36">
        <f>INDEX(매칭테이블!C:C,MATCH(RD!G2781,매칭테이블!D:D,0))</f>
        <v/>
      </c>
      <c r="F2781" s="39" t="inlineStr">
        <is>
          <t>카페24</t>
        </is>
      </c>
      <c r="G2781" s="39" t="inlineStr">
        <is>
          <t>유즈 솔리드퍼퓸 - 30ml (11차 예약구매 진행중)향=스테이포에버 002 SOLID PERFUME, 세트 선택=best</t>
        </is>
      </c>
      <c r="H2781" s="39" t="n">
        <v>7</v>
      </c>
      <c r="I2781" s="36">
        <f>VLOOKUP(G2781,매칭테이블!D:E,2,0)</f>
        <v/>
      </c>
      <c r="J2781" s="39" t="n">
        <v>210101</v>
      </c>
      <c r="L2781" s="36">
        <f>VLOOKUP($P2781,매칭테이블!$G:$J,2,0)*H2781</f>
        <v/>
      </c>
      <c r="M2781" s="36">
        <f>L2781-L2781*VLOOKUP($P2781,매칭테이블!$G:$J,3,0)</f>
        <v/>
      </c>
      <c r="N2781" s="36">
        <f>VLOOKUP($P2781,매칭테이블!$G:$J,4,0)*H2781</f>
        <v/>
      </c>
      <c r="O2781" s="52">
        <f>L2781/1.1</f>
        <v/>
      </c>
      <c r="P2781" s="36">
        <f>F2781&amp;E2781&amp;G2781&amp;J2781</f>
        <v/>
      </c>
    </row>
    <row r="2782">
      <c r="B2782" s="51" t="n">
        <v>44206</v>
      </c>
      <c r="C2782" s="36">
        <f>TEXT(B2782,"aaa")</f>
        <v/>
      </c>
      <c r="E2782" s="36">
        <f>INDEX(매칭테이블!C:C,MATCH(RD!G2782,매칭테이블!D:D,0))</f>
        <v/>
      </c>
      <c r="F2782" s="39" t="inlineStr">
        <is>
          <t>카페24</t>
        </is>
      </c>
      <c r="G2782" s="39" t="inlineStr">
        <is>
          <t>유즈 솔리드퍼퓸 - 30ml (11차 예약구매 진행중)향=스테이포에버 002 SOLID PERFUME, 세트 선택=best 2개 (28% 할인)</t>
        </is>
      </c>
      <c r="H2782" s="39" t="n">
        <v>5</v>
      </c>
      <c r="I2782" s="36">
        <f>VLOOKUP(G2782,매칭테이블!D:E,2,0)</f>
        <v/>
      </c>
      <c r="J2782" s="39" t="n">
        <v>210101</v>
      </c>
      <c r="L2782" s="36">
        <f>VLOOKUP($P2782,매칭테이블!$G:$J,2,0)*H2782</f>
        <v/>
      </c>
      <c r="M2782" s="36">
        <f>L2782-L2782*VLOOKUP($P2782,매칭테이블!$G:$J,3,0)</f>
        <v/>
      </c>
      <c r="N2782" s="36">
        <f>VLOOKUP($P2782,매칭테이블!$G:$J,4,0)*H2782</f>
        <v/>
      </c>
      <c r="O2782" s="52">
        <f>L2782/1.1</f>
        <v/>
      </c>
      <c r="P2782" s="36">
        <f>F2782&amp;E2782&amp;G2782&amp;J2782</f>
        <v/>
      </c>
    </row>
    <row r="2783">
      <c r="B2783" s="51" t="n">
        <v>44206</v>
      </c>
      <c r="C2783" s="36">
        <f>TEXT(B2783,"aaa")</f>
        <v/>
      </c>
      <c r="E2783" s="36">
        <f>INDEX(매칭테이블!C:C,MATCH(RD!G2783,매칭테이블!D:D,0))</f>
        <v/>
      </c>
      <c r="F2783" s="39" t="inlineStr">
        <is>
          <t>카페24</t>
        </is>
      </c>
      <c r="G2783" s="39" t="inlineStr">
        <is>
          <t>유즈 솔리드퍼퓸 - 30ml (11차 예약구매 진행중)향=커플세트</t>
        </is>
      </c>
      <c r="H2783" s="39" t="n">
        <v>6</v>
      </c>
      <c r="I2783" s="36">
        <f>VLOOKUP(G2783,매칭테이블!D:E,2,0)</f>
        <v/>
      </c>
      <c r="J2783" s="39" t="n">
        <v>210101</v>
      </c>
      <c r="L2783" s="36">
        <f>VLOOKUP($P2783,매칭테이블!$G:$J,2,0)*H2783</f>
        <v/>
      </c>
      <c r="M2783" s="36">
        <f>L2783-L2783*VLOOKUP($P2783,매칭테이블!$G:$J,3,0)</f>
        <v/>
      </c>
      <c r="N2783" s="36">
        <f>VLOOKUP($P2783,매칭테이블!$G:$J,4,0)*H2783</f>
        <v/>
      </c>
      <c r="O2783" s="52">
        <f>L2783/1.1</f>
        <v/>
      </c>
      <c r="P2783" s="36">
        <f>F2783&amp;E2783&amp;G2783&amp;J2783</f>
        <v/>
      </c>
    </row>
    <row r="2784">
      <c r="B2784" s="51" t="n">
        <v>44206</v>
      </c>
      <c r="C2784" s="36">
        <f>TEXT(B2784,"aaa")</f>
        <v/>
      </c>
      <c r="E2784" s="36">
        <f>INDEX(매칭테이블!C:C,MATCH(RD!G2784,매칭테이블!D:D,0))</f>
        <v/>
      </c>
      <c r="F2784" s="39" t="inlineStr">
        <is>
          <t>카페24</t>
        </is>
      </c>
      <c r="G2784" s="39" t="inlineStr">
        <is>
          <t>유즈 솔리드퍼퓸 - 30ml (11차 예약구매 진행중)향=커플세트(이그나이트 + 스테이포에버), 세트 선택=1 SET</t>
        </is>
      </c>
      <c r="H2784" s="39" t="n">
        <v>3</v>
      </c>
      <c r="I2784" s="36">
        <f>VLOOKUP(G2784,매칭테이블!D:E,2,0)</f>
        <v/>
      </c>
      <c r="J2784" s="39" t="n">
        <v>210101</v>
      </c>
      <c r="L2784" s="36">
        <f>VLOOKUP($P2784,매칭테이블!$G:$J,2,0)*H2784</f>
        <v/>
      </c>
      <c r="M2784" s="36">
        <f>L2784-L2784*VLOOKUP($P2784,매칭테이블!$G:$J,3,0)</f>
        <v/>
      </c>
      <c r="N2784" s="36">
        <f>VLOOKUP($P2784,매칭테이블!$G:$J,4,0)*H2784</f>
        <v/>
      </c>
      <c r="O2784" s="52">
        <f>L2784/1.1</f>
        <v/>
      </c>
      <c r="P2784" s="36">
        <f>F2784&amp;E2784&amp;G2784&amp;J2784</f>
        <v/>
      </c>
    </row>
    <row r="2785">
      <c r="B2785" s="51" t="n">
        <v>44206</v>
      </c>
      <c r="C2785" s="36">
        <f>TEXT(B2785,"aaa")</f>
        <v/>
      </c>
      <c r="E2785" s="36">
        <f>INDEX(매칭테이블!C:C,MATCH(RD!G2785,매칭테이블!D:D,0))</f>
        <v/>
      </c>
      <c r="F2785" s="39" t="inlineStr">
        <is>
          <t>카페24</t>
        </is>
      </c>
      <c r="G2785" s="39" t="inlineStr">
        <is>
          <t>유즈 솔리드퍼퓸 - 30ml (11차 예약구매 진행중)향=커플세트</t>
        </is>
      </c>
      <c r="H2785" s="39" t="n">
        <v>3</v>
      </c>
      <c r="I2785" s="36">
        <f>VLOOKUP(G2785,매칭테이블!D:E,2,0)</f>
        <v/>
      </c>
      <c r="J2785" s="39" t="n">
        <v>210101</v>
      </c>
      <c r="L2785" s="36">
        <f>VLOOKUP($P2785,매칭테이블!$G:$J,2,0)*H2785</f>
        <v/>
      </c>
      <c r="M2785" s="36">
        <f>L2785-L2785*VLOOKUP($P2785,매칭테이블!$G:$J,3,0)</f>
        <v/>
      </c>
      <c r="N2785" s="36">
        <f>VLOOKUP($P2785,매칭테이블!$G:$J,4,0)*H2785</f>
        <v/>
      </c>
      <c r="O2785" s="52">
        <f>L2785/1.1</f>
        <v/>
      </c>
      <c r="P2785" s="36">
        <f>F2785&amp;E2785&amp;G2785&amp;J2785</f>
        <v/>
      </c>
    </row>
    <row r="2786">
      <c r="B2786" s="51" t="n">
        <v>44206</v>
      </c>
      <c r="C2786" s="36">
        <f>TEXT(B2786,"aaa")</f>
        <v/>
      </c>
      <c r="E2786" s="36">
        <f>INDEX(매칭테이블!C:C,MATCH(RD!G2786,매칭테이블!D:D,0))</f>
        <v/>
      </c>
      <c r="F2786" s="39" t="inlineStr">
        <is>
          <t>카페24</t>
        </is>
      </c>
      <c r="G2786" s="39" t="inlineStr">
        <is>
          <t>유즈 솔리드퍼퓸 - 30ml (11차 예약구매 진행중)향=커플세트(이그나이트 + 스테이포에버), 세트 선택=2 SET (42% 할인)</t>
        </is>
      </c>
      <c r="H2786" s="39" t="n">
        <v>1</v>
      </c>
      <c r="I2786" s="36">
        <f>VLOOKUP(G2786,매칭테이블!D:E,2,0)</f>
        <v/>
      </c>
      <c r="J2786" s="39" t="n">
        <v>210101</v>
      </c>
      <c r="L2786" s="36">
        <f>VLOOKUP($P2786,매칭테이블!$G:$J,2,0)*H2786</f>
        <v/>
      </c>
      <c r="M2786" s="36">
        <f>L2786-L2786*VLOOKUP($P2786,매칭테이블!$G:$J,3,0)</f>
        <v/>
      </c>
      <c r="N2786" s="36">
        <f>VLOOKUP($P2786,매칭테이블!$G:$J,4,0)*H2786</f>
        <v/>
      </c>
      <c r="O2786" s="52">
        <f>L2786/1.1</f>
        <v/>
      </c>
      <c r="P2786" s="36">
        <f>F2786&amp;E2786&amp;G2786&amp;J2786</f>
        <v/>
      </c>
    </row>
    <row r="2787">
      <c r="B2787" s="51" t="n">
        <v>44206</v>
      </c>
      <c r="C2787" s="36">
        <f>TEXT(B2787,"aaa")</f>
        <v/>
      </c>
      <c r="E2787" s="36">
        <f>INDEX(매칭테이블!C:C,MATCH(RD!G2787,매칭테이블!D:D,0))</f>
        <v/>
      </c>
      <c r="F2787" s="39" t="inlineStr">
        <is>
          <t>카페24</t>
        </is>
      </c>
      <c r="G2787" s="39" t="inlineStr">
        <is>
          <t>유즈 스테이포에버 솔리드퍼퓸 002 (11차 예약구매 진행중)제품선택=스테이포에버 1개</t>
        </is>
      </c>
      <c r="H2787" s="39" t="n">
        <v>474</v>
      </c>
      <c r="I2787" s="36">
        <f>VLOOKUP(G2787,매칭테이블!D:E,2,0)</f>
        <v/>
      </c>
      <c r="J2787" s="39" t="n">
        <v>210101</v>
      </c>
      <c r="L2787" s="36">
        <f>VLOOKUP($P2787,매칭테이블!$G:$J,2,0)*H2787</f>
        <v/>
      </c>
      <c r="M2787" s="36">
        <f>L2787-L2787*VLOOKUP($P2787,매칭테이블!$G:$J,3,0)</f>
        <v/>
      </c>
      <c r="N2787" s="36">
        <f>VLOOKUP($P2787,매칭테이블!$G:$J,4,0)*H2787</f>
        <v/>
      </c>
      <c r="O2787" s="52">
        <f>L2787/1.1</f>
        <v/>
      </c>
      <c r="P2787" s="36">
        <f>F2787&amp;E2787&amp;G2787&amp;J2787</f>
        <v/>
      </c>
    </row>
    <row r="2788">
      <c r="B2788" s="51" t="n">
        <v>44206</v>
      </c>
      <c r="C2788" s="36">
        <f>TEXT(B2788,"aaa")</f>
        <v/>
      </c>
      <c r="E2788" s="36">
        <f>INDEX(매칭테이블!C:C,MATCH(RD!G2788,매칭테이블!D:D,0))</f>
        <v/>
      </c>
      <c r="F2788" s="39" t="inlineStr">
        <is>
          <t>카페24</t>
        </is>
      </c>
      <c r="G2788" s="39" t="inlineStr">
        <is>
          <t>유즈 스테이포에버 솔리드퍼퓸 002 (11차 예약구매 진행중)제품선택=best</t>
        </is>
      </c>
      <c r="H2788" s="39" t="n">
        <v>102</v>
      </c>
      <c r="I2788" s="36">
        <f>VLOOKUP(G2788,매칭테이블!D:E,2,0)</f>
        <v/>
      </c>
      <c r="J2788" s="39" t="n">
        <v>210101</v>
      </c>
      <c r="L2788" s="36">
        <f>VLOOKUP($P2788,매칭테이블!$G:$J,2,0)*H2788</f>
        <v/>
      </c>
      <c r="M2788" s="36">
        <f>L2788-L2788*VLOOKUP($P2788,매칭테이블!$G:$J,3,0)</f>
        <v/>
      </c>
      <c r="N2788" s="36">
        <f>VLOOKUP($P2788,매칭테이블!$G:$J,4,0)*H2788</f>
        <v/>
      </c>
      <c r="O2788" s="52">
        <f>L2788/1.1</f>
        <v/>
      </c>
      <c r="P2788" s="36">
        <f>F2788&amp;E2788&amp;G2788&amp;J2788</f>
        <v/>
      </c>
    </row>
    <row r="2789">
      <c r="B2789" s="51" t="n">
        <v>44206</v>
      </c>
      <c r="C2789" s="36">
        <f>TEXT(B2789,"aaa")</f>
        <v/>
      </c>
      <c r="E2789" s="36">
        <f>INDEX(매칭테이블!C:C,MATCH(RD!G2789,매칭테이블!D:D,0))</f>
        <v/>
      </c>
      <c r="F2789" s="39" t="inlineStr">
        <is>
          <t>카페24</t>
        </is>
      </c>
      <c r="G2789" s="39" t="inlineStr">
        <is>
          <t>유즈 스테이포에버 솔리드퍼퓸 002 (11차 예약구매 진행중)제품선택=best스테이포에버 2개[28% 할인]</t>
        </is>
      </c>
      <c r="H2789" s="39" t="n">
        <v>133</v>
      </c>
      <c r="I2789" s="36">
        <f>VLOOKUP(G2789,매칭테이블!D:E,2,0)</f>
        <v/>
      </c>
      <c r="J2789" s="39" t="n">
        <v>210101</v>
      </c>
      <c r="L2789" s="36">
        <f>VLOOKUP($P2789,매칭테이블!$G:$J,2,0)*H2789</f>
        <v/>
      </c>
      <c r="M2789" s="36">
        <f>L2789-L2789*VLOOKUP($P2789,매칭테이블!$G:$J,3,0)</f>
        <v/>
      </c>
      <c r="N2789" s="36">
        <f>VLOOKUP($P2789,매칭테이블!$G:$J,4,0)*H2789</f>
        <v/>
      </c>
      <c r="O2789" s="52">
        <f>L2789/1.1</f>
        <v/>
      </c>
      <c r="P2789" s="36">
        <f>F2789&amp;E2789&amp;G2789&amp;J2789</f>
        <v/>
      </c>
    </row>
    <row r="2790">
      <c r="B2790" s="51" t="n">
        <v>44206</v>
      </c>
      <c r="C2790" s="36">
        <f>TEXT(B2790,"aaa")</f>
        <v/>
      </c>
      <c r="E2790" s="36">
        <f>INDEX(매칭테이블!C:C,MATCH(RD!G2790,매칭테이블!D:D,0))</f>
        <v/>
      </c>
      <c r="F2790" s="39" t="inlineStr">
        <is>
          <t>카페24</t>
        </is>
      </c>
      <c r="G2790" s="39" t="inlineStr">
        <is>
          <t>유즈 스테이포에버 솔리드퍼퓸 002 (11차 예약구매 진행중)제품선택=커플추천</t>
        </is>
      </c>
      <c r="H2790" s="39" t="n">
        <v>15</v>
      </c>
      <c r="I2790" s="36">
        <f>VLOOKUP(G2790,매칭테이블!D:E,2,0)</f>
        <v/>
      </c>
      <c r="J2790" s="39" t="n">
        <v>210101</v>
      </c>
      <c r="L2790" s="36">
        <f>VLOOKUP($P2790,매칭테이블!$G:$J,2,0)*H2790</f>
        <v/>
      </c>
      <c r="M2790" s="36">
        <f>L2790-L2790*VLOOKUP($P2790,매칭테이블!$G:$J,3,0)</f>
        <v/>
      </c>
      <c r="N2790" s="36">
        <f>VLOOKUP($P2790,매칭테이블!$G:$J,4,0)*H2790</f>
        <v/>
      </c>
      <c r="O2790" s="52">
        <f>L2790/1.1</f>
        <v/>
      </c>
      <c r="P2790" s="36">
        <f>F2790&amp;E2790&amp;G2790&amp;J2790</f>
        <v/>
      </c>
    </row>
    <row r="2791">
      <c r="B2791" s="51" t="n">
        <v>44206</v>
      </c>
      <c r="C2791" s="36">
        <f>TEXT(B2791,"aaa")</f>
        <v/>
      </c>
      <c r="E2791" s="36">
        <f>INDEX(매칭테이블!C:C,MATCH(RD!G2791,매칭테이블!D:D,0))</f>
        <v/>
      </c>
      <c r="F2791" s="39" t="inlineStr">
        <is>
          <t>카페24</t>
        </is>
      </c>
      <c r="G2791" s="39" t="inlineStr">
        <is>
          <t>유즈 스테이포에버 솔리드퍼퓸 002 (11차 예약구매 진행중)제품선택=커플추천스테이포에버 + 이그나이트 세트</t>
        </is>
      </c>
      <c r="H2791" s="39" t="n">
        <v>25</v>
      </c>
      <c r="I2791" s="36">
        <f>VLOOKUP(G2791,매칭테이블!D:E,2,0)</f>
        <v/>
      </c>
      <c r="J2791" s="39" t="n">
        <v>210101</v>
      </c>
      <c r="L2791" s="36">
        <f>VLOOKUP($P2791,매칭테이블!$G:$J,2,0)*H2791</f>
        <v/>
      </c>
      <c r="M2791" s="36">
        <f>L2791-L2791*VLOOKUP($P2791,매칭테이블!$G:$J,3,0)</f>
        <v/>
      </c>
      <c r="N2791" s="36">
        <f>VLOOKUP($P2791,매칭테이블!$G:$J,4,0)*H2791</f>
        <v/>
      </c>
      <c r="O2791" s="52">
        <f>L2791/1.1</f>
        <v/>
      </c>
      <c r="P2791" s="36">
        <f>F2791&amp;E2791&amp;G2791&amp;J2791</f>
        <v/>
      </c>
    </row>
    <row r="2792">
      <c r="B2792" s="51" t="n">
        <v>44206</v>
      </c>
      <c r="C2792" s="36">
        <f>TEXT(B2792,"aaa")</f>
        <v/>
      </c>
      <c r="E2792" s="36">
        <f>INDEX(매칭테이블!C:C,MATCH(RD!G2792,매칭테이블!D:D,0))</f>
        <v/>
      </c>
      <c r="F2792" s="39" t="inlineStr">
        <is>
          <t>카페24</t>
        </is>
      </c>
      <c r="G2792" s="39" t="inlineStr">
        <is>
          <t>유즈 스테이포에버 솔리드퍼퓸 002 (11차 예약구매 진행중)쇼핑백=선물용 쇼핑백</t>
        </is>
      </c>
      <c r="H2792" s="39" t="n">
        <v>21</v>
      </c>
      <c r="I2792" s="36">
        <f>VLOOKUP(G2792,매칭테이블!D:E,2,0)</f>
        <v/>
      </c>
      <c r="J2792" s="39" t="n">
        <v>210101</v>
      </c>
      <c r="L2792" s="36">
        <f>VLOOKUP($P2792,매칭테이블!$G:$J,2,0)*H2792</f>
        <v/>
      </c>
      <c r="M2792" s="36">
        <f>L2792-L2792*VLOOKUP($P2792,매칭테이블!$G:$J,3,0)</f>
        <v/>
      </c>
      <c r="N2792" s="36">
        <f>VLOOKUP($P2792,매칭테이블!$G:$J,4,0)*H2792</f>
        <v/>
      </c>
      <c r="O2792" s="52">
        <f>L2792/1.1</f>
        <v/>
      </c>
      <c r="P2792" s="36">
        <f>F2792&amp;E2792&amp;G2792&amp;J2792</f>
        <v/>
      </c>
    </row>
    <row r="2793">
      <c r="B2793" s="51" t="n">
        <v>44206</v>
      </c>
      <c r="C2793" s="36">
        <f>TEXT(B2793,"aaa")</f>
        <v/>
      </c>
      <c r="E2793" s="36">
        <f>INDEX(매칭테이블!C:C,MATCH(RD!G2793,매칭테이블!D:D,0))</f>
        <v/>
      </c>
      <c r="F2793" s="39" t="inlineStr">
        <is>
          <t>카페24</t>
        </is>
      </c>
      <c r="G2793" s="39" t="inlineStr">
        <is>
          <t>유즈 이그나이트 솔리드퍼퓸 001제품선택=이그나이트 솔리드퍼퓸 - 30ml</t>
        </is>
      </c>
      <c r="H2793" s="39" t="n">
        <v>3</v>
      </c>
      <c r="I2793" s="36">
        <f>VLOOKUP(G2793,매칭테이블!D:E,2,0)</f>
        <v/>
      </c>
      <c r="J2793" s="39" t="n">
        <v>210101</v>
      </c>
      <c r="L2793" s="36">
        <f>VLOOKUP($P2793,매칭테이블!$G:$J,2,0)*H2793</f>
        <v/>
      </c>
      <c r="M2793" s="36">
        <f>L2793-L2793*VLOOKUP($P2793,매칭테이블!$G:$J,3,0)</f>
        <v/>
      </c>
      <c r="N2793" s="36">
        <f>VLOOKUP($P2793,매칭테이블!$G:$J,4,0)*H2793</f>
        <v/>
      </c>
      <c r="O2793" s="52">
        <f>L2793/1.1</f>
        <v/>
      </c>
      <c r="P2793" s="36">
        <f>F2793&amp;E2793&amp;G2793&amp;J2793</f>
        <v/>
      </c>
    </row>
    <row r="2794">
      <c r="B2794" s="51" t="n">
        <v>44206</v>
      </c>
      <c r="C2794" s="36">
        <f>TEXT(B2794,"aaa")</f>
        <v/>
      </c>
      <c r="E2794" s="36">
        <f>INDEX(매칭테이블!C:C,MATCH(RD!G2794,매칭테이블!D:D,0))</f>
        <v/>
      </c>
      <c r="F2794" s="39" t="inlineStr">
        <is>
          <t>카페24</t>
        </is>
      </c>
      <c r="G2794" s="39" t="inlineStr">
        <is>
          <t>유즈 이그나이트 솔리드퍼퓸 001제품선택=이그나이트 2개 세트</t>
        </is>
      </c>
      <c r="H2794" s="39" t="n">
        <v>1</v>
      </c>
      <c r="I2794" s="36">
        <f>VLOOKUP(G2794,매칭테이블!D:E,2,0)</f>
        <v/>
      </c>
      <c r="J2794" s="39" t="n">
        <v>210101</v>
      </c>
      <c r="L2794" s="36">
        <f>VLOOKUP($P2794,매칭테이블!$G:$J,2,0)*H2794</f>
        <v/>
      </c>
      <c r="M2794" s="36">
        <f>L2794-L2794*VLOOKUP($P2794,매칭테이블!$G:$J,3,0)</f>
        <v/>
      </c>
      <c r="N2794" s="36">
        <f>VLOOKUP($P2794,매칭테이블!$G:$J,4,0)*H2794</f>
        <v/>
      </c>
      <c r="O2794" s="52">
        <f>L2794/1.1</f>
        <v/>
      </c>
      <c r="P2794" s="36">
        <f>F2794&amp;E2794&amp;G2794&amp;J2794</f>
        <v/>
      </c>
    </row>
    <row r="2795">
      <c r="B2795" s="51" t="n">
        <v>44207</v>
      </c>
      <c r="C2795" s="36">
        <f>TEXT(B2795,"aaa")</f>
        <v/>
      </c>
      <c r="E2795" s="36">
        <f>INDEX(매칭테이블!C:C,MATCH(RD!G2795,매칭테이블!D:D,0))</f>
        <v/>
      </c>
      <c r="F2795" s="39" t="inlineStr">
        <is>
          <t>카페24</t>
        </is>
      </c>
      <c r="G2795" s="39" t="inlineStr">
        <is>
          <t>유즈 솔리드퍼퓸 - 30ml (11차 예약구매 진행중)향=이그나이트 001 SOLID PERFUME, 세트 선택=1개</t>
        </is>
      </c>
      <c r="H2795" s="39" t="n">
        <v>2</v>
      </c>
      <c r="I2795" s="36">
        <f>VLOOKUP(G2795,매칭테이블!D:E,2,0)</f>
        <v/>
      </c>
      <c r="J2795" s="39" t="n">
        <v>210101</v>
      </c>
      <c r="L2795" s="36">
        <f>VLOOKUP($P2795,매칭테이블!$G:$J,2,0)*H2795</f>
        <v/>
      </c>
      <c r="M2795" s="36">
        <f>L2795-L2795*VLOOKUP($P2795,매칭테이블!$G:$J,3,0)</f>
        <v/>
      </c>
      <c r="N2795" s="36">
        <f>VLOOKUP($P2795,매칭테이블!$G:$J,4,0)*H2795</f>
        <v/>
      </c>
      <c r="O2795" s="52">
        <f>L2795/1.1</f>
        <v/>
      </c>
      <c r="P2795" s="36">
        <f>F2795&amp;E2795&amp;G2795&amp;J2795</f>
        <v/>
      </c>
    </row>
    <row r="2796">
      <c r="B2796" s="51" t="n">
        <v>44207</v>
      </c>
      <c r="C2796" s="36">
        <f>TEXT(B2796,"aaa")</f>
        <v/>
      </c>
      <c r="E2796" s="36">
        <f>INDEX(매칭테이블!C:C,MATCH(RD!G2796,매칭테이블!D:D,0))</f>
        <v/>
      </c>
      <c r="F2796" s="39" t="inlineStr">
        <is>
          <t>카페24</t>
        </is>
      </c>
      <c r="G2796" s="39" t="inlineStr">
        <is>
          <t>유즈 솔리드퍼퓸 - 30ml (11차 예약구매 진행중)향=이그나이트 001 SOLID PERFUME, 세트 선택=best 2개 (28% 할인)</t>
        </is>
      </c>
      <c r="H2796" s="39" t="n">
        <v>1</v>
      </c>
      <c r="I2796" s="36">
        <f>VLOOKUP(G2796,매칭테이블!D:E,2,0)</f>
        <v/>
      </c>
      <c r="J2796" s="39" t="n">
        <v>210101</v>
      </c>
      <c r="L2796" s="36">
        <f>VLOOKUP($P2796,매칭테이블!$G:$J,2,0)*H2796</f>
        <v/>
      </c>
      <c r="M2796" s="36">
        <f>L2796-L2796*VLOOKUP($P2796,매칭테이블!$G:$J,3,0)</f>
        <v/>
      </c>
      <c r="N2796" s="36">
        <f>VLOOKUP($P2796,매칭테이블!$G:$J,4,0)*H2796</f>
        <v/>
      </c>
      <c r="O2796" s="52">
        <f>L2796/1.1</f>
        <v/>
      </c>
      <c r="P2796" s="36">
        <f>F2796&amp;E2796&amp;G2796&amp;J2796</f>
        <v/>
      </c>
    </row>
    <row r="2797">
      <c r="B2797" s="51" t="n">
        <v>44207</v>
      </c>
      <c r="C2797" s="36">
        <f>TEXT(B2797,"aaa")</f>
        <v/>
      </c>
      <c r="E2797" s="36">
        <f>INDEX(매칭테이블!C:C,MATCH(RD!G2797,매칭테이블!D:D,0))</f>
        <v/>
      </c>
      <c r="F2797" s="39" t="inlineStr">
        <is>
          <t>카페24</t>
        </is>
      </c>
      <c r="G2797" s="39" t="inlineStr">
        <is>
          <t>유즈 솔리드퍼퓸 - 30ml (11차 예약구매 진행중)향=스테이포에버 002 SOLID PERFUME, 세트 선택=1개</t>
        </is>
      </c>
      <c r="H2797" s="39" t="n">
        <v>12</v>
      </c>
      <c r="I2797" s="36">
        <f>VLOOKUP(G2797,매칭테이블!D:E,2,0)</f>
        <v/>
      </c>
      <c r="J2797" s="39" t="n">
        <v>210101</v>
      </c>
      <c r="L2797" s="36">
        <f>VLOOKUP($P2797,매칭테이블!$G:$J,2,0)*H2797</f>
        <v/>
      </c>
      <c r="M2797" s="36">
        <f>L2797-L2797*VLOOKUP($P2797,매칭테이블!$G:$J,3,0)</f>
        <v/>
      </c>
      <c r="N2797" s="36">
        <f>VLOOKUP($P2797,매칭테이블!$G:$J,4,0)*H2797</f>
        <v/>
      </c>
      <c r="O2797" s="52">
        <f>L2797/1.1</f>
        <v/>
      </c>
      <c r="P2797" s="36">
        <f>F2797&amp;E2797&amp;G2797&amp;J2797</f>
        <v/>
      </c>
    </row>
    <row r="2798">
      <c r="B2798" s="51" t="n">
        <v>44207</v>
      </c>
      <c r="C2798" s="36">
        <f>TEXT(B2798,"aaa")</f>
        <v/>
      </c>
      <c r="E2798" s="36">
        <f>INDEX(매칭테이블!C:C,MATCH(RD!G2798,매칭테이블!D:D,0))</f>
        <v/>
      </c>
      <c r="F2798" s="39" t="inlineStr">
        <is>
          <t>카페24</t>
        </is>
      </c>
      <c r="G2798" s="39" t="inlineStr">
        <is>
          <t>유즈 솔리드퍼퓸 - 30ml (11차 예약구매 진행중)향=스테이포에버 002 SOLID PERFUME, 세트 선택=best</t>
        </is>
      </c>
      <c r="H2798" s="39" t="n">
        <v>4</v>
      </c>
      <c r="I2798" s="36">
        <f>VLOOKUP(G2798,매칭테이블!D:E,2,0)</f>
        <v/>
      </c>
      <c r="J2798" s="39" t="n">
        <v>210101</v>
      </c>
      <c r="L2798" s="36">
        <f>VLOOKUP($P2798,매칭테이블!$G:$J,2,0)*H2798</f>
        <v/>
      </c>
      <c r="M2798" s="36">
        <f>L2798-L2798*VLOOKUP($P2798,매칭테이블!$G:$J,3,0)</f>
        <v/>
      </c>
      <c r="N2798" s="36">
        <f>VLOOKUP($P2798,매칭테이블!$G:$J,4,0)*H2798</f>
        <v/>
      </c>
      <c r="O2798" s="52">
        <f>L2798/1.1</f>
        <v/>
      </c>
      <c r="P2798" s="36">
        <f>F2798&amp;E2798&amp;G2798&amp;J2798</f>
        <v/>
      </c>
    </row>
    <row r="2799">
      <c r="B2799" s="51" t="n">
        <v>44207</v>
      </c>
      <c r="C2799" s="36">
        <f>TEXT(B2799,"aaa")</f>
        <v/>
      </c>
      <c r="E2799" s="36">
        <f>INDEX(매칭테이블!C:C,MATCH(RD!G2799,매칭테이블!D:D,0))</f>
        <v/>
      </c>
      <c r="F2799" s="39" t="inlineStr">
        <is>
          <t>카페24</t>
        </is>
      </c>
      <c r="G2799" s="39" t="inlineStr">
        <is>
          <t>유즈 솔리드퍼퓸 - 30ml (11차 예약구매 진행중)향=스테이포에버 002 SOLID PERFUME, 세트 선택=best 2개 (28% 할인)</t>
        </is>
      </c>
      <c r="H2799" s="39" t="n">
        <v>5</v>
      </c>
      <c r="I2799" s="36">
        <f>VLOOKUP(G2799,매칭테이블!D:E,2,0)</f>
        <v/>
      </c>
      <c r="J2799" s="39" t="n">
        <v>210101</v>
      </c>
      <c r="L2799" s="36">
        <f>VLOOKUP($P2799,매칭테이블!$G:$J,2,0)*H2799</f>
        <v/>
      </c>
      <c r="M2799" s="36">
        <f>L2799-L2799*VLOOKUP($P2799,매칭테이블!$G:$J,3,0)</f>
        <v/>
      </c>
      <c r="N2799" s="36">
        <f>VLOOKUP($P2799,매칭테이블!$G:$J,4,0)*H2799</f>
        <v/>
      </c>
      <c r="O2799" s="52">
        <f>L2799/1.1</f>
        <v/>
      </c>
      <c r="P2799" s="36">
        <f>F2799&amp;E2799&amp;G2799&amp;J2799</f>
        <v/>
      </c>
    </row>
    <row r="2800">
      <c r="B2800" s="51" t="n">
        <v>44207</v>
      </c>
      <c r="C2800" s="36">
        <f>TEXT(B2800,"aaa")</f>
        <v/>
      </c>
      <c r="E2800" s="36">
        <f>INDEX(매칭테이블!C:C,MATCH(RD!G2800,매칭테이블!D:D,0))</f>
        <v/>
      </c>
      <c r="F2800" s="39" t="inlineStr">
        <is>
          <t>카페24</t>
        </is>
      </c>
      <c r="G2800" s="39" t="inlineStr">
        <is>
          <t>유즈 솔리드퍼퓸 - 30ml (11차 예약구매 진행중)향=커플세트</t>
        </is>
      </c>
      <c r="H2800" s="39" t="n">
        <v>6</v>
      </c>
      <c r="I2800" s="36">
        <f>VLOOKUP(G2800,매칭테이블!D:E,2,0)</f>
        <v/>
      </c>
      <c r="J2800" s="39" t="n">
        <v>210101</v>
      </c>
      <c r="L2800" s="36">
        <f>VLOOKUP($P2800,매칭테이블!$G:$J,2,0)*H2800</f>
        <v/>
      </c>
      <c r="M2800" s="36">
        <f>L2800-L2800*VLOOKUP($P2800,매칭테이블!$G:$J,3,0)</f>
        <v/>
      </c>
      <c r="N2800" s="36">
        <f>VLOOKUP($P2800,매칭테이블!$G:$J,4,0)*H2800</f>
        <v/>
      </c>
      <c r="O2800" s="52">
        <f>L2800/1.1</f>
        <v/>
      </c>
      <c r="P2800" s="36">
        <f>F2800&amp;E2800&amp;G2800&amp;J2800</f>
        <v/>
      </c>
    </row>
    <row r="2801">
      <c r="B2801" s="51" t="n">
        <v>44207</v>
      </c>
      <c r="C2801" s="36">
        <f>TEXT(B2801,"aaa")</f>
        <v/>
      </c>
      <c r="E2801" s="36">
        <f>INDEX(매칭테이블!C:C,MATCH(RD!G2801,매칭테이블!D:D,0))</f>
        <v/>
      </c>
      <c r="F2801" s="39" t="inlineStr">
        <is>
          <t>카페24</t>
        </is>
      </c>
      <c r="G2801" s="39" t="inlineStr">
        <is>
          <t>유즈 솔리드퍼퓸 - 30ml (11차 예약구매 진행중)향=커플세트(이그나이트 + 스테이포에버), 세트 선택=1 SET</t>
        </is>
      </c>
      <c r="H2801" s="39" t="n">
        <v>3</v>
      </c>
      <c r="I2801" s="36">
        <f>VLOOKUP(G2801,매칭테이블!D:E,2,0)</f>
        <v/>
      </c>
      <c r="J2801" s="39" t="n">
        <v>210101</v>
      </c>
      <c r="L2801" s="36">
        <f>VLOOKUP($P2801,매칭테이블!$G:$J,2,0)*H2801</f>
        <v/>
      </c>
      <c r="M2801" s="36">
        <f>L2801-L2801*VLOOKUP($P2801,매칭테이블!$G:$J,3,0)</f>
        <v/>
      </c>
      <c r="N2801" s="36">
        <f>VLOOKUP($P2801,매칭테이블!$G:$J,4,0)*H2801</f>
        <v/>
      </c>
      <c r="O2801" s="52">
        <f>L2801/1.1</f>
        <v/>
      </c>
      <c r="P2801" s="36">
        <f>F2801&amp;E2801&amp;G2801&amp;J2801</f>
        <v/>
      </c>
    </row>
    <row r="2802">
      <c r="B2802" s="51" t="n">
        <v>44207</v>
      </c>
      <c r="C2802" s="36">
        <f>TEXT(B2802,"aaa")</f>
        <v/>
      </c>
      <c r="E2802" s="36">
        <f>INDEX(매칭테이블!C:C,MATCH(RD!G2802,매칭테이블!D:D,0))</f>
        <v/>
      </c>
      <c r="F2802" s="39" t="inlineStr">
        <is>
          <t>카페24</t>
        </is>
      </c>
      <c r="G2802" s="39" t="inlineStr">
        <is>
          <t>유즈 스테이포에버 솔리드퍼퓸 002 (11차 예약구매 진행중)제품선택=스테이포에버 1개</t>
        </is>
      </c>
      <c r="H2802" s="39" t="n">
        <v>333</v>
      </c>
      <c r="I2802" s="36">
        <f>VLOOKUP(G2802,매칭테이블!D:E,2,0)</f>
        <v/>
      </c>
      <c r="J2802" s="39" t="n">
        <v>210101</v>
      </c>
      <c r="L2802" s="36">
        <f>VLOOKUP($P2802,매칭테이블!$G:$J,2,0)*H2802</f>
        <v/>
      </c>
      <c r="M2802" s="36">
        <f>L2802-L2802*VLOOKUP($P2802,매칭테이블!$G:$J,3,0)</f>
        <v/>
      </c>
      <c r="N2802" s="36">
        <f>VLOOKUP($P2802,매칭테이블!$G:$J,4,0)*H2802</f>
        <v/>
      </c>
      <c r="O2802" s="52">
        <f>L2802/1.1</f>
        <v/>
      </c>
      <c r="P2802" s="36">
        <f>F2802&amp;E2802&amp;G2802&amp;J2802</f>
        <v/>
      </c>
    </row>
    <row r="2803">
      <c r="B2803" s="51" t="n">
        <v>44207</v>
      </c>
      <c r="C2803" s="36">
        <f>TEXT(B2803,"aaa")</f>
        <v/>
      </c>
      <c r="E2803" s="36">
        <f>INDEX(매칭테이블!C:C,MATCH(RD!G2803,매칭테이블!D:D,0))</f>
        <v/>
      </c>
      <c r="F2803" s="39" t="inlineStr">
        <is>
          <t>카페24</t>
        </is>
      </c>
      <c r="G2803" s="39" t="inlineStr">
        <is>
          <t>유즈 스테이포에버 솔리드퍼퓸 002 (11차 예약구매 진행중)제품선택=best</t>
        </is>
      </c>
      <c r="H2803" s="39" t="n">
        <v>51</v>
      </c>
      <c r="I2803" s="36">
        <f>VLOOKUP(G2803,매칭테이블!D:E,2,0)</f>
        <v/>
      </c>
      <c r="J2803" s="39" t="n">
        <v>210101</v>
      </c>
      <c r="L2803" s="36">
        <f>VLOOKUP($P2803,매칭테이블!$G:$J,2,0)*H2803</f>
        <v/>
      </c>
      <c r="M2803" s="36">
        <f>L2803-L2803*VLOOKUP($P2803,매칭테이블!$G:$J,3,0)</f>
        <v/>
      </c>
      <c r="N2803" s="36">
        <f>VLOOKUP($P2803,매칭테이블!$G:$J,4,0)*H2803</f>
        <v/>
      </c>
      <c r="O2803" s="52">
        <f>L2803/1.1</f>
        <v/>
      </c>
      <c r="P2803" s="36">
        <f>F2803&amp;E2803&amp;G2803&amp;J2803</f>
        <v/>
      </c>
    </row>
    <row r="2804">
      <c r="B2804" s="51" t="n">
        <v>44207</v>
      </c>
      <c r="C2804" s="36">
        <f>TEXT(B2804,"aaa")</f>
        <v/>
      </c>
      <c r="E2804" s="36">
        <f>INDEX(매칭테이블!C:C,MATCH(RD!G2804,매칭테이블!D:D,0))</f>
        <v/>
      </c>
      <c r="F2804" s="39" t="inlineStr">
        <is>
          <t>카페24</t>
        </is>
      </c>
      <c r="G2804" s="39" t="inlineStr">
        <is>
          <t>유즈 스테이포에버 솔리드퍼퓸 002 (11차 예약구매 진행중)제품선택=best스테이포에버 2개[28% 할인]</t>
        </is>
      </c>
      <c r="H2804" s="39" t="n">
        <v>102</v>
      </c>
      <c r="I2804" s="36">
        <f>VLOOKUP(G2804,매칭테이블!D:E,2,0)</f>
        <v/>
      </c>
      <c r="J2804" s="39" t="n">
        <v>210101</v>
      </c>
      <c r="L2804" s="36">
        <f>VLOOKUP($P2804,매칭테이블!$G:$J,2,0)*H2804</f>
        <v/>
      </c>
      <c r="M2804" s="36">
        <f>L2804-L2804*VLOOKUP($P2804,매칭테이블!$G:$J,3,0)</f>
        <v/>
      </c>
      <c r="N2804" s="36">
        <f>VLOOKUP($P2804,매칭테이블!$G:$J,4,0)*H2804</f>
        <v/>
      </c>
      <c r="O2804" s="52">
        <f>L2804/1.1</f>
        <v/>
      </c>
      <c r="P2804" s="36">
        <f>F2804&amp;E2804&amp;G2804&amp;J2804</f>
        <v/>
      </c>
    </row>
    <row r="2805">
      <c r="B2805" s="51" t="n">
        <v>44207</v>
      </c>
      <c r="C2805" s="36">
        <f>TEXT(B2805,"aaa")</f>
        <v/>
      </c>
      <c r="E2805" s="36">
        <f>INDEX(매칭테이블!C:C,MATCH(RD!G2805,매칭테이블!D:D,0))</f>
        <v/>
      </c>
      <c r="F2805" s="39" t="inlineStr">
        <is>
          <t>카페24</t>
        </is>
      </c>
      <c r="G2805" s="39" t="inlineStr">
        <is>
          <t>유즈 스테이포에버 솔리드퍼퓸 002 (11차 예약구매 진행중)제품선택=커플추천</t>
        </is>
      </c>
      <c r="H2805" s="39" t="n">
        <v>8</v>
      </c>
      <c r="I2805" s="36">
        <f>VLOOKUP(G2805,매칭테이블!D:E,2,0)</f>
        <v/>
      </c>
      <c r="J2805" s="39" t="n">
        <v>210101</v>
      </c>
      <c r="L2805" s="36">
        <f>VLOOKUP($P2805,매칭테이블!$G:$J,2,0)*H2805</f>
        <v/>
      </c>
      <c r="M2805" s="36">
        <f>L2805-L2805*VLOOKUP($P2805,매칭테이블!$G:$J,3,0)</f>
        <v/>
      </c>
      <c r="N2805" s="36">
        <f>VLOOKUP($P2805,매칭테이블!$G:$J,4,0)*H2805</f>
        <v/>
      </c>
      <c r="O2805" s="52">
        <f>L2805/1.1</f>
        <v/>
      </c>
      <c r="P2805" s="36">
        <f>F2805&amp;E2805&amp;G2805&amp;J2805</f>
        <v/>
      </c>
    </row>
    <row r="2806">
      <c r="B2806" s="51" t="n">
        <v>44207</v>
      </c>
      <c r="C2806" s="36">
        <f>TEXT(B2806,"aaa")</f>
        <v/>
      </c>
      <c r="E2806" s="36">
        <f>INDEX(매칭테이블!C:C,MATCH(RD!G2806,매칭테이블!D:D,0))</f>
        <v/>
      </c>
      <c r="F2806" s="39" t="inlineStr">
        <is>
          <t>카페24</t>
        </is>
      </c>
      <c r="G2806" s="39" t="inlineStr">
        <is>
          <t>유즈 스테이포에버 솔리드퍼퓸 002 (11차 예약구매 진행중)제품선택=커플추천스테이포에버 + 이그나이트 세트</t>
        </is>
      </c>
      <c r="H2806" s="39" t="n">
        <v>15</v>
      </c>
      <c r="I2806" s="36">
        <f>VLOOKUP(G2806,매칭테이블!D:E,2,0)</f>
        <v/>
      </c>
      <c r="J2806" s="39" t="n">
        <v>210101</v>
      </c>
      <c r="L2806" s="36">
        <f>VLOOKUP($P2806,매칭테이블!$G:$J,2,0)*H2806</f>
        <v/>
      </c>
      <c r="M2806" s="36">
        <f>L2806-L2806*VLOOKUP($P2806,매칭테이블!$G:$J,3,0)</f>
        <v/>
      </c>
      <c r="N2806" s="36">
        <f>VLOOKUP($P2806,매칭테이블!$G:$J,4,0)*H2806</f>
        <v/>
      </c>
      <c r="O2806" s="52">
        <f>L2806/1.1</f>
        <v/>
      </c>
      <c r="P2806" s="36">
        <f>F2806&amp;E2806&amp;G2806&amp;J2806</f>
        <v/>
      </c>
    </row>
    <row r="2807">
      <c r="B2807" s="51" t="n">
        <v>44207</v>
      </c>
      <c r="C2807" s="36">
        <f>TEXT(B2807,"aaa")</f>
        <v/>
      </c>
      <c r="E2807" s="36">
        <f>INDEX(매칭테이블!C:C,MATCH(RD!G2807,매칭테이블!D:D,0))</f>
        <v/>
      </c>
      <c r="F2807" s="39" t="inlineStr">
        <is>
          <t>카페24</t>
        </is>
      </c>
      <c r="G2807" s="39" t="inlineStr">
        <is>
          <t>유즈 스테이포에버 솔리드퍼퓸 002 (11차 예약구매 진행중)쇼핑백=선물용 쇼핑백</t>
        </is>
      </c>
      <c r="H2807" s="39" t="n">
        <v>9</v>
      </c>
      <c r="I2807" s="36">
        <f>VLOOKUP(G2807,매칭테이블!D:E,2,0)</f>
        <v/>
      </c>
      <c r="J2807" s="39" t="n">
        <v>210101</v>
      </c>
      <c r="L2807" s="36">
        <f>VLOOKUP($P2807,매칭테이블!$G:$J,2,0)*H2807</f>
        <v/>
      </c>
      <c r="M2807" s="36">
        <f>L2807-L2807*VLOOKUP($P2807,매칭테이블!$G:$J,3,0)</f>
        <v/>
      </c>
      <c r="N2807" s="36">
        <f>VLOOKUP($P2807,매칭테이블!$G:$J,4,0)*H2807</f>
        <v/>
      </c>
      <c r="O2807" s="52">
        <f>L2807/1.1</f>
        <v/>
      </c>
      <c r="P2807" s="36">
        <f>F2807&amp;E2807&amp;G2807&amp;J2807</f>
        <v/>
      </c>
    </row>
    <row r="2808">
      <c r="B2808" s="51" t="n">
        <v>44207</v>
      </c>
      <c r="C2808" s="36">
        <f>TEXT(B2808,"aaa")</f>
        <v/>
      </c>
      <c r="E2808" s="36">
        <f>INDEX(매칭테이블!C:C,MATCH(RD!G2808,매칭테이블!D:D,0))</f>
        <v/>
      </c>
      <c r="F2808" s="39" t="inlineStr">
        <is>
          <t>카페24</t>
        </is>
      </c>
      <c r="G2808" s="39" t="inlineStr">
        <is>
          <t>유즈 이그나이트 솔리드퍼퓸 001제품선택=이그나이트 솔리드퍼퓸 - 30ml</t>
        </is>
      </c>
      <c r="H2808" s="39" t="n">
        <v>2</v>
      </c>
      <c r="I2808" s="36">
        <f>VLOOKUP(G2808,매칭테이블!D:E,2,0)</f>
        <v/>
      </c>
      <c r="J2808" s="39" t="n">
        <v>210101</v>
      </c>
      <c r="L2808" s="36">
        <f>VLOOKUP($P2808,매칭테이블!$G:$J,2,0)*H2808</f>
        <v/>
      </c>
      <c r="M2808" s="36">
        <f>L2808-L2808*VLOOKUP($P2808,매칭테이블!$G:$J,3,0)</f>
        <v/>
      </c>
      <c r="N2808" s="36">
        <f>VLOOKUP($P2808,매칭테이블!$G:$J,4,0)*H2808</f>
        <v/>
      </c>
      <c r="O2808" s="52">
        <f>L2808/1.1</f>
        <v/>
      </c>
      <c r="P2808" s="36">
        <f>F2808&amp;E2808&amp;G2808&amp;J2808</f>
        <v/>
      </c>
    </row>
    <row r="2809">
      <c r="B2809" s="51" t="n">
        <v>44208</v>
      </c>
      <c r="C2809" s="36">
        <f>TEXT(B2809,"aaa")</f>
        <v/>
      </c>
      <c r="E2809" s="36">
        <f>INDEX(매칭테이블!C:C,MATCH(RD!G2809,매칭테이블!D:D,0))</f>
        <v/>
      </c>
      <c r="F2809" s="39" t="inlineStr">
        <is>
          <t>카페24</t>
        </is>
      </c>
      <c r="G2809" s="39" t="inlineStr">
        <is>
          <t>솔리드퍼퓸 스테이포에버 002 30ml</t>
        </is>
      </c>
      <c r="H2809" s="39" t="n">
        <v>3</v>
      </c>
      <c r="I2809" s="36">
        <f>VLOOKUP(G2809,매칭테이블!D:E,2,0)</f>
        <v/>
      </c>
      <c r="J2809" s="39" t="n">
        <v>210101</v>
      </c>
      <c r="L2809" s="36">
        <f>VLOOKUP($P2809,매칭테이블!$G:$J,2,0)*H2809</f>
        <v/>
      </c>
      <c r="M2809" s="36">
        <f>L2809-L2809*VLOOKUP($P2809,매칭테이블!$G:$J,3,0)</f>
        <v/>
      </c>
      <c r="N2809" s="36">
        <f>VLOOKUP($P2809,매칭테이블!$G:$J,4,0)*H2809</f>
        <v/>
      </c>
      <c r="O2809" s="52">
        <f>L2809/1.1</f>
        <v/>
      </c>
      <c r="P2809" s="36">
        <f>F2809&amp;E2809&amp;G2809&amp;J2809</f>
        <v/>
      </c>
    </row>
    <row r="2810">
      <c r="B2810" s="51" t="n">
        <v>44208</v>
      </c>
      <c r="C2810" s="36">
        <f>TEXT(B2810,"aaa")</f>
        <v/>
      </c>
      <c r="E2810" s="36">
        <f>INDEX(매칭테이블!C:C,MATCH(RD!G2810,매칭테이블!D:D,0))</f>
        <v/>
      </c>
      <c r="F2810" s="39" t="inlineStr">
        <is>
          <t>카페24</t>
        </is>
      </c>
      <c r="G2810" s="39" t="inlineStr">
        <is>
          <t>유즈 솔리드퍼퓸 - 30ml향=스테이포에버 002 SOLID PERFUME, 세트 선택=1개</t>
        </is>
      </c>
      <c r="H2810" s="39" t="n">
        <v>5</v>
      </c>
      <c r="I2810" s="36">
        <f>VLOOKUP(G2810,매칭테이블!D:E,2,0)</f>
        <v/>
      </c>
      <c r="J2810" s="39" t="n">
        <v>210101</v>
      </c>
      <c r="L2810" s="36">
        <f>VLOOKUP($P2810,매칭테이블!$G:$J,2,0)*H2810</f>
        <v/>
      </c>
      <c r="M2810" s="36">
        <f>L2810-L2810*VLOOKUP($P2810,매칭테이블!$G:$J,3,0)</f>
        <v/>
      </c>
      <c r="N2810" s="36">
        <f>VLOOKUP($P2810,매칭테이블!$G:$J,4,0)*H2810</f>
        <v/>
      </c>
      <c r="O2810" s="52">
        <f>L2810/1.1</f>
        <v/>
      </c>
      <c r="P2810" s="36">
        <f>F2810&amp;E2810&amp;G2810&amp;J2810</f>
        <v/>
      </c>
    </row>
    <row r="2811">
      <c r="B2811" s="51" t="n">
        <v>44208</v>
      </c>
      <c r="C2811" s="36">
        <f>TEXT(B2811,"aaa")</f>
        <v/>
      </c>
      <c r="E2811" s="36">
        <f>INDEX(매칭테이블!C:C,MATCH(RD!G2811,매칭테이블!D:D,0))</f>
        <v/>
      </c>
      <c r="F2811" s="39" t="inlineStr">
        <is>
          <t>카페24</t>
        </is>
      </c>
      <c r="G2811" s="39" t="inlineStr">
        <is>
          <t>유즈 솔리드퍼퓸 - 30ml향=스테이포에버 002 SOLID PERFUME, 세트 선택=best</t>
        </is>
      </c>
      <c r="H2811" s="39" t="n">
        <v>1</v>
      </c>
      <c r="I2811" s="36">
        <f>VLOOKUP(G2811,매칭테이블!D:E,2,0)</f>
        <v/>
      </c>
      <c r="J2811" s="39" t="n">
        <v>210101</v>
      </c>
      <c r="L2811" s="36">
        <f>VLOOKUP($P2811,매칭테이블!$G:$J,2,0)*H2811</f>
        <v/>
      </c>
      <c r="M2811" s="36">
        <f>L2811-L2811*VLOOKUP($P2811,매칭테이블!$G:$J,3,0)</f>
        <v/>
      </c>
      <c r="N2811" s="36">
        <f>VLOOKUP($P2811,매칭테이블!$G:$J,4,0)*H2811</f>
        <v/>
      </c>
      <c r="O2811" s="52">
        <f>L2811/1.1</f>
        <v/>
      </c>
      <c r="P2811" s="36">
        <f>F2811&amp;E2811&amp;G2811&amp;J2811</f>
        <v/>
      </c>
    </row>
    <row r="2812">
      <c r="B2812" s="51" t="n">
        <v>44208</v>
      </c>
      <c r="C2812" s="36">
        <f>TEXT(B2812,"aaa")</f>
        <v/>
      </c>
      <c r="E2812" s="36">
        <f>INDEX(매칭테이블!C:C,MATCH(RD!G2812,매칭테이블!D:D,0))</f>
        <v/>
      </c>
      <c r="F2812" s="39" t="inlineStr">
        <is>
          <t>카페24</t>
        </is>
      </c>
      <c r="G2812" s="39" t="inlineStr">
        <is>
          <t>유즈 솔리드퍼퓸 - 30ml향=커플세트</t>
        </is>
      </c>
      <c r="H2812" s="39" t="n">
        <v>4</v>
      </c>
      <c r="I2812" s="36">
        <f>VLOOKUP(G2812,매칭테이블!D:E,2,0)</f>
        <v/>
      </c>
      <c r="J2812" s="39" t="n">
        <v>210101</v>
      </c>
      <c r="L2812" s="36">
        <f>VLOOKUP($P2812,매칭테이블!$G:$J,2,0)*H2812</f>
        <v/>
      </c>
      <c r="M2812" s="36">
        <f>L2812-L2812*VLOOKUP($P2812,매칭테이블!$G:$J,3,0)</f>
        <v/>
      </c>
      <c r="N2812" s="36">
        <f>VLOOKUP($P2812,매칭테이블!$G:$J,4,0)*H2812</f>
        <v/>
      </c>
      <c r="O2812" s="52">
        <f>L2812/1.1</f>
        <v/>
      </c>
      <c r="P2812" s="36">
        <f>F2812&amp;E2812&amp;G2812&amp;J2812</f>
        <v/>
      </c>
    </row>
    <row r="2813">
      <c r="B2813" s="51" t="n">
        <v>44208</v>
      </c>
      <c r="C2813" s="36">
        <f>TEXT(B2813,"aaa")</f>
        <v/>
      </c>
      <c r="E2813" s="36">
        <f>INDEX(매칭테이블!C:C,MATCH(RD!G2813,매칭테이블!D:D,0))</f>
        <v/>
      </c>
      <c r="F2813" s="39" t="inlineStr">
        <is>
          <t>카페24</t>
        </is>
      </c>
      <c r="G2813" s="39" t="inlineStr">
        <is>
          <t>유즈 솔리드퍼퓸 - 30ml향=커플세트(이그나이트 + 스테이포에버), 세트 선택=1 SET</t>
        </is>
      </c>
      <c r="H2813" s="39" t="n">
        <v>2</v>
      </c>
      <c r="I2813" s="36">
        <f>VLOOKUP(G2813,매칭테이블!D:E,2,0)</f>
        <v/>
      </c>
      <c r="J2813" s="39" t="n">
        <v>210101</v>
      </c>
      <c r="L2813" s="36">
        <f>VLOOKUP($P2813,매칭테이블!$G:$J,2,0)*H2813</f>
        <v/>
      </c>
      <c r="M2813" s="36">
        <f>L2813-L2813*VLOOKUP($P2813,매칭테이블!$G:$J,3,0)</f>
        <v/>
      </c>
      <c r="N2813" s="36">
        <f>VLOOKUP($P2813,매칭테이블!$G:$J,4,0)*H2813</f>
        <v/>
      </c>
      <c r="O2813" s="52">
        <f>L2813/1.1</f>
        <v/>
      </c>
      <c r="P2813" s="36">
        <f>F2813&amp;E2813&amp;G2813&amp;J2813</f>
        <v/>
      </c>
    </row>
    <row r="2814">
      <c r="B2814" s="51" t="n">
        <v>44208</v>
      </c>
      <c r="C2814" s="36">
        <f>TEXT(B2814,"aaa")</f>
        <v/>
      </c>
      <c r="E2814" s="36">
        <f>INDEX(매칭테이블!C:C,MATCH(RD!G2814,매칭테이블!D:D,0))</f>
        <v/>
      </c>
      <c r="F2814" s="39" t="inlineStr">
        <is>
          <t>카페24</t>
        </is>
      </c>
      <c r="G2814" s="39" t="inlineStr">
        <is>
          <t>유즈 솔리드퍼퓸 - 30ml (11차 예약구매 진행중)향=스테이포에버 002 SOLID PERFUME, 세트 선택=1개</t>
        </is>
      </c>
      <c r="H2814" s="39" t="n">
        <v>8</v>
      </c>
      <c r="I2814" s="36">
        <f>VLOOKUP(G2814,매칭테이블!D:E,2,0)</f>
        <v/>
      </c>
      <c r="J2814" s="39" t="n">
        <v>210101</v>
      </c>
      <c r="L2814" s="36">
        <f>VLOOKUP($P2814,매칭테이블!$G:$J,2,0)*H2814</f>
        <v/>
      </c>
      <c r="M2814" s="36">
        <f>L2814-L2814*VLOOKUP($P2814,매칭테이블!$G:$J,3,0)</f>
        <v/>
      </c>
      <c r="N2814" s="36">
        <f>VLOOKUP($P2814,매칭테이블!$G:$J,4,0)*H2814</f>
        <v/>
      </c>
      <c r="O2814" s="52">
        <f>L2814/1.1</f>
        <v/>
      </c>
      <c r="P2814" s="36">
        <f>F2814&amp;E2814&amp;G2814&amp;J2814</f>
        <v/>
      </c>
    </row>
    <row r="2815">
      <c r="B2815" s="51" t="n">
        <v>44208</v>
      </c>
      <c r="C2815" s="36">
        <f>TEXT(B2815,"aaa")</f>
        <v/>
      </c>
      <c r="E2815" s="36">
        <f>INDEX(매칭테이블!C:C,MATCH(RD!G2815,매칭테이블!D:D,0))</f>
        <v/>
      </c>
      <c r="F2815" s="39" t="inlineStr">
        <is>
          <t>카페24</t>
        </is>
      </c>
      <c r="G2815" s="39" t="inlineStr">
        <is>
          <t>유즈 솔리드퍼퓸 - 30ml (11차 예약구매 진행중)향=스테이포에버 002 SOLID PERFUME, 세트 선택=best</t>
        </is>
      </c>
      <c r="H2815" s="39" t="n">
        <v>5</v>
      </c>
      <c r="I2815" s="36">
        <f>VLOOKUP(G2815,매칭테이블!D:E,2,0)</f>
        <v/>
      </c>
      <c r="J2815" s="39" t="n">
        <v>210101</v>
      </c>
      <c r="L2815" s="36">
        <f>VLOOKUP($P2815,매칭테이블!$G:$J,2,0)*H2815</f>
        <v/>
      </c>
      <c r="M2815" s="36">
        <f>L2815-L2815*VLOOKUP($P2815,매칭테이블!$G:$J,3,0)</f>
        <v/>
      </c>
      <c r="N2815" s="36">
        <f>VLOOKUP($P2815,매칭테이블!$G:$J,4,0)*H2815</f>
        <v/>
      </c>
      <c r="O2815" s="52">
        <f>L2815/1.1</f>
        <v/>
      </c>
      <c r="P2815" s="36">
        <f>F2815&amp;E2815&amp;G2815&amp;J2815</f>
        <v/>
      </c>
    </row>
    <row r="2816">
      <c r="B2816" s="51" t="n">
        <v>44208</v>
      </c>
      <c r="C2816" s="36">
        <f>TEXT(B2816,"aaa")</f>
        <v/>
      </c>
      <c r="E2816" s="36">
        <f>INDEX(매칭테이블!C:C,MATCH(RD!G2816,매칭테이블!D:D,0))</f>
        <v/>
      </c>
      <c r="F2816" s="39" t="inlineStr">
        <is>
          <t>카페24</t>
        </is>
      </c>
      <c r="G2816" s="39" t="inlineStr">
        <is>
          <t>유즈 솔리드퍼퓸 - 30ml (11차 예약구매 진행중)향=스테이포에버 002 SOLID PERFUME, 세트 선택=best 2개 (28% 할인)</t>
        </is>
      </c>
      <c r="H2816" s="39" t="n">
        <v>2</v>
      </c>
      <c r="I2816" s="36">
        <f>VLOOKUP(G2816,매칭테이블!D:E,2,0)</f>
        <v/>
      </c>
      <c r="J2816" s="39" t="n">
        <v>210101</v>
      </c>
      <c r="L2816" s="36">
        <f>VLOOKUP($P2816,매칭테이블!$G:$J,2,0)*H2816</f>
        <v/>
      </c>
      <c r="M2816" s="36">
        <f>L2816-L2816*VLOOKUP($P2816,매칭테이블!$G:$J,3,0)</f>
        <v/>
      </c>
      <c r="N2816" s="36">
        <f>VLOOKUP($P2816,매칭테이블!$G:$J,4,0)*H2816</f>
        <v/>
      </c>
      <c r="O2816" s="52">
        <f>L2816/1.1</f>
        <v/>
      </c>
      <c r="P2816" s="36">
        <f>F2816&amp;E2816&amp;G2816&amp;J2816</f>
        <v/>
      </c>
    </row>
    <row r="2817">
      <c r="B2817" s="51" t="n">
        <v>44208</v>
      </c>
      <c r="C2817" s="36">
        <f>TEXT(B2817,"aaa")</f>
        <v/>
      </c>
      <c r="E2817" s="36">
        <f>INDEX(매칭테이블!C:C,MATCH(RD!G2817,매칭테이블!D:D,0))</f>
        <v/>
      </c>
      <c r="F2817" s="39" t="inlineStr">
        <is>
          <t>카페24</t>
        </is>
      </c>
      <c r="G2817" s="39" t="inlineStr">
        <is>
          <t>유즈 솔리드퍼퓸 - 30ml (11차 예약구매 진행중)향=커플세트</t>
        </is>
      </c>
      <c r="H2817" s="39" t="n">
        <v>6</v>
      </c>
      <c r="I2817" s="36">
        <f>VLOOKUP(G2817,매칭테이블!D:E,2,0)</f>
        <v/>
      </c>
      <c r="J2817" s="39" t="n">
        <v>210101</v>
      </c>
      <c r="L2817" s="36">
        <f>VLOOKUP($P2817,매칭테이블!$G:$J,2,0)*H2817</f>
        <v/>
      </c>
      <c r="M2817" s="36">
        <f>L2817-L2817*VLOOKUP($P2817,매칭테이블!$G:$J,3,0)</f>
        <v/>
      </c>
      <c r="N2817" s="36">
        <f>VLOOKUP($P2817,매칭테이블!$G:$J,4,0)*H2817</f>
        <v/>
      </c>
      <c r="O2817" s="52">
        <f>L2817/1.1</f>
        <v/>
      </c>
      <c r="P2817" s="36">
        <f>F2817&amp;E2817&amp;G2817&amp;J2817</f>
        <v/>
      </c>
    </row>
    <row r="2818">
      <c r="B2818" s="51" t="n">
        <v>44208</v>
      </c>
      <c r="C2818" s="36">
        <f>TEXT(B2818,"aaa")</f>
        <v/>
      </c>
      <c r="E2818" s="36">
        <f>INDEX(매칭테이블!C:C,MATCH(RD!G2818,매칭테이블!D:D,0))</f>
        <v/>
      </c>
      <c r="F2818" s="39" t="inlineStr">
        <is>
          <t>카페24</t>
        </is>
      </c>
      <c r="G2818" s="39" t="inlineStr">
        <is>
          <t>유즈 솔리드퍼퓸 - 30ml (11차 예약구매 진행중)향=커플세트(이그나이트 + 스테이포에버), 세트 선택=1 SET</t>
        </is>
      </c>
      <c r="H2818" s="39" t="n">
        <v>2</v>
      </c>
      <c r="I2818" s="36">
        <f>VLOOKUP(G2818,매칭테이블!D:E,2,0)</f>
        <v/>
      </c>
      <c r="J2818" s="39" t="n">
        <v>210101</v>
      </c>
      <c r="L2818" s="36">
        <f>VLOOKUP($P2818,매칭테이블!$G:$J,2,0)*H2818</f>
        <v/>
      </c>
      <c r="M2818" s="36">
        <f>L2818-L2818*VLOOKUP($P2818,매칭테이블!$G:$J,3,0)</f>
        <v/>
      </c>
      <c r="N2818" s="36">
        <f>VLOOKUP($P2818,매칭테이블!$G:$J,4,0)*H2818</f>
        <v/>
      </c>
      <c r="O2818" s="52">
        <f>L2818/1.1</f>
        <v/>
      </c>
      <c r="P2818" s="36">
        <f>F2818&amp;E2818&amp;G2818&amp;J2818</f>
        <v/>
      </c>
    </row>
    <row r="2819">
      <c r="B2819" s="51" t="n">
        <v>44208</v>
      </c>
      <c r="C2819" s="36">
        <f>TEXT(B2819,"aaa")</f>
        <v/>
      </c>
      <c r="E2819" s="36">
        <f>INDEX(매칭테이블!C:C,MATCH(RD!G2819,매칭테이블!D:D,0))</f>
        <v/>
      </c>
      <c r="F2819" s="39" t="inlineStr">
        <is>
          <t>카페24</t>
        </is>
      </c>
      <c r="G2819" s="39" t="inlineStr">
        <is>
          <t>유즈 스테이포에버 솔리드퍼퓸 002제품선택=스테이포에버 1개</t>
        </is>
      </c>
      <c r="H2819" s="39" t="n">
        <v>197</v>
      </c>
      <c r="I2819" s="36">
        <f>VLOOKUP(G2819,매칭테이블!D:E,2,0)</f>
        <v/>
      </c>
      <c r="J2819" s="39" t="n">
        <v>210101</v>
      </c>
      <c r="L2819" s="36">
        <f>VLOOKUP($P2819,매칭테이블!$G:$J,2,0)*H2819</f>
        <v/>
      </c>
      <c r="M2819" s="36">
        <f>L2819-L2819*VLOOKUP($P2819,매칭테이블!$G:$J,3,0)</f>
        <v/>
      </c>
      <c r="N2819" s="36">
        <f>VLOOKUP($P2819,매칭테이블!$G:$J,4,0)*H2819</f>
        <v/>
      </c>
      <c r="O2819" s="52">
        <f>L2819/1.1</f>
        <v/>
      </c>
      <c r="P2819" s="36">
        <f>F2819&amp;E2819&amp;G2819&amp;J2819</f>
        <v/>
      </c>
    </row>
    <row r="2820">
      <c r="B2820" s="51" t="n">
        <v>44208</v>
      </c>
      <c r="C2820" s="36">
        <f>TEXT(B2820,"aaa")</f>
        <v/>
      </c>
      <c r="E2820" s="36">
        <f>INDEX(매칭테이블!C:C,MATCH(RD!G2820,매칭테이블!D:D,0))</f>
        <v/>
      </c>
      <c r="F2820" s="39" t="inlineStr">
        <is>
          <t>카페24</t>
        </is>
      </c>
      <c r="G2820" s="39" t="inlineStr">
        <is>
          <t>유즈 스테이포에버 솔리드퍼퓸 002제품선택=best</t>
        </is>
      </c>
      <c r="H2820" s="39" t="n">
        <v>55</v>
      </c>
      <c r="I2820" s="36">
        <f>VLOOKUP(G2820,매칭테이블!D:E,2,0)</f>
        <v/>
      </c>
      <c r="J2820" s="39" t="n">
        <v>210101</v>
      </c>
      <c r="L2820" s="36">
        <f>VLOOKUP($P2820,매칭테이블!$G:$J,2,0)*H2820</f>
        <v/>
      </c>
      <c r="M2820" s="36">
        <f>L2820-L2820*VLOOKUP($P2820,매칭테이블!$G:$J,3,0)</f>
        <v/>
      </c>
      <c r="N2820" s="36">
        <f>VLOOKUP($P2820,매칭테이블!$G:$J,4,0)*H2820</f>
        <v/>
      </c>
      <c r="O2820" s="52">
        <f>L2820/1.1</f>
        <v/>
      </c>
      <c r="P2820" s="36">
        <f>F2820&amp;E2820&amp;G2820&amp;J2820</f>
        <v/>
      </c>
    </row>
    <row r="2821">
      <c r="B2821" s="51" t="n">
        <v>44208</v>
      </c>
      <c r="C2821" s="36">
        <f>TEXT(B2821,"aaa")</f>
        <v/>
      </c>
      <c r="E2821" s="36">
        <f>INDEX(매칭테이블!C:C,MATCH(RD!G2821,매칭테이블!D:D,0))</f>
        <v/>
      </c>
      <c r="F2821" s="39" t="inlineStr">
        <is>
          <t>카페24</t>
        </is>
      </c>
      <c r="G2821" s="39" t="inlineStr">
        <is>
          <t>유즈 스테이포에버 솔리드퍼퓸 002제품선택=best스테이포에버 2개[28% 할인]</t>
        </is>
      </c>
      <c r="H2821" s="39" t="n">
        <v>59</v>
      </c>
      <c r="I2821" s="36">
        <f>VLOOKUP(G2821,매칭테이블!D:E,2,0)</f>
        <v/>
      </c>
      <c r="J2821" s="39" t="n">
        <v>210101</v>
      </c>
      <c r="L2821" s="36">
        <f>VLOOKUP($P2821,매칭테이블!$G:$J,2,0)*H2821</f>
        <v/>
      </c>
      <c r="M2821" s="36">
        <f>L2821-L2821*VLOOKUP($P2821,매칭테이블!$G:$J,3,0)</f>
        <v/>
      </c>
      <c r="N2821" s="36">
        <f>VLOOKUP($P2821,매칭테이블!$G:$J,4,0)*H2821</f>
        <v/>
      </c>
      <c r="O2821" s="52">
        <f>L2821/1.1</f>
        <v/>
      </c>
      <c r="P2821" s="36">
        <f>F2821&amp;E2821&amp;G2821&amp;J2821</f>
        <v/>
      </c>
    </row>
    <row r="2822">
      <c r="B2822" s="51" t="n">
        <v>44208</v>
      </c>
      <c r="C2822" s="36">
        <f>TEXT(B2822,"aaa")</f>
        <v/>
      </c>
      <c r="E2822" s="36">
        <f>INDEX(매칭테이블!C:C,MATCH(RD!G2822,매칭테이블!D:D,0))</f>
        <v/>
      </c>
      <c r="F2822" s="39" t="inlineStr">
        <is>
          <t>카페24</t>
        </is>
      </c>
      <c r="G2822" s="39" t="inlineStr">
        <is>
          <t>유즈 스테이포에버 솔리드퍼퓸 002제품선택=커플추천</t>
        </is>
      </c>
      <c r="H2822" s="39" t="n">
        <v>7</v>
      </c>
      <c r="I2822" s="36">
        <f>VLOOKUP(G2822,매칭테이블!D:E,2,0)</f>
        <v/>
      </c>
      <c r="J2822" s="39" t="n">
        <v>210101</v>
      </c>
      <c r="L2822" s="36">
        <f>VLOOKUP($P2822,매칭테이블!$G:$J,2,0)*H2822</f>
        <v/>
      </c>
      <c r="M2822" s="36">
        <f>L2822-L2822*VLOOKUP($P2822,매칭테이블!$G:$J,3,0)</f>
        <v/>
      </c>
      <c r="N2822" s="36">
        <f>VLOOKUP($P2822,매칭테이블!$G:$J,4,0)*H2822</f>
        <v/>
      </c>
      <c r="O2822" s="52">
        <f>L2822/1.1</f>
        <v/>
      </c>
      <c r="P2822" s="36">
        <f>F2822&amp;E2822&amp;G2822&amp;J2822</f>
        <v/>
      </c>
    </row>
    <row r="2823">
      <c r="B2823" s="51" t="n">
        <v>44208</v>
      </c>
      <c r="C2823" s="36">
        <f>TEXT(B2823,"aaa")</f>
        <v/>
      </c>
      <c r="E2823" s="36">
        <f>INDEX(매칭테이블!C:C,MATCH(RD!G2823,매칭테이블!D:D,0))</f>
        <v/>
      </c>
      <c r="F2823" s="39" t="inlineStr">
        <is>
          <t>카페24</t>
        </is>
      </c>
      <c r="G2823" s="39" t="inlineStr">
        <is>
          <t>유즈 스테이포에버 솔리드퍼퓸 002제품선택=커플추천스테이포에버 + 이그나이트 세트</t>
        </is>
      </c>
      <c r="H2823" s="39" t="n">
        <v>6</v>
      </c>
      <c r="I2823" s="36">
        <f>VLOOKUP(G2823,매칭테이블!D:E,2,0)</f>
        <v/>
      </c>
      <c r="J2823" s="39" t="n">
        <v>210101</v>
      </c>
      <c r="L2823" s="36">
        <f>VLOOKUP($P2823,매칭테이블!$G:$J,2,0)*H2823</f>
        <v/>
      </c>
      <c r="M2823" s="36">
        <f>L2823-L2823*VLOOKUP($P2823,매칭테이블!$G:$J,3,0)</f>
        <v/>
      </c>
      <c r="N2823" s="36">
        <f>VLOOKUP($P2823,매칭테이블!$G:$J,4,0)*H2823</f>
        <v/>
      </c>
      <c r="O2823" s="52">
        <f>L2823/1.1</f>
        <v/>
      </c>
      <c r="P2823" s="36">
        <f>F2823&amp;E2823&amp;G2823&amp;J2823</f>
        <v/>
      </c>
    </row>
    <row r="2824">
      <c r="B2824" s="51" t="n">
        <v>44208</v>
      </c>
      <c r="C2824" s="36">
        <f>TEXT(B2824,"aaa")</f>
        <v/>
      </c>
      <c r="E2824" s="36">
        <f>INDEX(매칭테이블!C:C,MATCH(RD!G2824,매칭테이블!D:D,0))</f>
        <v/>
      </c>
      <c r="F2824" s="39" t="inlineStr">
        <is>
          <t>카페24</t>
        </is>
      </c>
      <c r="G2824" s="39" t="inlineStr">
        <is>
          <t>유즈 스테이포에버 솔리드퍼퓸 002쇼핑백=선물용 쇼핑백</t>
        </is>
      </c>
      <c r="H2824" s="39" t="n">
        <v>10</v>
      </c>
      <c r="I2824" s="36">
        <f>VLOOKUP(G2824,매칭테이블!D:E,2,0)</f>
        <v/>
      </c>
      <c r="J2824" s="39" t="n">
        <v>210101</v>
      </c>
      <c r="L2824" s="36">
        <f>VLOOKUP($P2824,매칭테이블!$G:$J,2,0)*H2824</f>
        <v/>
      </c>
      <c r="M2824" s="36">
        <f>L2824-L2824*VLOOKUP($P2824,매칭테이블!$G:$J,3,0)</f>
        <v/>
      </c>
      <c r="N2824" s="36">
        <f>VLOOKUP($P2824,매칭테이블!$G:$J,4,0)*H2824</f>
        <v/>
      </c>
      <c r="O2824" s="52">
        <f>L2824/1.1</f>
        <v/>
      </c>
      <c r="P2824" s="36">
        <f>F2824&amp;E2824&amp;G2824&amp;J2824</f>
        <v/>
      </c>
    </row>
    <row r="2825">
      <c r="B2825" s="51" t="n">
        <v>44208</v>
      </c>
      <c r="C2825" s="36">
        <f>TEXT(B2825,"aaa")</f>
        <v/>
      </c>
      <c r="E2825" s="36">
        <f>INDEX(매칭테이블!C:C,MATCH(RD!G2825,매칭테이블!D:D,0))</f>
        <v/>
      </c>
      <c r="F2825" s="39" t="inlineStr">
        <is>
          <t>카페24</t>
        </is>
      </c>
      <c r="G2825" s="39" t="inlineStr">
        <is>
          <t>유즈 스테이포에버 솔리드퍼퓸 002제품선택=스테이포에버 솔리드퍼퓸</t>
        </is>
      </c>
      <c r="H2825" s="39" t="n">
        <v>1</v>
      </c>
      <c r="I2825" s="36">
        <f>VLOOKUP(G2825,매칭테이블!D:E,2,0)</f>
        <v/>
      </c>
      <c r="J2825" s="39" t="n">
        <v>210101</v>
      </c>
      <c r="L2825" s="36">
        <f>VLOOKUP($P2825,매칭테이블!$G:$J,2,0)*H2825</f>
        <v/>
      </c>
      <c r="M2825" s="36">
        <f>L2825-L2825*VLOOKUP($P2825,매칭테이블!$G:$J,3,0)</f>
        <v/>
      </c>
      <c r="N2825" s="36">
        <f>VLOOKUP($P2825,매칭테이블!$G:$J,4,0)*H2825</f>
        <v/>
      </c>
      <c r="O2825" s="52">
        <f>L2825/1.1</f>
        <v/>
      </c>
      <c r="P2825" s="36">
        <f>F2825&amp;E2825&amp;G2825&amp;J2825</f>
        <v/>
      </c>
    </row>
    <row r="2826">
      <c r="B2826" s="51" t="n">
        <v>44208</v>
      </c>
      <c r="C2826" s="36">
        <f>TEXT(B2826,"aaa")</f>
        <v/>
      </c>
      <c r="E2826" s="36">
        <f>INDEX(매칭테이블!C:C,MATCH(RD!G2826,매칭테이블!D:D,0))</f>
        <v/>
      </c>
      <c r="F2826" s="39" t="inlineStr">
        <is>
          <t>카페24</t>
        </is>
      </c>
      <c r="G2826" s="39" t="inlineStr">
        <is>
          <t>유즈 스테이포에버 솔리드퍼퓸 002 (11차 예약구매 진행중)제품선택=스테이포에버 1개</t>
        </is>
      </c>
      <c r="H2826" s="39" t="n">
        <v>178</v>
      </c>
      <c r="I2826" s="36">
        <f>VLOOKUP(G2826,매칭테이블!D:E,2,0)</f>
        <v/>
      </c>
      <c r="J2826" s="39" t="n">
        <v>210101</v>
      </c>
      <c r="L2826" s="36">
        <f>VLOOKUP($P2826,매칭테이블!$G:$J,2,0)*H2826</f>
        <v/>
      </c>
      <c r="M2826" s="36">
        <f>L2826-L2826*VLOOKUP($P2826,매칭테이블!$G:$J,3,0)</f>
        <v/>
      </c>
      <c r="N2826" s="36">
        <f>VLOOKUP($P2826,매칭테이블!$G:$J,4,0)*H2826</f>
        <v/>
      </c>
      <c r="O2826" s="52">
        <f>L2826/1.1</f>
        <v/>
      </c>
      <c r="P2826" s="36">
        <f>F2826&amp;E2826&amp;G2826&amp;J2826</f>
        <v/>
      </c>
    </row>
    <row r="2827">
      <c r="B2827" s="51" t="n">
        <v>44208</v>
      </c>
      <c r="C2827" s="36">
        <f>TEXT(B2827,"aaa")</f>
        <v/>
      </c>
      <c r="E2827" s="36">
        <f>INDEX(매칭테이블!C:C,MATCH(RD!G2827,매칭테이블!D:D,0))</f>
        <v/>
      </c>
      <c r="F2827" s="39" t="inlineStr">
        <is>
          <t>카페24</t>
        </is>
      </c>
      <c r="G2827" s="39" t="inlineStr">
        <is>
          <t>유즈 스테이포에버 솔리드퍼퓸 002 (11차 예약구매 진행중)제품선택=best</t>
        </is>
      </c>
      <c r="H2827" s="39" t="n">
        <v>43</v>
      </c>
      <c r="I2827" s="36">
        <f>VLOOKUP(G2827,매칭테이블!D:E,2,0)</f>
        <v/>
      </c>
      <c r="J2827" s="39" t="n">
        <v>210101</v>
      </c>
      <c r="L2827" s="36">
        <f>VLOOKUP($P2827,매칭테이블!$G:$J,2,0)*H2827</f>
        <v/>
      </c>
      <c r="M2827" s="36">
        <f>L2827-L2827*VLOOKUP($P2827,매칭테이블!$G:$J,3,0)</f>
        <v/>
      </c>
      <c r="N2827" s="36">
        <f>VLOOKUP($P2827,매칭테이블!$G:$J,4,0)*H2827</f>
        <v/>
      </c>
      <c r="O2827" s="52">
        <f>L2827/1.1</f>
        <v/>
      </c>
      <c r="P2827" s="36">
        <f>F2827&amp;E2827&amp;G2827&amp;J2827</f>
        <v/>
      </c>
    </row>
    <row r="2828">
      <c r="B2828" s="51" t="n">
        <v>44208</v>
      </c>
      <c r="C2828" s="36">
        <f>TEXT(B2828,"aaa")</f>
        <v/>
      </c>
      <c r="E2828" s="36">
        <f>INDEX(매칭테이블!C:C,MATCH(RD!G2828,매칭테이블!D:D,0))</f>
        <v/>
      </c>
      <c r="F2828" s="39" t="inlineStr">
        <is>
          <t>카페24</t>
        </is>
      </c>
      <c r="G2828" s="39" t="inlineStr">
        <is>
          <t>유즈 스테이포에버 솔리드퍼퓸 002 (11차 예약구매 진행중)제품선택=best스테이포에버 2개[28% 할인]</t>
        </is>
      </c>
      <c r="H2828" s="39" t="n">
        <v>56</v>
      </c>
      <c r="I2828" s="36">
        <f>VLOOKUP(G2828,매칭테이블!D:E,2,0)</f>
        <v/>
      </c>
      <c r="J2828" s="39" t="n">
        <v>210101</v>
      </c>
      <c r="L2828" s="36">
        <f>VLOOKUP($P2828,매칭테이블!$G:$J,2,0)*H2828</f>
        <v/>
      </c>
      <c r="M2828" s="36">
        <f>L2828-L2828*VLOOKUP($P2828,매칭테이블!$G:$J,3,0)</f>
        <v/>
      </c>
      <c r="N2828" s="36">
        <f>VLOOKUP($P2828,매칭테이블!$G:$J,4,0)*H2828</f>
        <v/>
      </c>
      <c r="O2828" s="52">
        <f>L2828/1.1</f>
        <v/>
      </c>
      <c r="P2828" s="36">
        <f>F2828&amp;E2828&amp;G2828&amp;J2828</f>
        <v/>
      </c>
    </row>
    <row r="2829">
      <c r="B2829" s="51" t="n">
        <v>44208</v>
      </c>
      <c r="C2829" s="36">
        <f>TEXT(B2829,"aaa")</f>
        <v/>
      </c>
      <c r="E2829" s="36">
        <f>INDEX(매칭테이블!C:C,MATCH(RD!G2829,매칭테이블!D:D,0))</f>
        <v/>
      </c>
      <c r="F2829" s="39" t="inlineStr">
        <is>
          <t>카페24</t>
        </is>
      </c>
      <c r="G2829" s="39" t="inlineStr">
        <is>
          <t>유즈 스테이포에버 솔리드퍼퓸 002 (11차 예약구매 진행중)제품선택=커플추천</t>
        </is>
      </c>
      <c r="H2829" s="39" t="n">
        <v>9</v>
      </c>
      <c r="I2829" s="36">
        <f>VLOOKUP(G2829,매칭테이블!D:E,2,0)</f>
        <v/>
      </c>
      <c r="J2829" s="39" t="n">
        <v>210101</v>
      </c>
      <c r="L2829" s="36">
        <f>VLOOKUP($P2829,매칭테이블!$G:$J,2,0)*H2829</f>
        <v/>
      </c>
      <c r="M2829" s="36">
        <f>L2829-L2829*VLOOKUP($P2829,매칭테이블!$G:$J,3,0)</f>
        <v/>
      </c>
      <c r="N2829" s="36">
        <f>VLOOKUP($P2829,매칭테이블!$G:$J,4,0)*H2829</f>
        <v/>
      </c>
      <c r="O2829" s="52">
        <f>L2829/1.1</f>
        <v/>
      </c>
      <c r="P2829" s="36">
        <f>F2829&amp;E2829&amp;G2829&amp;J2829</f>
        <v/>
      </c>
    </row>
    <row r="2830">
      <c r="B2830" s="51" t="n">
        <v>44208</v>
      </c>
      <c r="C2830" s="36">
        <f>TEXT(B2830,"aaa")</f>
        <v/>
      </c>
      <c r="E2830" s="36">
        <f>INDEX(매칭테이블!C:C,MATCH(RD!G2830,매칭테이블!D:D,0))</f>
        <v/>
      </c>
      <c r="F2830" s="39" t="inlineStr">
        <is>
          <t>카페24</t>
        </is>
      </c>
      <c r="G2830" s="39" t="inlineStr">
        <is>
          <t>유즈 스테이포에버 솔리드퍼퓸 002 (11차 예약구매 진행중)제품선택=커플추천스테이포에버 + 이그나이트 세트</t>
        </is>
      </c>
      <c r="H2830" s="39" t="n">
        <v>12</v>
      </c>
      <c r="I2830" s="36">
        <f>VLOOKUP(G2830,매칭테이블!D:E,2,0)</f>
        <v/>
      </c>
      <c r="J2830" s="39" t="n">
        <v>210101</v>
      </c>
      <c r="L2830" s="36">
        <f>VLOOKUP($P2830,매칭테이블!$G:$J,2,0)*H2830</f>
        <v/>
      </c>
      <c r="M2830" s="36">
        <f>L2830-L2830*VLOOKUP($P2830,매칭테이블!$G:$J,3,0)</f>
        <v/>
      </c>
      <c r="N2830" s="36">
        <f>VLOOKUP($P2830,매칭테이블!$G:$J,4,0)*H2830</f>
        <v/>
      </c>
      <c r="O2830" s="52">
        <f>L2830/1.1</f>
        <v/>
      </c>
      <c r="P2830" s="36">
        <f>F2830&amp;E2830&amp;G2830&amp;J2830</f>
        <v/>
      </c>
    </row>
    <row r="2831">
      <c r="B2831" s="51" t="n">
        <v>44208</v>
      </c>
      <c r="C2831" s="36">
        <f>TEXT(B2831,"aaa")</f>
        <v/>
      </c>
      <c r="E2831" s="36">
        <f>INDEX(매칭테이블!C:C,MATCH(RD!G2831,매칭테이블!D:D,0))</f>
        <v/>
      </c>
      <c r="F2831" s="39" t="inlineStr">
        <is>
          <t>카페24</t>
        </is>
      </c>
      <c r="G2831" s="39" t="inlineStr">
        <is>
          <t>유즈 스테이포에버 솔리드퍼퓸 002 (11차 예약구매 진행중)쇼핑백=선물용 쇼핑백</t>
        </is>
      </c>
      <c r="H2831" s="39" t="n">
        <v>7</v>
      </c>
      <c r="I2831" s="36">
        <f>VLOOKUP(G2831,매칭테이블!D:E,2,0)</f>
        <v/>
      </c>
      <c r="J2831" s="39" t="n">
        <v>210101</v>
      </c>
      <c r="L2831" s="36">
        <f>VLOOKUP($P2831,매칭테이블!$G:$J,2,0)*H2831</f>
        <v/>
      </c>
      <c r="M2831" s="36">
        <f>L2831-L2831*VLOOKUP($P2831,매칭테이블!$G:$J,3,0)</f>
        <v/>
      </c>
      <c r="N2831" s="36">
        <f>VLOOKUP($P2831,매칭테이블!$G:$J,4,0)*H2831</f>
        <v/>
      </c>
      <c r="O2831" s="52">
        <f>L2831/1.1</f>
        <v/>
      </c>
      <c r="P2831" s="36">
        <f>F2831&amp;E2831&amp;G2831&amp;J2831</f>
        <v/>
      </c>
    </row>
    <row r="2832">
      <c r="B2832" s="51" t="n">
        <v>44208</v>
      </c>
      <c r="C2832" s="36">
        <f>TEXT(B2832,"aaa")</f>
        <v/>
      </c>
      <c r="E2832" s="36">
        <f>INDEX(매칭테이블!C:C,MATCH(RD!G2832,매칭테이블!D:D,0))</f>
        <v/>
      </c>
      <c r="F2832" s="39" t="inlineStr">
        <is>
          <t>카페24</t>
        </is>
      </c>
      <c r="G2832" s="39" t="inlineStr">
        <is>
          <t>유즈 이그나이트 솔리드퍼퓸 001제품선택=이그나이트 솔리드퍼퓸 - 30ml</t>
        </is>
      </c>
      <c r="H2832" s="39" t="n">
        <v>6</v>
      </c>
      <c r="I2832" s="36">
        <f>VLOOKUP(G2832,매칭테이블!D:E,2,0)</f>
        <v/>
      </c>
      <c r="J2832" s="39" t="n">
        <v>210101</v>
      </c>
      <c r="L2832" s="36">
        <f>VLOOKUP($P2832,매칭테이블!$G:$J,2,0)*H2832</f>
        <v/>
      </c>
      <c r="M2832" s="36">
        <f>L2832-L2832*VLOOKUP($P2832,매칭테이블!$G:$J,3,0)</f>
        <v/>
      </c>
      <c r="N2832" s="36">
        <f>VLOOKUP($P2832,매칭테이블!$G:$J,4,0)*H2832</f>
        <v/>
      </c>
      <c r="O2832" s="52">
        <f>L2832/1.1</f>
        <v/>
      </c>
      <c r="P2832" s="36">
        <f>F2832&amp;E2832&amp;G2832&amp;J2832</f>
        <v/>
      </c>
    </row>
    <row r="2833">
      <c r="B2833" s="51" t="n">
        <v>44208</v>
      </c>
      <c r="C2833" s="36">
        <f>TEXT(B2833,"aaa")</f>
        <v/>
      </c>
      <c r="E2833" s="36">
        <f>INDEX(매칭테이블!C:C,MATCH(RD!G2833,매칭테이블!D:D,0))</f>
        <v/>
      </c>
      <c r="F2833" s="39" t="inlineStr">
        <is>
          <t>카페24</t>
        </is>
      </c>
      <c r="G2833" s="39" t="inlineStr">
        <is>
          <t>유즈 이그나이트 솔리드퍼퓸 001제품선택=이그나이트 2개 세트</t>
        </is>
      </c>
      <c r="H2833" s="39" t="n">
        <v>2</v>
      </c>
      <c r="I2833" s="36">
        <f>VLOOKUP(G2833,매칭테이블!D:E,2,0)</f>
        <v/>
      </c>
      <c r="J2833" s="39" t="n">
        <v>210101</v>
      </c>
      <c r="L2833" s="36">
        <f>VLOOKUP($P2833,매칭테이블!$G:$J,2,0)*H2833</f>
        <v/>
      </c>
      <c r="M2833" s="36">
        <f>L2833-L2833*VLOOKUP($P2833,매칭테이블!$G:$J,3,0)</f>
        <v/>
      </c>
      <c r="N2833" s="36">
        <f>VLOOKUP($P2833,매칭테이블!$G:$J,4,0)*H2833</f>
        <v/>
      </c>
      <c r="O2833" s="52">
        <f>L2833/1.1</f>
        <v/>
      </c>
      <c r="P2833" s="36">
        <f>F2833&amp;E2833&amp;G2833&amp;J2833</f>
        <v/>
      </c>
    </row>
    <row r="2834">
      <c r="B2834" s="51" t="n">
        <v>44209</v>
      </c>
      <c r="C2834" s="36">
        <f>TEXT(B2834,"aaa")</f>
        <v/>
      </c>
      <c r="E2834" s="36">
        <f>INDEX(매칭테이블!C:C,MATCH(RD!G2834,매칭테이블!D:D,0))</f>
        <v/>
      </c>
      <c r="F2834" s="39" t="inlineStr">
        <is>
          <t>카페24</t>
        </is>
      </c>
      <c r="G2834" s="39" t="inlineStr">
        <is>
          <t>SHOPPING BAG</t>
        </is>
      </c>
      <c r="H2834" s="39" t="n">
        <v>1</v>
      </c>
      <c r="I2834" s="36">
        <f>VLOOKUP(G2834,매칭테이블!D:E,2,0)</f>
        <v/>
      </c>
      <c r="J2834" s="39" t="n">
        <v>210101</v>
      </c>
      <c r="L2834" s="36">
        <f>VLOOKUP($P2834,매칭테이블!$G:$J,2,0)*H2834</f>
        <v/>
      </c>
      <c r="M2834" s="36">
        <f>L2834-L2834*VLOOKUP($P2834,매칭테이블!$G:$J,3,0)</f>
        <v/>
      </c>
      <c r="N2834" s="36">
        <f>VLOOKUP($P2834,매칭테이블!$G:$J,4,0)*H2834</f>
        <v/>
      </c>
      <c r="O2834" s="52">
        <f>L2834/1.1</f>
        <v/>
      </c>
      <c r="P2834" s="36">
        <f>F2834&amp;E2834&amp;G2834&amp;J2834</f>
        <v/>
      </c>
    </row>
    <row r="2835">
      <c r="B2835" s="51" t="n">
        <v>44209</v>
      </c>
      <c r="C2835" s="36">
        <f>TEXT(B2835,"aaa")</f>
        <v/>
      </c>
      <c r="E2835" s="36">
        <f>INDEX(매칭테이블!C:C,MATCH(RD!G2835,매칭테이블!D:D,0))</f>
        <v/>
      </c>
      <c r="F2835" s="39" t="inlineStr">
        <is>
          <t>카페24</t>
        </is>
      </c>
      <c r="G2835" s="39" t="inlineStr">
        <is>
          <t>솔리드퍼퓸 스테이포에버 002 30ml</t>
        </is>
      </c>
      <c r="H2835" s="39" t="n">
        <v>1</v>
      </c>
      <c r="I2835" s="36">
        <f>VLOOKUP(G2835,매칭테이블!D:E,2,0)</f>
        <v/>
      </c>
      <c r="J2835" s="39" t="n">
        <v>210101</v>
      </c>
      <c r="L2835" s="36">
        <f>VLOOKUP($P2835,매칭테이블!$G:$J,2,0)*H2835</f>
        <v/>
      </c>
      <c r="M2835" s="36">
        <f>L2835-L2835*VLOOKUP($P2835,매칭테이블!$G:$J,3,0)</f>
        <v/>
      </c>
      <c r="N2835" s="36">
        <f>VLOOKUP($P2835,매칭테이블!$G:$J,4,0)*H2835</f>
        <v/>
      </c>
      <c r="O2835" s="52">
        <f>L2835/1.1</f>
        <v/>
      </c>
      <c r="P2835" s="36">
        <f>F2835&amp;E2835&amp;G2835&amp;J2835</f>
        <v/>
      </c>
    </row>
    <row r="2836">
      <c r="B2836" s="51" t="n">
        <v>44209</v>
      </c>
      <c r="C2836" s="36">
        <f>TEXT(B2836,"aaa")</f>
        <v/>
      </c>
      <c r="E2836" s="36">
        <f>INDEX(매칭테이블!C:C,MATCH(RD!G2836,매칭테이블!D:D,0))</f>
        <v/>
      </c>
      <c r="F2836" s="39" t="inlineStr">
        <is>
          <t>카페24</t>
        </is>
      </c>
      <c r="G2836" s="39" t="inlineStr">
        <is>
          <t>유즈 솔리드퍼퓸 - 30ml향=이그나이트 001 SOLID PERFUME, 세트 선택=1개</t>
        </is>
      </c>
      <c r="H2836" s="39" t="n">
        <v>1</v>
      </c>
      <c r="I2836" s="36">
        <f>VLOOKUP(G2836,매칭테이블!D:E,2,0)</f>
        <v/>
      </c>
      <c r="J2836" s="39" t="n">
        <v>210101</v>
      </c>
      <c r="L2836" s="36">
        <f>VLOOKUP($P2836,매칭테이블!$G:$J,2,0)*H2836</f>
        <v/>
      </c>
      <c r="M2836" s="36">
        <f>L2836-L2836*VLOOKUP($P2836,매칭테이블!$G:$J,3,0)</f>
        <v/>
      </c>
      <c r="N2836" s="36">
        <f>VLOOKUP($P2836,매칭테이블!$G:$J,4,0)*H2836</f>
        <v/>
      </c>
      <c r="O2836" s="52">
        <f>L2836/1.1</f>
        <v/>
      </c>
      <c r="P2836" s="36">
        <f>F2836&amp;E2836&amp;G2836&amp;J2836</f>
        <v/>
      </c>
    </row>
    <row r="2837">
      <c r="B2837" s="51" t="n">
        <v>44209</v>
      </c>
      <c r="C2837" s="36">
        <f>TEXT(B2837,"aaa")</f>
        <v/>
      </c>
      <c r="E2837" s="36">
        <f>INDEX(매칭테이블!C:C,MATCH(RD!G2837,매칭테이블!D:D,0))</f>
        <v/>
      </c>
      <c r="F2837" s="39" t="inlineStr">
        <is>
          <t>카페24</t>
        </is>
      </c>
      <c r="G2837" s="39" t="inlineStr">
        <is>
          <t>유즈 솔리드퍼퓸 - 30ml향=스테이포에버 002 SOLID PERFUME, 세트 선택=1개</t>
        </is>
      </c>
      <c r="H2837" s="39" t="n">
        <v>12</v>
      </c>
      <c r="I2837" s="36">
        <f>VLOOKUP(G2837,매칭테이블!D:E,2,0)</f>
        <v/>
      </c>
      <c r="J2837" s="39" t="n">
        <v>210101</v>
      </c>
      <c r="L2837" s="36">
        <f>VLOOKUP($P2837,매칭테이블!$G:$J,2,0)*H2837</f>
        <v/>
      </c>
      <c r="M2837" s="36">
        <f>L2837-L2837*VLOOKUP($P2837,매칭테이블!$G:$J,3,0)</f>
        <v/>
      </c>
      <c r="N2837" s="36">
        <f>VLOOKUP($P2837,매칭테이블!$G:$J,4,0)*H2837</f>
        <v/>
      </c>
      <c r="O2837" s="52">
        <f>L2837/1.1</f>
        <v/>
      </c>
      <c r="P2837" s="36">
        <f>F2837&amp;E2837&amp;G2837&amp;J2837</f>
        <v/>
      </c>
    </row>
    <row r="2838">
      <c r="B2838" s="51" t="n">
        <v>44209</v>
      </c>
      <c r="C2838" s="36">
        <f>TEXT(B2838,"aaa")</f>
        <v/>
      </c>
      <c r="E2838" s="36">
        <f>INDEX(매칭테이블!C:C,MATCH(RD!G2838,매칭테이블!D:D,0))</f>
        <v/>
      </c>
      <c r="F2838" s="39" t="inlineStr">
        <is>
          <t>카페24</t>
        </is>
      </c>
      <c r="G2838" s="39" t="inlineStr">
        <is>
          <t>유즈 솔리드퍼퓸 - 30ml향=스테이포에버 002 SOLID PERFUME, 세트 선택=best</t>
        </is>
      </c>
      <c r="H2838" s="39" t="n">
        <v>6</v>
      </c>
      <c r="I2838" s="36">
        <f>VLOOKUP(G2838,매칭테이블!D:E,2,0)</f>
        <v/>
      </c>
      <c r="J2838" s="39" t="n">
        <v>210101</v>
      </c>
      <c r="L2838" s="36">
        <f>VLOOKUP($P2838,매칭테이블!$G:$J,2,0)*H2838</f>
        <v/>
      </c>
      <c r="M2838" s="36">
        <f>L2838-L2838*VLOOKUP($P2838,매칭테이블!$G:$J,3,0)</f>
        <v/>
      </c>
      <c r="N2838" s="36">
        <f>VLOOKUP($P2838,매칭테이블!$G:$J,4,0)*H2838</f>
        <v/>
      </c>
      <c r="O2838" s="52">
        <f>L2838/1.1</f>
        <v/>
      </c>
      <c r="P2838" s="36">
        <f>F2838&amp;E2838&amp;G2838&amp;J2838</f>
        <v/>
      </c>
    </row>
    <row r="2839">
      <c r="B2839" s="51" t="n">
        <v>44209</v>
      </c>
      <c r="C2839" s="36">
        <f>TEXT(B2839,"aaa")</f>
        <v/>
      </c>
      <c r="E2839" s="36">
        <f>INDEX(매칭테이블!C:C,MATCH(RD!G2839,매칭테이블!D:D,0))</f>
        <v/>
      </c>
      <c r="F2839" s="39" t="inlineStr">
        <is>
          <t>카페24</t>
        </is>
      </c>
      <c r="G2839" s="39" t="inlineStr">
        <is>
          <t>유즈 솔리드퍼퓸 - 30ml향=스테이포에버 002 SOLID PERFUME, 세트 선택=best 2개 (28% 할인)</t>
        </is>
      </c>
      <c r="H2839" s="39" t="n">
        <v>2</v>
      </c>
      <c r="I2839" s="36">
        <f>VLOOKUP(G2839,매칭테이블!D:E,2,0)</f>
        <v/>
      </c>
      <c r="J2839" s="39" t="n">
        <v>210101</v>
      </c>
      <c r="L2839" s="36">
        <f>VLOOKUP($P2839,매칭테이블!$G:$J,2,0)*H2839</f>
        <v/>
      </c>
      <c r="M2839" s="36">
        <f>L2839-L2839*VLOOKUP($P2839,매칭테이블!$G:$J,3,0)</f>
        <v/>
      </c>
      <c r="N2839" s="36">
        <f>VLOOKUP($P2839,매칭테이블!$G:$J,4,0)*H2839</f>
        <v/>
      </c>
      <c r="O2839" s="52">
        <f>L2839/1.1</f>
        <v/>
      </c>
      <c r="P2839" s="36">
        <f>F2839&amp;E2839&amp;G2839&amp;J2839</f>
        <v/>
      </c>
    </row>
    <row r="2840">
      <c r="B2840" s="51" t="n">
        <v>44209</v>
      </c>
      <c r="C2840" s="36">
        <f>TEXT(B2840,"aaa")</f>
        <v/>
      </c>
      <c r="E2840" s="36">
        <f>INDEX(매칭테이블!C:C,MATCH(RD!G2840,매칭테이블!D:D,0))</f>
        <v/>
      </c>
      <c r="F2840" s="39" t="inlineStr">
        <is>
          <t>카페24</t>
        </is>
      </c>
      <c r="G2840" s="39" t="inlineStr">
        <is>
          <t>유즈 솔리드퍼퓸 - 30ml향=커플세트</t>
        </is>
      </c>
      <c r="H2840" s="39" t="n">
        <v>8</v>
      </c>
      <c r="I2840" s="36">
        <f>VLOOKUP(G2840,매칭테이블!D:E,2,0)</f>
        <v/>
      </c>
      <c r="J2840" s="39" t="n">
        <v>210101</v>
      </c>
      <c r="L2840" s="36">
        <f>VLOOKUP($P2840,매칭테이블!$G:$J,2,0)*H2840</f>
        <v/>
      </c>
      <c r="M2840" s="36">
        <f>L2840-L2840*VLOOKUP($P2840,매칭테이블!$G:$J,3,0)</f>
        <v/>
      </c>
      <c r="N2840" s="36">
        <f>VLOOKUP($P2840,매칭테이블!$G:$J,4,0)*H2840</f>
        <v/>
      </c>
      <c r="O2840" s="52">
        <f>L2840/1.1</f>
        <v/>
      </c>
      <c r="P2840" s="36">
        <f>F2840&amp;E2840&amp;G2840&amp;J2840</f>
        <v/>
      </c>
    </row>
    <row r="2841">
      <c r="B2841" s="51" t="n">
        <v>44209</v>
      </c>
      <c r="C2841" s="36">
        <f>TEXT(B2841,"aaa")</f>
        <v/>
      </c>
      <c r="E2841" s="36">
        <f>INDEX(매칭테이블!C:C,MATCH(RD!G2841,매칭테이블!D:D,0))</f>
        <v/>
      </c>
      <c r="F2841" s="39" t="inlineStr">
        <is>
          <t>카페24</t>
        </is>
      </c>
      <c r="G2841" s="39" t="inlineStr">
        <is>
          <t>유즈 솔리드퍼퓸 - 30ml향=커플세트(이그나이트 + 스테이포에버), 세트 선택=1 SET</t>
        </is>
      </c>
      <c r="H2841" s="39" t="n">
        <v>6</v>
      </c>
      <c r="I2841" s="36">
        <f>VLOOKUP(G2841,매칭테이블!D:E,2,0)</f>
        <v/>
      </c>
      <c r="J2841" s="39" t="n">
        <v>210101</v>
      </c>
      <c r="L2841" s="36">
        <f>VLOOKUP($P2841,매칭테이블!$G:$J,2,0)*H2841</f>
        <v/>
      </c>
      <c r="M2841" s="36">
        <f>L2841-L2841*VLOOKUP($P2841,매칭테이블!$G:$J,3,0)</f>
        <v/>
      </c>
      <c r="N2841" s="36">
        <f>VLOOKUP($P2841,매칭테이블!$G:$J,4,0)*H2841</f>
        <v/>
      </c>
      <c r="O2841" s="52">
        <f>L2841/1.1</f>
        <v/>
      </c>
      <c r="P2841" s="36">
        <f>F2841&amp;E2841&amp;G2841&amp;J2841</f>
        <v/>
      </c>
    </row>
    <row r="2842">
      <c r="B2842" s="51" t="n">
        <v>44209</v>
      </c>
      <c r="C2842" s="36">
        <f>TEXT(B2842,"aaa")</f>
        <v/>
      </c>
      <c r="E2842" s="36">
        <f>INDEX(매칭테이블!C:C,MATCH(RD!G2842,매칭테이블!D:D,0))</f>
        <v/>
      </c>
      <c r="F2842" s="39" t="inlineStr">
        <is>
          <t>카페24</t>
        </is>
      </c>
      <c r="G2842" s="39" t="inlineStr">
        <is>
          <t>유즈 솔리드퍼퓸 - 30ml향=커플세트</t>
        </is>
      </c>
      <c r="H2842" s="39" t="n">
        <v>1</v>
      </c>
      <c r="I2842" s="36">
        <f>VLOOKUP(G2842,매칭테이블!D:E,2,0)</f>
        <v/>
      </c>
      <c r="J2842" s="39" t="n">
        <v>210101</v>
      </c>
      <c r="L2842" s="36">
        <f>VLOOKUP($P2842,매칭테이블!$G:$J,2,0)*H2842</f>
        <v/>
      </c>
      <c r="M2842" s="36">
        <f>L2842-L2842*VLOOKUP($P2842,매칭테이블!$G:$J,3,0)</f>
        <v/>
      </c>
      <c r="N2842" s="36">
        <f>VLOOKUP($P2842,매칭테이블!$G:$J,4,0)*H2842</f>
        <v/>
      </c>
      <c r="O2842" s="52">
        <f>L2842/1.1</f>
        <v/>
      </c>
      <c r="P2842" s="36">
        <f>F2842&amp;E2842&amp;G2842&amp;J2842</f>
        <v/>
      </c>
    </row>
    <row r="2843">
      <c r="B2843" s="51" t="n">
        <v>44209</v>
      </c>
      <c r="C2843" s="36">
        <f>TEXT(B2843,"aaa")</f>
        <v/>
      </c>
      <c r="E2843" s="36">
        <f>INDEX(매칭테이블!C:C,MATCH(RD!G2843,매칭테이블!D:D,0))</f>
        <v/>
      </c>
      <c r="F2843" s="39" t="inlineStr">
        <is>
          <t>카페24</t>
        </is>
      </c>
      <c r="G2843" s="39" t="inlineStr">
        <is>
          <t>유즈 솔리드퍼퓸 - 30ml향=커플세트(이그나이트 + 스테이포에버), 세트 선택=2 SET (42% 할인)</t>
        </is>
      </c>
      <c r="H2843" s="39" t="n">
        <v>1</v>
      </c>
      <c r="I2843" s="36">
        <f>VLOOKUP(G2843,매칭테이블!D:E,2,0)</f>
        <v/>
      </c>
      <c r="J2843" s="39" t="n">
        <v>210101</v>
      </c>
      <c r="L2843" s="36">
        <f>VLOOKUP($P2843,매칭테이블!$G:$J,2,0)*H2843</f>
        <v/>
      </c>
      <c r="M2843" s="36">
        <f>L2843-L2843*VLOOKUP($P2843,매칭테이블!$G:$J,3,0)</f>
        <v/>
      </c>
      <c r="N2843" s="36">
        <f>VLOOKUP($P2843,매칭테이블!$G:$J,4,0)*H2843</f>
        <v/>
      </c>
      <c r="O2843" s="52">
        <f>L2843/1.1</f>
        <v/>
      </c>
      <c r="P2843" s="36">
        <f>F2843&amp;E2843&amp;G2843&amp;J2843</f>
        <v/>
      </c>
    </row>
    <row r="2844">
      <c r="B2844" s="51" t="n">
        <v>44209</v>
      </c>
      <c r="C2844" s="36">
        <f>TEXT(B2844,"aaa")</f>
        <v/>
      </c>
      <c r="E2844" s="36">
        <f>INDEX(매칭테이블!C:C,MATCH(RD!G2844,매칭테이블!D:D,0))</f>
        <v/>
      </c>
      <c r="F2844" s="39" t="inlineStr">
        <is>
          <t>카페24</t>
        </is>
      </c>
      <c r="G2844" s="39" t="inlineStr">
        <is>
          <t>유즈 스테이포에버 솔리드퍼퓸 002제품선택=스테이포에버 1개</t>
        </is>
      </c>
      <c r="H2844" s="39" t="n">
        <v>417</v>
      </c>
      <c r="I2844" s="36">
        <f>VLOOKUP(G2844,매칭테이블!D:E,2,0)</f>
        <v/>
      </c>
      <c r="J2844" s="39" t="n">
        <v>210101</v>
      </c>
      <c r="L2844" s="36">
        <f>VLOOKUP($P2844,매칭테이블!$G:$J,2,0)*H2844</f>
        <v/>
      </c>
      <c r="M2844" s="36">
        <f>L2844-L2844*VLOOKUP($P2844,매칭테이블!$G:$J,3,0)</f>
        <v/>
      </c>
      <c r="N2844" s="36">
        <f>VLOOKUP($P2844,매칭테이블!$G:$J,4,0)*H2844</f>
        <v/>
      </c>
      <c r="O2844" s="52">
        <f>L2844/1.1</f>
        <v/>
      </c>
      <c r="P2844" s="36">
        <f>F2844&amp;E2844&amp;G2844&amp;J2844</f>
        <v/>
      </c>
    </row>
    <row r="2845">
      <c r="B2845" s="51" t="n">
        <v>44209</v>
      </c>
      <c r="C2845" s="36">
        <f>TEXT(B2845,"aaa")</f>
        <v/>
      </c>
      <c r="E2845" s="36">
        <f>INDEX(매칭테이블!C:C,MATCH(RD!G2845,매칭테이블!D:D,0))</f>
        <v/>
      </c>
      <c r="F2845" s="39" t="inlineStr">
        <is>
          <t>카페24</t>
        </is>
      </c>
      <c r="G2845" s="39" t="inlineStr">
        <is>
          <t>유즈 스테이포에버 솔리드퍼퓸 002제품선택=best</t>
        </is>
      </c>
      <c r="H2845" s="39" t="n">
        <v>87</v>
      </c>
      <c r="I2845" s="36">
        <f>VLOOKUP(G2845,매칭테이블!D:E,2,0)</f>
        <v/>
      </c>
      <c r="J2845" s="39" t="n">
        <v>210101</v>
      </c>
      <c r="L2845" s="36">
        <f>VLOOKUP($P2845,매칭테이블!$G:$J,2,0)*H2845</f>
        <v/>
      </c>
      <c r="M2845" s="36">
        <f>L2845-L2845*VLOOKUP($P2845,매칭테이블!$G:$J,3,0)</f>
        <v/>
      </c>
      <c r="N2845" s="36">
        <f>VLOOKUP($P2845,매칭테이블!$G:$J,4,0)*H2845</f>
        <v/>
      </c>
      <c r="O2845" s="52">
        <f>L2845/1.1</f>
        <v/>
      </c>
      <c r="P2845" s="36">
        <f>F2845&amp;E2845&amp;G2845&amp;J2845</f>
        <v/>
      </c>
    </row>
    <row r="2846">
      <c r="B2846" s="51" t="n">
        <v>44209</v>
      </c>
      <c r="C2846" s="36">
        <f>TEXT(B2846,"aaa")</f>
        <v/>
      </c>
      <c r="E2846" s="36">
        <f>INDEX(매칭테이블!C:C,MATCH(RD!G2846,매칭테이블!D:D,0))</f>
        <v/>
      </c>
      <c r="F2846" s="39" t="inlineStr">
        <is>
          <t>카페24</t>
        </is>
      </c>
      <c r="G2846" s="39" t="inlineStr">
        <is>
          <t>유즈 스테이포에버 솔리드퍼퓸 002제품선택=best스테이포에버 2개[28% 할인]</t>
        </is>
      </c>
      <c r="H2846" s="39" t="n">
        <v>120</v>
      </c>
      <c r="I2846" s="36">
        <f>VLOOKUP(G2846,매칭테이블!D:E,2,0)</f>
        <v/>
      </c>
      <c r="J2846" s="39" t="n">
        <v>210101</v>
      </c>
      <c r="L2846" s="36">
        <f>VLOOKUP($P2846,매칭테이블!$G:$J,2,0)*H2846</f>
        <v/>
      </c>
      <c r="M2846" s="36">
        <f>L2846-L2846*VLOOKUP($P2846,매칭테이블!$G:$J,3,0)</f>
        <v/>
      </c>
      <c r="N2846" s="36">
        <f>VLOOKUP($P2846,매칭테이블!$G:$J,4,0)*H2846</f>
        <v/>
      </c>
      <c r="O2846" s="52">
        <f>L2846/1.1</f>
        <v/>
      </c>
      <c r="P2846" s="36">
        <f>F2846&amp;E2846&amp;G2846&amp;J2846</f>
        <v/>
      </c>
    </row>
    <row r="2847">
      <c r="B2847" s="51" t="n">
        <v>44209</v>
      </c>
      <c r="C2847" s="36">
        <f>TEXT(B2847,"aaa")</f>
        <v/>
      </c>
      <c r="E2847" s="36">
        <f>INDEX(매칭테이블!C:C,MATCH(RD!G2847,매칭테이블!D:D,0))</f>
        <v/>
      </c>
      <c r="F2847" s="39" t="inlineStr">
        <is>
          <t>카페24</t>
        </is>
      </c>
      <c r="G2847" s="39" t="inlineStr">
        <is>
          <t>유즈 스테이포에버 솔리드퍼퓸 002제품선택=커플추천</t>
        </is>
      </c>
      <c r="H2847" s="39" t="n">
        <v>12</v>
      </c>
      <c r="I2847" s="36">
        <f>VLOOKUP(G2847,매칭테이블!D:E,2,0)</f>
        <v/>
      </c>
      <c r="J2847" s="39" t="n">
        <v>210101</v>
      </c>
      <c r="L2847" s="36">
        <f>VLOOKUP($P2847,매칭테이블!$G:$J,2,0)*H2847</f>
        <v/>
      </c>
      <c r="M2847" s="36">
        <f>L2847-L2847*VLOOKUP($P2847,매칭테이블!$G:$J,3,0)</f>
        <v/>
      </c>
      <c r="N2847" s="36">
        <f>VLOOKUP($P2847,매칭테이블!$G:$J,4,0)*H2847</f>
        <v/>
      </c>
      <c r="O2847" s="52">
        <f>L2847/1.1</f>
        <v/>
      </c>
      <c r="P2847" s="36">
        <f>F2847&amp;E2847&amp;G2847&amp;J2847</f>
        <v/>
      </c>
    </row>
    <row r="2848">
      <c r="B2848" s="51" t="n">
        <v>44209</v>
      </c>
      <c r="C2848" s="36">
        <f>TEXT(B2848,"aaa")</f>
        <v/>
      </c>
      <c r="E2848" s="36">
        <f>INDEX(매칭테이블!C:C,MATCH(RD!G2848,매칭테이블!D:D,0))</f>
        <v/>
      </c>
      <c r="F2848" s="39" t="inlineStr">
        <is>
          <t>카페24</t>
        </is>
      </c>
      <c r="G2848" s="39" t="inlineStr">
        <is>
          <t>유즈 스테이포에버 솔리드퍼퓸 002제품선택=커플추천스테이포에버 + 이그나이트 세트</t>
        </is>
      </c>
      <c r="H2848" s="39" t="n">
        <v>24</v>
      </c>
      <c r="I2848" s="36">
        <f>VLOOKUP(G2848,매칭테이블!D:E,2,0)</f>
        <v/>
      </c>
      <c r="J2848" s="39" t="n">
        <v>210101</v>
      </c>
      <c r="L2848" s="36">
        <f>VLOOKUP($P2848,매칭테이블!$G:$J,2,0)*H2848</f>
        <v/>
      </c>
      <c r="M2848" s="36">
        <f>L2848-L2848*VLOOKUP($P2848,매칭테이블!$G:$J,3,0)</f>
        <v/>
      </c>
      <c r="N2848" s="36">
        <f>VLOOKUP($P2848,매칭테이블!$G:$J,4,0)*H2848</f>
        <v/>
      </c>
      <c r="O2848" s="52">
        <f>L2848/1.1</f>
        <v/>
      </c>
      <c r="P2848" s="36">
        <f>F2848&amp;E2848&amp;G2848&amp;J2848</f>
        <v/>
      </c>
    </row>
    <row r="2849">
      <c r="B2849" s="51" t="n">
        <v>44209</v>
      </c>
      <c r="C2849" s="36">
        <f>TEXT(B2849,"aaa")</f>
        <v/>
      </c>
      <c r="E2849" s="36">
        <f>INDEX(매칭테이블!C:C,MATCH(RD!G2849,매칭테이블!D:D,0))</f>
        <v/>
      </c>
      <c r="F2849" s="39" t="inlineStr">
        <is>
          <t>카페24</t>
        </is>
      </c>
      <c r="G2849" s="39" t="inlineStr">
        <is>
          <t>유즈 스테이포에버 솔리드퍼퓸 002쇼핑백=선물용 쇼핑백</t>
        </is>
      </c>
      <c r="H2849" s="39" t="n">
        <v>20</v>
      </c>
      <c r="I2849" s="36">
        <f>VLOOKUP(G2849,매칭테이블!D:E,2,0)</f>
        <v/>
      </c>
      <c r="J2849" s="39" t="n">
        <v>210101</v>
      </c>
      <c r="L2849" s="36">
        <f>VLOOKUP($P2849,매칭테이블!$G:$J,2,0)*H2849</f>
        <v/>
      </c>
      <c r="M2849" s="36">
        <f>L2849-L2849*VLOOKUP($P2849,매칭테이블!$G:$J,3,0)</f>
        <v/>
      </c>
      <c r="N2849" s="36">
        <f>VLOOKUP($P2849,매칭테이블!$G:$J,4,0)*H2849</f>
        <v/>
      </c>
      <c r="O2849" s="52">
        <f>L2849/1.1</f>
        <v/>
      </c>
      <c r="P2849" s="36">
        <f>F2849&amp;E2849&amp;G2849&amp;J2849</f>
        <v/>
      </c>
    </row>
    <row r="2850">
      <c r="B2850" s="51" t="n">
        <v>44209</v>
      </c>
      <c r="C2850" s="36">
        <f>TEXT(B2850,"aaa")</f>
        <v/>
      </c>
      <c r="E2850" s="36">
        <f>INDEX(매칭테이블!C:C,MATCH(RD!G2850,매칭테이블!D:D,0))</f>
        <v/>
      </c>
      <c r="F2850" s="39" t="inlineStr">
        <is>
          <t>카페24</t>
        </is>
      </c>
      <c r="G2850" s="39" t="inlineStr">
        <is>
          <t>유즈 스테이포에버 솔리드퍼퓸 002 (11차 예약구매 진행중)제품선택=스테이포에버 1개</t>
        </is>
      </c>
      <c r="H2850" s="39" t="n">
        <v>6</v>
      </c>
      <c r="I2850" s="36">
        <f>VLOOKUP(G2850,매칭테이블!D:E,2,0)</f>
        <v/>
      </c>
      <c r="J2850" s="39" t="n">
        <v>210101</v>
      </c>
      <c r="L2850" s="36">
        <f>VLOOKUP($P2850,매칭테이블!$G:$J,2,0)*H2850</f>
        <v/>
      </c>
      <c r="M2850" s="36">
        <f>L2850-L2850*VLOOKUP($P2850,매칭테이블!$G:$J,3,0)</f>
        <v/>
      </c>
      <c r="N2850" s="36">
        <f>VLOOKUP($P2850,매칭테이블!$G:$J,4,0)*H2850</f>
        <v/>
      </c>
      <c r="O2850" s="52">
        <f>L2850/1.1</f>
        <v/>
      </c>
      <c r="P2850" s="36">
        <f>F2850&amp;E2850&amp;G2850&amp;J2850</f>
        <v/>
      </c>
    </row>
    <row r="2851">
      <c r="B2851" s="51" t="n">
        <v>44209</v>
      </c>
      <c r="C2851" s="36">
        <f>TEXT(B2851,"aaa")</f>
        <v/>
      </c>
      <c r="E2851" s="36">
        <f>INDEX(매칭테이블!C:C,MATCH(RD!G2851,매칭테이블!D:D,0))</f>
        <v/>
      </c>
      <c r="F2851" s="39" t="inlineStr">
        <is>
          <t>카페24</t>
        </is>
      </c>
      <c r="G2851" s="39" t="inlineStr">
        <is>
          <t>유즈 스테이포에버 솔리드퍼퓸 002 (11차 예약구매 진행중)제품선택=best</t>
        </is>
      </c>
      <c r="H2851" s="39" t="n">
        <v>1</v>
      </c>
      <c r="I2851" s="36">
        <f>VLOOKUP(G2851,매칭테이블!D:E,2,0)</f>
        <v/>
      </c>
      <c r="J2851" s="39" t="n">
        <v>210101</v>
      </c>
      <c r="L2851" s="36">
        <f>VLOOKUP($P2851,매칭테이블!$G:$J,2,0)*H2851</f>
        <v/>
      </c>
      <c r="M2851" s="36">
        <f>L2851-L2851*VLOOKUP($P2851,매칭테이블!$G:$J,3,0)</f>
        <v/>
      </c>
      <c r="N2851" s="36">
        <f>VLOOKUP($P2851,매칭테이블!$G:$J,4,0)*H2851</f>
        <v/>
      </c>
      <c r="O2851" s="52">
        <f>L2851/1.1</f>
        <v/>
      </c>
      <c r="P2851" s="36">
        <f>F2851&amp;E2851&amp;G2851&amp;J2851</f>
        <v/>
      </c>
    </row>
    <row r="2852">
      <c r="B2852" s="51" t="n">
        <v>44209</v>
      </c>
      <c r="C2852" s="36">
        <f>TEXT(B2852,"aaa")</f>
        <v/>
      </c>
      <c r="E2852" s="36">
        <f>INDEX(매칭테이블!C:C,MATCH(RD!G2852,매칭테이블!D:D,0))</f>
        <v/>
      </c>
      <c r="F2852" s="39" t="inlineStr">
        <is>
          <t>카페24</t>
        </is>
      </c>
      <c r="G2852" s="39" t="inlineStr">
        <is>
          <t>유즈 스테이포에버 솔리드퍼퓸 002 (11차 예약구매 진행중)제품선택=커플추천</t>
        </is>
      </c>
      <c r="H2852" s="39" t="n">
        <v>1</v>
      </c>
      <c r="I2852" s="36">
        <f>VLOOKUP(G2852,매칭테이블!D:E,2,0)</f>
        <v/>
      </c>
      <c r="J2852" s="39" t="n">
        <v>210101</v>
      </c>
      <c r="L2852" s="36">
        <f>VLOOKUP($P2852,매칭테이블!$G:$J,2,0)*H2852</f>
        <v/>
      </c>
      <c r="M2852" s="36">
        <f>L2852-L2852*VLOOKUP($P2852,매칭테이블!$G:$J,3,0)</f>
        <v/>
      </c>
      <c r="N2852" s="36">
        <f>VLOOKUP($P2852,매칭테이블!$G:$J,4,0)*H2852</f>
        <v/>
      </c>
      <c r="O2852" s="52">
        <f>L2852/1.1</f>
        <v/>
      </c>
      <c r="P2852" s="36">
        <f>F2852&amp;E2852&amp;G2852&amp;J2852</f>
        <v/>
      </c>
    </row>
    <row r="2853">
      <c r="B2853" s="51" t="n">
        <v>44209</v>
      </c>
      <c r="C2853" s="36">
        <f>TEXT(B2853,"aaa")</f>
        <v/>
      </c>
      <c r="E2853" s="36">
        <f>INDEX(매칭테이블!C:C,MATCH(RD!G2853,매칭테이블!D:D,0))</f>
        <v/>
      </c>
      <c r="F2853" s="39" t="inlineStr">
        <is>
          <t>카페24</t>
        </is>
      </c>
      <c r="G2853" s="39" t="inlineStr">
        <is>
          <t>유즈 스테이포에버 솔리드퍼퓸 002 (11차 예약구매 진행중)쇼핑백=선물용 쇼핑백</t>
        </is>
      </c>
      <c r="H2853" s="39" t="n">
        <v>2</v>
      </c>
      <c r="I2853" s="36">
        <f>VLOOKUP(G2853,매칭테이블!D:E,2,0)</f>
        <v/>
      </c>
      <c r="J2853" s="39" t="n">
        <v>210101</v>
      </c>
      <c r="L2853" s="36">
        <f>VLOOKUP($P2853,매칭테이블!$G:$J,2,0)*H2853</f>
        <v/>
      </c>
      <c r="M2853" s="36">
        <f>L2853-L2853*VLOOKUP($P2853,매칭테이블!$G:$J,3,0)</f>
        <v/>
      </c>
      <c r="N2853" s="36">
        <f>VLOOKUP($P2853,매칭테이블!$G:$J,4,0)*H2853</f>
        <v/>
      </c>
      <c r="O2853" s="52">
        <f>L2853/1.1</f>
        <v/>
      </c>
      <c r="P2853" s="36">
        <f>F2853&amp;E2853&amp;G2853&amp;J2853</f>
        <v/>
      </c>
    </row>
    <row r="2854">
      <c r="B2854" s="51" t="n">
        <v>44209</v>
      </c>
      <c r="C2854" s="36">
        <f>TEXT(B2854,"aaa")</f>
        <v/>
      </c>
      <c r="E2854" s="36">
        <f>INDEX(매칭테이블!C:C,MATCH(RD!G2854,매칭테이블!D:D,0))</f>
        <v/>
      </c>
      <c r="F2854" s="39" t="inlineStr">
        <is>
          <t>카페24</t>
        </is>
      </c>
      <c r="G2854" s="39" t="inlineStr">
        <is>
          <t>유즈 이그나이트 솔리드퍼퓸 001제품선택=이그나이트 솔리드퍼퓸 - 30ml</t>
        </is>
      </c>
      <c r="H2854" s="39" t="n">
        <v>5</v>
      </c>
      <c r="I2854" s="36">
        <f>VLOOKUP(G2854,매칭테이블!D:E,2,0)</f>
        <v/>
      </c>
      <c r="J2854" s="39" t="n">
        <v>210101</v>
      </c>
      <c r="L2854" s="36">
        <f>VLOOKUP($P2854,매칭테이블!$G:$J,2,0)*H2854</f>
        <v/>
      </c>
      <c r="M2854" s="36">
        <f>L2854-L2854*VLOOKUP($P2854,매칭테이블!$G:$J,3,0)</f>
        <v/>
      </c>
      <c r="N2854" s="36">
        <f>VLOOKUP($P2854,매칭테이블!$G:$J,4,0)*H2854</f>
        <v/>
      </c>
      <c r="O2854" s="52">
        <f>L2854/1.1</f>
        <v/>
      </c>
      <c r="P2854" s="36">
        <f>F2854&amp;E2854&amp;G2854&amp;J2854</f>
        <v/>
      </c>
    </row>
    <row r="2855">
      <c r="B2855" s="51" t="n">
        <v>44209</v>
      </c>
      <c r="C2855" s="36">
        <f>TEXT(B2855,"aaa")</f>
        <v/>
      </c>
      <c r="E2855" s="36">
        <f>INDEX(매칭테이블!C:C,MATCH(RD!G2855,매칭테이블!D:D,0))</f>
        <v/>
      </c>
      <c r="F2855" s="39" t="inlineStr">
        <is>
          <t>카페24</t>
        </is>
      </c>
      <c r="G2855" s="39" t="inlineStr">
        <is>
          <t>유즈 이그나이트 솔리드퍼퓸 001제품선택=이그나이트 2개 세트</t>
        </is>
      </c>
      <c r="H2855" s="39" t="n">
        <v>2</v>
      </c>
      <c r="I2855" s="36">
        <f>VLOOKUP(G2855,매칭테이블!D:E,2,0)</f>
        <v/>
      </c>
      <c r="J2855" s="39" t="n">
        <v>210101</v>
      </c>
      <c r="L2855" s="36">
        <f>VLOOKUP($P2855,매칭테이블!$G:$J,2,0)*H2855</f>
        <v/>
      </c>
      <c r="M2855" s="36">
        <f>L2855-L2855*VLOOKUP($P2855,매칭테이블!$G:$J,3,0)</f>
        <v/>
      </c>
      <c r="N2855" s="36">
        <f>VLOOKUP($P2855,매칭테이블!$G:$J,4,0)*H2855</f>
        <v/>
      </c>
      <c r="O2855" s="52">
        <f>L2855/1.1</f>
        <v/>
      </c>
      <c r="P2855" s="36">
        <f>F2855&amp;E2855&amp;G2855&amp;J2855</f>
        <v/>
      </c>
    </row>
    <row r="2856">
      <c r="B2856" s="51" t="n">
        <v>44210</v>
      </c>
      <c r="C2856" s="36">
        <f>TEXT(B2856,"aaa")</f>
        <v/>
      </c>
      <c r="E2856" s="36">
        <f>INDEX(매칭테이블!C:C,MATCH(RD!G2856,매칭테이블!D:D,0))</f>
        <v/>
      </c>
      <c r="F2856" s="39" t="inlineStr">
        <is>
          <t>카페24</t>
        </is>
      </c>
      <c r="G2856" s="39" t="inlineStr">
        <is>
          <t>유즈 솔리드퍼퓸 - 30ml향=이그나이트 001 SOLID PERFUME, 세트 선택=1개</t>
        </is>
      </c>
      <c r="H2856" s="39" t="n">
        <v>1</v>
      </c>
      <c r="I2856" s="36">
        <f>VLOOKUP(G2856,매칭테이블!D:E,2,0)</f>
        <v/>
      </c>
      <c r="J2856" s="39" t="n">
        <v>210101</v>
      </c>
      <c r="L2856" s="36">
        <f>VLOOKUP($P2856,매칭테이블!$G:$J,2,0)*H2856</f>
        <v/>
      </c>
      <c r="M2856" s="36">
        <f>L2856-L2856*VLOOKUP($P2856,매칭테이블!$G:$J,3,0)</f>
        <v/>
      </c>
      <c r="N2856" s="36">
        <f>VLOOKUP($P2856,매칭테이블!$G:$J,4,0)*H2856</f>
        <v/>
      </c>
      <c r="O2856" s="52">
        <f>L2856/1.1</f>
        <v/>
      </c>
      <c r="P2856" s="36">
        <f>F2856&amp;E2856&amp;G2856&amp;J2856</f>
        <v/>
      </c>
    </row>
    <row r="2857">
      <c r="B2857" s="51" t="n">
        <v>44210</v>
      </c>
      <c r="C2857" s="36">
        <f>TEXT(B2857,"aaa")</f>
        <v/>
      </c>
      <c r="E2857" s="36">
        <f>INDEX(매칭테이블!C:C,MATCH(RD!G2857,매칭테이블!D:D,0))</f>
        <v/>
      </c>
      <c r="F2857" s="39" t="inlineStr">
        <is>
          <t>카페24</t>
        </is>
      </c>
      <c r="G2857" s="39" t="inlineStr">
        <is>
          <t>유즈 솔리드퍼퓸 - 30ml향=스테이포에버 002 SOLID PERFUME, 세트 선택=1개</t>
        </is>
      </c>
      <c r="H2857" s="39" t="n">
        <v>10</v>
      </c>
      <c r="I2857" s="36">
        <f>VLOOKUP(G2857,매칭테이블!D:E,2,0)</f>
        <v/>
      </c>
      <c r="J2857" s="39" t="n">
        <v>210101</v>
      </c>
      <c r="L2857" s="36">
        <f>VLOOKUP($P2857,매칭테이블!$G:$J,2,0)*H2857</f>
        <v/>
      </c>
      <c r="M2857" s="36">
        <f>L2857-L2857*VLOOKUP($P2857,매칭테이블!$G:$J,3,0)</f>
        <v/>
      </c>
      <c r="N2857" s="36">
        <f>VLOOKUP($P2857,매칭테이블!$G:$J,4,0)*H2857</f>
        <v/>
      </c>
      <c r="O2857" s="52">
        <f>L2857/1.1</f>
        <v/>
      </c>
      <c r="P2857" s="36">
        <f>F2857&amp;E2857&amp;G2857&amp;J2857</f>
        <v/>
      </c>
    </row>
    <row r="2858">
      <c r="B2858" s="51" t="n">
        <v>44210</v>
      </c>
      <c r="C2858" s="36">
        <f>TEXT(B2858,"aaa")</f>
        <v/>
      </c>
      <c r="E2858" s="36">
        <f>INDEX(매칭테이블!C:C,MATCH(RD!G2858,매칭테이블!D:D,0))</f>
        <v/>
      </c>
      <c r="F2858" s="39" t="inlineStr">
        <is>
          <t>카페24</t>
        </is>
      </c>
      <c r="G2858" s="39" t="inlineStr">
        <is>
          <t>유즈 솔리드퍼퓸 - 30ml향=스테이포에버 002 SOLID PERFUME, 세트 선택=best</t>
        </is>
      </c>
      <c r="H2858" s="39" t="n">
        <v>1</v>
      </c>
      <c r="I2858" s="36">
        <f>VLOOKUP(G2858,매칭테이블!D:E,2,0)</f>
        <v/>
      </c>
      <c r="J2858" s="39" t="n">
        <v>210101</v>
      </c>
      <c r="L2858" s="36">
        <f>VLOOKUP($P2858,매칭테이블!$G:$J,2,0)*H2858</f>
        <v/>
      </c>
      <c r="M2858" s="36">
        <f>L2858-L2858*VLOOKUP($P2858,매칭테이블!$G:$J,3,0)</f>
        <v/>
      </c>
      <c r="N2858" s="36">
        <f>VLOOKUP($P2858,매칭테이블!$G:$J,4,0)*H2858</f>
        <v/>
      </c>
      <c r="O2858" s="52">
        <f>L2858/1.1</f>
        <v/>
      </c>
      <c r="P2858" s="36">
        <f>F2858&amp;E2858&amp;G2858&amp;J2858</f>
        <v/>
      </c>
    </row>
    <row r="2859">
      <c r="B2859" s="51" t="n">
        <v>44210</v>
      </c>
      <c r="C2859" s="36">
        <f>TEXT(B2859,"aaa")</f>
        <v/>
      </c>
      <c r="E2859" s="36">
        <f>INDEX(매칭테이블!C:C,MATCH(RD!G2859,매칭테이블!D:D,0))</f>
        <v/>
      </c>
      <c r="F2859" s="39" t="inlineStr">
        <is>
          <t>카페24</t>
        </is>
      </c>
      <c r="G2859" s="39" t="inlineStr">
        <is>
          <t>유즈 솔리드퍼퓸 - 30ml향=스테이포에버 002 SOLID PERFUME, 세트 선택=best 2개 (28% 할인)</t>
        </is>
      </c>
      <c r="H2859" s="39" t="n">
        <v>4</v>
      </c>
      <c r="I2859" s="36">
        <f>VLOOKUP(G2859,매칭테이블!D:E,2,0)</f>
        <v/>
      </c>
      <c r="J2859" s="39" t="n">
        <v>210101</v>
      </c>
      <c r="L2859" s="36">
        <f>VLOOKUP($P2859,매칭테이블!$G:$J,2,0)*H2859</f>
        <v/>
      </c>
      <c r="M2859" s="36">
        <f>L2859-L2859*VLOOKUP($P2859,매칭테이블!$G:$J,3,0)</f>
        <v/>
      </c>
      <c r="N2859" s="36">
        <f>VLOOKUP($P2859,매칭테이블!$G:$J,4,0)*H2859</f>
        <v/>
      </c>
      <c r="O2859" s="52">
        <f>L2859/1.1</f>
        <v/>
      </c>
      <c r="P2859" s="36">
        <f>F2859&amp;E2859&amp;G2859&amp;J2859</f>
        <v/>
      </c>
    </row>
    <row r="2860">
      <c r="B2860" s="51" t="n">
        <v>44210</v>
      </c>
      <c r="C2860" s="36">
        <f>TEXT(B2860,"aaa")</f>
        <v/>
      </c>
      <c r="E2860" s="36">
        <f>INDEX(매칭테이블!C:C,MATCH(RD!G2860,매칭테이블!D:D,0))</f>
        <v/>
      </c>
      <c r="F2860" s="39" t="inlineStr">
        <is>
          <t>카페24</t>
        </is>
      </c>
      <c r="G2860" s="39" t="inlineStr">
        <is>
          <t>유즈 솔리드퍼퓸 - 30ml향=커플세트</t>
        </is>
      </c>
      <c r="H2860" s="39" t="n">
        <v>7</v>
      </c>
      <c r="I2860" s="36">
        <f>VLOOKUP(G2860,매칭테이블!D:E,2,0)</f>
        <v/>
      </c>
      <c r="J2860" s="39" t="n">
        <v>210101</v>
      </c>
      <c r="L2860" s="36">
        <f>VLOOKUP($P2860,매칭테이블!$G:$J,2,0)*H2860</f>
        <v/>
      </c>
      <c r="M2860" s="36">
        <f>L2860-L2860*VLOOKUP($P2860,매칭테이블!$G:$J,3,0)</f>
        <v/>
      </c>
      <c r="N2860" s="36">
        <f>VLOOKUP($P2860,매칭테이블!$G:$J,4,0)*H2860</f>
        <v/>
      </c>
      <c r="O2860" s="52">
        <f>L2860/1.1</f>
        <v/>
      </c>
      <c r="P2860" s="36">
        <f>F2860&amp;E2860&amp;G2860&amp;J2860</f>
        <v/>
      </c>
    </row>
    <row r="2861">
      <c r="B2861" s="51" t="n">
        <v>44210</v>
      </c>
      <c r="C2861" s="36">
        <f>TEXT(B2861,"aaa")</f>
        <v/>
      </c>
      <c r="E2861" s="36">
        <f>INDEX(매칭테이블!C:C,MATCH(RD!G2861,매칭테이블!D:D,0))</f>
        <v/>
      </c>
      <c r="F2861" s="39" t="inlineStr">
        <is>
          <t>카페24</t>
        </is>
      </c>
      <c r="G2861" s="39" t="inlineStr">
        <is>
          <t>유즈 솔리드퍼퓸 - 30ml향=커플세트(이그나이트 + 스테이포에버), 세트 선택=1 SET</t>
        </is>
      </c>
      <c r="H2861" s="39" t="n">
        <v>6</v>
      </c>
      <c r="I2861" s="36">
        <f>VLOOKUP(G2861,매칭테이블!D:E,2,0)</f>
        <v/>
      </c>
      <c r="J2861" s="39" t="n">
        <v>210101</v>
      </c>
      <c r="L2861" s="36">
        <f>VLOOKUP($P2861,매칭테이블!$G:$J,2,0)*H2861</f>
        <v/>
      </c>
      <c r="M2861" s="36">
        <f>L2861-L2861*VLOOKUP($P2861,매칭테이블!$G:$J,3,0)</f>
        <v/>
      </c>
      <c r="N2861" s="36">
        <f>VLOOKUP($P2861,매칭테이블!$G:$J,4,0)*H2861</f>
        <v/>
      </c>
      <c r="O2861" s="52">
        <f>L2861/1.1</f>
        <v/>
      </c>
      <c r="P2861" s="36">
        <f>F2861&amp;E2861&amp;G2861&amp;J2861</f>
        <v/>
      </c>
    </row>
    <row r="2862">
      <c r="B2862" s="51" t="n">
        <v>44210</v>
      </c>
      <c r="C2862" s="36">
        <f>TEXT(B2862,"aaa")</f>
        <v/>
      </c>
      <c r="E2862" s="36">
        <f>INDEX(매칭테이블!C:C,MATCH(RD!G2862,매칭테이블!D:D,0))</f>
        <v/>
      </c>
      <c r="F2862" s="39" t="inlineStr">
        <is>
          <t>카페24</t>
        </is>
      </c>
      <c r="G2862" s="39" t="inlineStr">
        <is>
          <t>유즈 솔리드퍼퓸 - 30ml향=커플세트</t>
        </is>
      </c>
      <c r="H2862" s="39" t="n">
        <v>2</v>
      </c>
      <c r="I2862" s="36">
        <f>VLOOKUP(G2862,매칭테이블!D:E,2,0)</f>
        <v/>
      </c>
      <c r="J2862" s="39" t="n">
        <v>210101</v>
      </c>
      <c r="L2862" s="36">
        <f>VLOOKUP($P2862,매칭테이블!$G:$J,2,0)*H2862</f>
        <v/>
      </c>
      <c r="M2862" s="36">
        <f>L2862-L2862*VLOOKUP($P2862,매칭테이블!$G:$J,3,0)</f>
        <v/>
      </c>
      <c r="N2862" s="36">
        <f>VLOOKUP($P2862,매칭테이블!$G:$J,4,0)*H2862</f>
        <v/>
      </c>
      <c r="O2862" s="52">
        <f>L2862/1.1</f>
        <v/>
      </c>
      <c r="P2862" s="36">
        <f>F2862&amp;E2862&amp;G2862&amp;J2862</f>
        <v/>
      </c>
    </row>
    <row r="2863">
      <c r="B2863" s="51" t="n">
        <v>44210</v>
      </c>
      <c r="C2863" s="36">
        <f>TEXT(B2863,"aaa")</f>
        <v/>
      </c>
      <c r="E2863" s="36">
        <f>INDEX(매칭테이블!C:C,MATCH(RD!G2863,매칭테이블!D:D,0))</f>
        <v/>
      </c>
      <c r="F2863" s="39" t="inlineStr">
        <is>
          <t>카페24</t>
        </is>
      </c>
      <c r="G2863" s="39" t="inlineStr">
        <is>
          <t>유즈 솔리드퍼퓸 - 30ml향=커플세트(이그나이트 + 스테이포에버), 세트 선택=2 SET (42% 할인)</t>
        </is>
      </c>
      <c r="H2863" s="39" t="n">
        <v>1</v>
      </c>
      <c r="I2863" s="36">
        <f>VLOOKUP(G2863,매칭테이블!D:E,2,0)</f>
        <v/>
      </c>
      <c r="J2863" s="39" t="n">
        <v>210101</v>
      </c>
      <c r="L2863" s="36">
        <f>VLOOKUP($P2863,매칭테이블!$G:$J,2,0)*H2863</f>
        <v/>
      </c>
      <c r="M2863" s="36">
        <f>L2863-L2863*VLOOKUP($P2863,매칭테이블!$G:$J,3,0)</f>
        <v/>
      </c>
      <c r="N2863" s="36">
        <f>VLOOKUP($P2863,매칭테이블!$G:$J,4,0)*H2863</f>
        <v/>
      </c>
      <c r="O2863" s="52">
        <f>L2863/1.1</f>
        <v/>
      </c>
      <c r="P2863" s="36">
        <f>F2863&amp;E2863&amp;G2863&amp;J2863</f>
        <v/>
      </c>
    </row>
    <row r="2864">
      <c r="B2864" s="51" t="n">
        <v>44210</v>
      </c>
      <c r="C2864" s="36">
        <f>TEXT(B2864,"aaa")</f>
        <v/>
      </c>
      <c r="E2864" s="36">
        <f>INDEX(매칭테이블!C:C,MATCH(RD!G2864,매칭테이블!D:D,0))</f>
        <v/>
      </c>
      <c r="F2864" s="39" t="inlineStr">
        <is>
          <t>카페24</t>
        </is>
      </c>
      <c r="G2864" s="39" t="inlineStr">
        <is>
          <t>유즈 스테이포에버 솔리드퍼퓸 002제품선택=스테이포에버 1개</t>
        </is>
      </c>
      <c r="H2864" s="39" t="n">
        <v>302</v>
      </c>
      <c r="I2864" s="36">
        <f>VLOOKUP(G2864,매칭테이블!D:E,2,0)</f>
        <v/>
      </c>
      <c r="J2864" s="39" t="n">
        <v>210101</v>
      </c>
      <c r="L2864" s="36">
        <f>VLOOKUP($P2864,매칭테이블!$G:$J,2,0)*H2864</f>
        <v/>
      </c>
      <c r="M2864" s="36">
        <f>L2864-L2864*VLOOKUP($P2864,매칭테이블!$G:$J,3,0)</f>
        <v/>
      </c>
      <c r="N2864" s="36">
        <f>VLOOKUP($P2864,매칭테이블!$G:$J,4,0)*H2864</f>
        <v/>
      </c>
      <c r="O2864" s="52">
        <f>L2864/1.1</f>
        <v/>
      </c>
      <c r="P2864" s="36">
        <f>F2864&amp;E2864&amp;G2864&amp;J2864</f>
        <v/>
      </c>
    </row>
    <row r="2865">
      <c r="B2865" s="51" t="n">
        <v>44210</v>
      </c>
      <c r="C2865" s="36">
        <f>TEXT(B2865,"aaa")</f>
        <v/>
      </c>
      <c r="E2865" s="36">
        <f>INDEX(매칭테이블!C:C,MATCH(RD!G2865,매칭테이블!D:D,0))</f>
        <v/>
      </c>
      <c r="F2865" s="39" t="inlineStr">
        <is>
          <t>카페24</t>
        </is>
      </c>
      <c r="G2865" s="39" t="inlineStr">
        <is>
          <t>유즈 스테이포에버 솔리드퍼퓸 002제품선택=best</t>
        </is>
      </c>
      <c r="H2865" s="39" t="n">
        <v>66</v>
      </c>
      <c r="I2865" s="36">
        <f>VLOOKUP(G2865,매칭테이블!D:E,2,0)</f>
        <v/>
      </c>
      <c r="J2865" s="39" t="n">
        <v>210101</v>
      </c>
      <c r="L2865" s="36">
        <f>VLOOKUP($P2865,매칭테이블!$G:$J,2,0)*H2865</f>
        <v/>
      </c>
      <c r="M2865" s="36">
        <f>L2865-L2865*VLOOKUP($P2865,매칭테이블!$G:$J,3,0)</f>
        <v/>
      </c>
      <c r="N2865" s="36">
        <f>VLOOKUP($P2865,매칭테이블!$G:$J,4,0)*H2865</f>
        <v/>
      </c>
      <c r="O2865" s="52">
        <f>L2865/1.1</f>
        <v/>
      </c>
      <c r="P2865" s="36">
        <f>F2865&amp;E2865&amp;G2865&amp;J2865</f>
        <v/>
      </c>
    </row>
    <row r="2866">
      <c r="B2866" s="51" t="n">
        <v>44210</v>
      </c>
      <c r="C2866" s="36">
        <f>TEXT(B2866,"aaa")</f>
        <v/>
      </c>
      <c r="E2866" s="36">
        <f>INDEX(매칭테이블!C:C,MATCH(RD!G2866,매칭테이블!D:D,0))</f>
        <v/>
      </c>
      <c r="F2866" s="39" t="inlineStr">
        <is>
          <t>카페24</t>
        </is>
      </c>
      <c r="G2866" s="39" t="inlineStr">
        <is>
          <t>유즈 스테이포에버 솔리드퍼퓸 002제품선택=best스테이포에버 2개[28% 할인]</t>
        </is>
      </c>
      <c r="H2866" s="39" t="n">
        <v>101</v>
      </c>
      <c r="I2866" s="36">
        <f>VLOOKUP(G2866,매칭테이블!D:E,2,0)</f>
        <v/>
      </c>
      <c r="J2866" s="39" t="n">
        <v>210101</v>
      </c>
      <c r="L2866" s="36">
        <f>VLOOKUP($P2866,매칭테이블!$G:$J,2,0)*H2866</f>
        <v/>
      </c>
      <c r="M2866" s="36">
        <f>L2866-L2866*VLOOKUP($P2866,매칭테이블!$G:$J,3,0)</f>
        <v/>
      </c>
      <c r="N2866" s="36">
        <f>VLOOKUP($P2866,매칭테이블!$G:$J,4,0)*H2866</f>
        <v/>
      </c>
      <c r="O2866" s="52">
        <f>L2866/1.1</f>
        <v/>
      </c>
      <c r="P2866" s="36">
        <f>F2866&amp;E2866&amp;G2866&amp;J2866</f>
        <v/>
      </c>
    </row>
    <row r="2867">
      <c r="B2867" s="51" t="n">
        <v>44210</v>
      </c>
      <c r="C2867" s="36">
        <f>TEXT(B2867,"aaa")</f>
        <v/>
      </c>
      <c r="E2867" s="36">
        <f>INDEX(매칭테이블!C:C,MATCH(RD!G2867,매칭테이블!D:D,0))</f>
        <v/>
      </c>
      <c r="F2867" s="39" t="inlineStr">
        <is>
          <t>카페24</t>
        </is>
      </c>
      <c r="G2867" s="39" t="inlineStr">
        <is>
          <t>유즈 스테이포에버 솔리드퍼퓸 002제품선택=커플추천</t>
        </is>
      </c>
      <c r="H2867" s="39" t="n">
        <v>13</v>
      </c>
      <c r="I2867" s="36">
        <f>VLOOKUP(G2867,매칭테이블!D:E,2,0)</f>
        <v/>
      </c>
      <c r="J2867" s="39" t="n">
        <v>210101</v>
      </c>
      <c r="L2867" s="36">
        <f>VLOOKUP($P2867,매칭테이블!$G:$J,2,0)*H2867</f>
        <v/>
      </c>
      <c r="M2867" s="36">
        <f>L2867-L2867*VLOOKUP($P2867,매칭테이블!$G:$J,3,0)</f>
        <v/>
      </c>
      <c r="N2867" s="36">
        <f>VLOOKUP($P2867,매칭테이블!$G:$J,4,0)*H2867</f>
        <v/>
      </c>
      <c r="O2867" s="52">
        <f>L2867/1.1</f>
        <v/>
      </c>
      <c r="P2867" s="36">
        <f>F2867&amp;E2867&amp;G2867&amp;J2867</f>
        <v/>
      </c>
    </row>
    <row r="2868">
      <c r="B2868" s="51" t="n">
        <v>44210</v>
      </c>
      <c r="C2868" s="36">
        <f>TEXT(B2868,"aaa")</f>
        <v/>
      </c>
      <c r="E2868" s="36">
        <f>INDEX(매칭테이블!C:C,MATCH(RD!G2868,매칭테이블!D:D,0))</f>
        <v/>
      </c>
      <c r="F2868" s="39" t="inlineStr">
        <is>
          <t>카페24</t>
        </is>
      </c>
      <c r="G2868" s="39" t="inlineStr">
        <is>
          <t>유즈 스테이포에버 솔리드퍼퓸 002제품선택=커플추천스테이포에버 + 이그나이트 세트</t>
        </is>
      </c>
      <c r="H2868" s="39" t="n">
        <v>15</v>
      </c>
      <c r="I2868" s="36">
        <f>VLOOKUP(G2868,매칭테이블!D:E,2,0)</f>
        <v/>
      </c>
      <c r="J2868" s="39" t="n">
        <v>210101</v>
      </c>
      <c r="L2868" s="36">
        <f>VLOOKUP($P2868,매칭테이블!$G:$J,2,0)*H2868</f>
        <v/>
      </c>
      <c r="M2868" s="36">
        <f>L2868-L2868*VLOOKUP($P2868,매칭테이블!$G:$J,3,0)</f>
        <v/>
      </c>
      <c r="N2868" s="36">
        <f>VLOOKUP($P2868,매칭테이블!$G:$J,4,0)*H2868</f>
        <v/>
      </c>
      <c r="O2868" s="52">
        <f>L2868/1.1</f>
        <v/>
      </c>
      <c r="P2868" s="36">
        <f>F2868&amp;E2868&amp;G2868&amp;J2868</f>
        <v/>
      </c>
    </row>
    <row r="2869">
      <c r="B2869" s="51" t="n">
        <v>44210</v>
      </c>
      <c r="C2869" s="36">
        <f>TEXT(B2869,"aaa")</f>
        <v/>
      </c>
      <c r="E2869" s="36">
        <f>INDEX(매칭테이블!C:C,MATCH(RD!G2869,매칭테이블!D:D,0))</f>
        <v/>
      </c>
      <c r="F2869" s="39" t="inlineStr">
        <is>
          <t>카페24</t>
        </is>
      </c>
      <c r="G2869" s="39" t="inlineStr">
        <is>
          <t>유즈 스테이포에버 솔리드퍼퓸 002쇼핑백=선물용 쇼핑백</t>
        </is>
      </c>
      <c r="H2869" s="39" t="n">
        <v>16</v>
      </c>
      <c r="I2869" s="36">
        <f>VLOOKUP(G2869,매칭테이블!D:E,2,0)</f>
        <v/>
      </c>
      <c r="J2869" s="39" t="n">
        <v>210101</v>
      </c>
      <c r="L2869" s="36">
        <f>VLOOKUP($P2869,매칭테이블!$G:$J,2,0)*H2869</f>
        <v/>
      </c>
      <c r="M2869" s="36">
        <f>L2869-L2869*VLOOKUP($P2869,매칭테이블!$G:$J,3,0)</f>
        <v/>
      </c>
      <c r="N2869" s="36">
        <f>VLOOKUP($P2869,매칭테이블!$G:$J,4,0)*H2869</f>
        <v/>
      </c>
      <c r="O2869" s="52">
        <f>L2869/1.1</f>
        <v/>
      </c>
      <c r="P2869" s="36">
        <f>F2869&amp;E2869&amp;G2869&amp;J2869</f>
        <v/>
      </c>
    </row>
    <row r="2870">
      <c r="B2870" s="51" t="n">
        <v>44210</v>
      </c>
      <c r="C2870" s="36">
        <f>TEXT(B2870,"aaa")</f>
        <v/>
      </c>
      <c r="E2870" s="36">
        <f>INDEX(매칭테이블!C:C,MATCH(RD!G2870,매칭테이블!D:D,0))</f>
        <v/>
      </c>
      <c r="F2870" s="39" t="inlineStr">
        <is>
          <t>카페24</t>
        </is>
      </c>
      <c r="G2870" s="39" t="inlineStr">
        <is>
          <t>유즈 스테이포에버 솔리드퍼퓸 002 (11차 예약구매 진행중)제품선택=best</t>
        </is>
      </c>
      <c r="H2870" s="39" t="n">
        <v>1</v>
      </c>
      <c r="I2870" s="36">
        <f>VLOOKUP(G2870,매칭테이블!D:E,2,0)</f>
        <v/>
      </c>
      <c r="J2870" s="39" t="n">
        <v>210101</v>
      </c>
      <c r="L2870" s="36">
        <f>VLOOKUP($P2870,매칭테이블!$G:$J,2,0)*H2870</f>
        <v/>
      </c>
      <c r="M2870" s="36">
        <f>L2870-L2870*VLOOKUP($P2870,매칭테이블!$G:$J,3,0)</f>
        <v/>
      </c>
      <c r="N2870" s="36">
        <f>VLOOKUP($P2870,매칭테이블!$G:$J,4,0)*H2870</f>
        <v/>
      </c>
      <c r="O2870" s="52">
        <f>L2870/1.1</f>
        <v/>
      </c>
      <c r="P2870" s="36">
        <f>F2870&amp;E2870&amp;G2870&amp;J2870</f>
        <v/>
      </c>
    </row>
    <row r="2871">
      <c r="B2871" s="51" t="n">
        <v>44210</v>
      </c>
      <c r="C2871" s="36">
        <f>TEXT(B2871,"aaa")</f>
        <v/>
      </c>
      <c r="E2871" s="36">
        <f>INDEX(매칭테이블!C:C,MATCH(RD!G2871,매칭테이블!D:D,0))</f>
        <v/>
      </c>
      <c r="F2871" s="39" t="inlineStr">
        <is>
          <t>카페24</t>
        </is>
      </c>
      <c r="G2871" s="39" t="inlineStr">
        <is>
          <t>유즈 이그나이트 솔리드퍼퓸 001제품선택=이그나이트 솔리드퍼퓸 - 30ml</t>
        </is>
      </c>
      <c r="H2871" s="39" t="n">
        <v>3</v>
      </c>
      <c r="I2871" s="36">
        <f>VLOOKUP(G2871,매칭테이블!D:E,2,0)</f>
        <v/>
      </c>
      <c r="J2871" s="39" t="n">
        <v>210101</v>
      </c>
      <c r="L2871" s="36">
        <f>VLOOKUP($P2871,매칭테이블!$G:$J,2,0)*H2871</f>
        <v/>
      </c>
      <c r="M2871" s="36">
        <f>L2871-L2871*VLOOKUP($P2871,매칭테이블!$G:$J,3,0)</f>
        <v/>
      </c>
      <c r="N2871" s="36">
        <f>VLOOKUP($P2871,매칭테이블!$G:$J,4,0)*H2871</f>
        <v/>
      </c>
      <c r="O2871" s="52">
        <f>L2871/1.1</f>
        <v/>
      </c>
      <c r="P2871" s="36">
        <f>F2871&amp;E2871&amp;G2871&amp;J2871</f>
        <v/>
      </c>
    </row>
    <row r="2872">
      <c r="B2872" s="51" t="n">
        <v>44210</v>
      </c>
      <c r="C2872" s="36">
        <f>TEXT(B2872,"aaa")</f>
        <v/>
      </c>
      <c r="E2872" s="36">
        <f>INDEX(매칭테이블!C:C,MATCH(RD!G2872,매칭테이블!D:D,0))</f>
        <v/>
      </c>
      <c r="F2872" s="39" t="inlineStr">
        <is>
          <t>카페24</t>
        </is>
      </c>
      <c r="G2872" s="39" t="inlineStr">
        <is>
          <t>유즈 이그나이트 솔리드퍼퓸 001제품선택=이그나이트 2개 세트</t>
        </is>
      </c>
      <c r="H2872" s="39" t="n">
        <v>3</v>
      </c>
      <c r="I2872" s="36">
        <f>VLOOKUP(G2872,매칭테이블!D:E,2,0)</f>
        <v/>
      </c>
      <c r="J2872" s="39" t="n">
        <v>210101</v>
      </c>
      <c r="L2872" s="36">
        <f>VLOOKUP($P2872,매칭테이블!$G:$J,2,0)*H2872</f>
        <v/>
      </c>
      <c r="M2872" s="36">
        <f>L2872-L2872*VLOOKUP($P2872,매칭테이블!$G:$J,3,0)</f>
        <v/>
      </c>
      <c r="N2872" s="36">
        <f>VLOOKUP($P2872,매칭테이블!$G:$J,4,0)*H2872</f>
        <v/>
      </c>
      <c r="O2872" s="52">
        <f>L2872/1.1</f>
        <v/>
      </c>
      <c r="P2872" s="36">
        <f>F2872&amp;E2872&amp;G2872&amp;J2872</f>
        <v/>
      </c>
    </row>
    <row r="2873">
      <c r="B2873" s="51" t="n">
        <v>44210</v>
      </c>
      <c r="C2873" s="36">
        <f>TEXT(B2873,"aaa")</f>
        <v/>
      </c>
      <c r="E2873" s="36">
        <f>INDEX(매칭테이블!C:C,MATCH(RD!G2873,매칭테이블!D:D,0))</f>
        <v/>
      </c>
      <c r="F2873" s="39" t="inlineStr">
        <is>
          <t>카페24</t>
        </is>
      </c>
      <c r="G2873" s="39" t="inlineStr">
        <is>
          <t>유즈 이그나이트 솔리드퍼퓸 001쇼핑백=선물용 쇼핑백</t>
        </is>
      </c>
      <c r="H2873" s="39" t="n">
        <v>1</v>
      </c>
      <c r="I2873" s="36">
        <f>VLOOKUP(G2873,매칭테이블!D:E,2,0)</f>
        <v/>
      </c>
      <c r="J2873" s="39" t="n">
        <v>210101</v>
      </c>
      <c r="L2873" s="36">
        <f>VLOOKUP($P2873,매칭테이블!$G:$J,2,0)*H2873</f>
        <v/>
      </c>
      <c r="M2873" s="36">
        <f>L2873-L2873*VLOOKUP($P2873,매칭테이블!$G:$J,3,0)</f>
        <v/>
      </c>
      <c r="N2873" s="36">
        <f>VLOOKUP($P2873,매칭테이블!$G:$J,4,0)*H2873</f>
        <v/>
      </c>
      <c r="O2873" s="52">
        <f>L2873/1.1</f>
        <v/>
      </c>
      <c r="P2873" s="36">
        <f>F2873&amp;E2873&amp;G2873&amp;J2873</f>
        <v/>
      </c>
    </row>
    <row r="2874">
      <c r="B2874" s="51" t="n">
        <v>44211</v>
      </c>
      <c r="C2874" s="36">
        <f>TEXT(B2874,"aaa")</f>
        <v/>
      </c>
      <c r="E2874" s="36">
        <f>INDEX(매칭테이블!C:C,MATCH(RD!G2874,매칭테이블!D:D,0))</f>
        <v/>
      </c>
      <c r="F2874" s="39" t="inlineStr">
        <is>
          <t>유즈 CS</t>
        </is>
      </c>
      <c r="G2874" s="39" t="inlineStr">
        <is>
          <t>솔리드퍼퓸 스테이포에버 002 30ml</t>
        </is>
      </c>
      <c r="H2874" s="39" t="n">
        <v>3</v>
      </c>
      <c r="I2874" s="36">
        <f>VLOOKUP(G2874,매칭테이블!D:E,2,0)</f>
        <v/>
      </c>
      <c r="J2874" s="39" t="n">
        <v>210101</v>
      </c>
      <c r="L2874" s="36">
        <f>VLOOKUP($P2874,매칭테이블!$G:$J,2,0)*H2874</f>
        <v/>
      </c>
      <c r="M2874" s="36">
        <f>L2874-L2874*VLOOKUP($P2874,매칭테이블!$G:$J,3,0)</f>
        <v/>
      </c>
      <c r="N2874" s="36">
        <f>VLOOKUP($P2874,매칭테이블!$G:$J,4,0)*H2874</f>
        <v/>
      </c>
      <c r="O2874" s="52">
        <f>L2874/1.1</f>
        <v/>
      </c>
      <c r="P2874" s="36">
        <f>F2874&amp;E2874&amp;G2874&amp;J2874</f>
        <v/>
      </c>
    </row>
    <row r="2875">
      <c r="B2875" s="51" t="n">
        <v>44211</v>
      </c>
      <c r="C2875" s="36">
        <f>TEXT(B2875,"aaa")</f>
        <v/>
      </c>
      <c r="E2875" s="36">
        <f>INDEX(매칭테이블!C:C,MATCH(RD!G2875,매칭테이블!D:D,0))</f>
        <v/>
      </c>
      <c r="F2875" s="39" t="inlineStr">
        <is>
          <t>유즈 CS</t>
        </is>
      </c>
      <c r="G2875" s="39" t="inlineStr">
        <is>
          <t>유즈 스테이포에버 솔리드퍼퓸 002제품선택=커플추천</t>
        </is>
      </c>
      <c r="H2875" s="39" t="n">
        <v>2</v>
      </c>
      <c r="I2875" s="36">
        <f>VLOOKUP(G2875,매칭테이블!D:E,2,0)</f>
        <v/>
      </c>
      <c r="J2875" s="39" t="n">
        <v>210101</v>
      </c>
      <c r="L2875" s="36">
        <f>VLOOKUP($P2875,매칭테이블!$G:$J,2,0)*H2875</f>
        <v/>
      </c>
      <c r="M2875" s="36">
        <f>L2875-L2875*VLOOKUP($P2875,매칭테이블!$G:$J,3,0)</f>
        <v/>
      </c>
      <c r="N2875" s="36">
        <f>VLOOKUP($P2875,매칭테이블!$G:$J,4,0)*H2875</f>
        <v/>
      </c>
      <c r="O2875" s="52">
        <f>L2875/1.1</f>
        <v/>
      </c>
      <c r="P2875" s="36">
        <f>F2875&amp;E2875&amp;G2875&amp;J2875</f>
        <v/>
      </c>
    </row>
    <row r="2876">
      <c r="B2876" s="51" t="n">
        <v>44211</v>
      </c>
      <c r="C2876" s="36">
        <f>TEXT(B2876,"aaa")</f>
        <v/>
      </c>
      <c r="E2876" s="36">
        <f>INDEX(매칭테이블!C:C,MATCH(RD!G2876,매칭테이블!D:D,0))</f>
        <v/>
      </c>
      <c r="F2876" s="39" t="inlineStr">
        <is>
          <t>카페24</t>
        </is>
      </c>
      <c r="G2876" s="39" t="inlineStr">
        <is>
          <t>솔리드퍼퓸 스테이포에버 002 30ml</t>
        </is>
      </c>
      <c r="H2876" s="39" t="n">
        <v>3</v>
      </c>
      <c r="I2876" s="36">
        <f>VLOOKUP(G2876,매칭테이블!D:E,2,0)</f>
        <v/>
      </c>
      <c r="J2876" s="39" t="n">
        <v>210101</v>
      </c>
      <c r="L2876" s="36">
        <f>VLOOKUP($P2876,매칭테이블!$G:$J,2,0)*H2876</f>
        <v/>
      </c>
      <c r="M2876" s="36">
        <f>L2876-L2876*VLOOKUP($P2876,매칭테이블!$G:$J,3,0)</f>
        <v/>
      </c>
      <c r="N2876" s="36">
        <f>VLOOKUP($P2876,매칭테이블!$G:$J,4,0)*H2876</f>
        <v/>
      </c>
      <c r="O2876" s="52">
        <f>L2876/1.1</f>
        <v/>
      </c>
      <c r="P2876" s="36">
        <f>F2876&amp;E2876&amp;G2876&amp;J2876</f>
        <v/>
      </c>
    </row>
    <row r="2877">
      <c r="B2877" s="51" t="n">
        <v>44211</v>
      </c>
      <c r="C2877" s="36">
        <f>TEXT(B2877,"aaa")</f>
        <v/>
      </c>
      <c r="E2877" s="36">
        <f>INDEX(매칭테이블!C:C,MATCH(RD!G2877,매칭테이블!D:D,0))</f>
        <v/>
      </c>
      <c r="F2877" s="39" t="inlineStr">
        <is>
          <t>카페24</t>
        </is>
      </c>
      <c r="G2877" s="39" t="inlineStr">
        <is>
          <t>유즈 솔리드퍼퓸 - 30ml향=이그나이트 001 SOLID PERFUME, 세트 선택=1개</t>
        </is>
      </c>
      <c r="H2877" s="39" t="n">
        <v>4</v>
      </c>
      <c r="I2877" s="36">
        <f>VLOOKUP(G2877,매칭테이블!D:E,2,0)</f>
        <v/>
      </c>
      <c r="J2877" s="39" t="n">
        <v>210101</v>
      </c>
      <c r="L2877" s="36">
        <f>VLOOKUP($P2877,매칭테이블!$G:$J,2,0)*H2877</f>
        <v/>
      </c>
      <c r="M2877" s="36">
        <f>L2877-L2877*VLOOKUP($P2877,매칭테이블!$G:$J,3,0)</f>
        <v/>
      </c>
      <c r="N2877" s="36">
        <f>VLOOKUP($P2877,매칭테이블!$G:$J,4,0)*H2877</f>
        <v/>
      </c>
      <c r="O2877" s="52">
        <f>L2877/1.1</f>
        <v/>
      </c>
      <c r="P2877" s="36">
        <f>F2877&amp;E2877&amp;G2877&amp;J2877</f>
        <v/>
      </c>
    </row>
    <row r="2878">
      <c r="B2878" s="51" t="n">
        <v>44211</v>
      </c>
      <c r="C2878" s="36">
        <f>TEXT(B2878,"aaa")</f>
        <v/>
      </c>
      <c r="E2878" s="36">
        <f>INDEX(매칭테이블!C:C,MATCH(RD!G2878,매칭테이블!D:D,0))</f>
        <v/>
      </c>
      <c r="F2878" s="39" t="inlineStr">
        <is>
          <t>카페24</t>
        </is>
      </c>
      <c r="G2878" s="39" t="inlineStr">
        <is>
          <t>유즈 솔리드퍼퓸 - 30ml향=스테이포에버 002 SOLID PERFUME, 세트 선택=1개</t>
        </is>
      </c>
      <c r="H2878" s="39" t="n">
        <v>15</v>
      </c>
      <c r="I2878" s="36">
        <f>VLOOKUP(G2878,매칭테이블!D:E,2,0)</f>
        <v/>
      </c>
      <c r="J2878" s="39" t="n">
        <v>210101</v>
      </c>
      <c r="L2878" s="36">
        <f>VLOOKUP($P2878,매칭테이블!$G:$J,2,0)*H2878</f>
        <v/>
      </c>
      <c r="M2878" s="36">
        <f>L2878-L2878*VLOOKUP($P2878,매칭테이블!$G:$J,3,0)</f>
        <v/>
      </c>
      <c r="N2878" s="36">
        <f>VLOOKUP($P2878,매칭테이블!$G:$J,4,0)*H2878</f>
        <v/>
      </c>
      <c r="O2878" s="52">
        <f>L2878/1.1</f>
        <v/>
      </c>
      <c r="P2878" s="36">
        <f>F2878&amp;E2878&amp;G2878&amp;J2878</f>
        <v/>
      </c>
    </row>
    <row r="2879">
      <c r="B2879" s="51" t="n">
        <v>44211</v>
      </c>
      <c r="C2879" s="36">
        <f>TEXT(B2879,"aaa")</f>
        <v/>
      </c>
      <c r="E2879" s="36">
        <f>INDEX(매칭테이블!C:C,MATCH(RD!G2879,매칭테이블!D:D,0))</f>
        <v/>
      </c>
      <c r="F2879" s="39" t="inlineStr">
        <is>
          <t>카페24</t>
        </is>
      </c>
      <c r="G2879" s="39" t="inlineStr">
        <is>
          <t>유즈 솔리드퍼퓸 - 30ml향=스테이포에버 002 SOLID PERFUME, 세트 선택=best</t>
        </is>
      </c>
      <c r="H2879" s="39" t="n">
        <v>3</v>
      </c>
      <c r="I2879" s="36">
        <f>VLOOKUP(G2879,매칭테이블!D:E,2,0)</f>
        <v/>
      </c>
      <c r="J2879" s="39" t="n">
        <v>210101</v>
      </c>
      <c r="L2879" s="36">
        <f>VLOOKUP($P2879,매칭테이블!$G:$J,2,0)*H2879</f>
        <v/>
      </c>
      <c r="M2879" s="36">
        <f>L2879-L2879*VLOOKUP($P2879,매칭테이블!$G:$J,3,0)</f>
        <v/>
      </c>
      <c r="N2879" s="36">
        <f>VLOOKUP($P2879,매칭테이블!$G:$J,4,0)*H2879</f>
        <v/>
      </c>
      <c r="O2879" s="52">
        <f>L2879/1.1</f>
        <v/>
      </c>
      <c r="P2879" s="36">
        <f>F2879&amp;E2879&amp;G2879&amp;J2879</f>
        <v/>
      </c>
    </row>
    <row r="2880">
      <c r="B2880" s="51" t="n">
        <v>44211</v>
      </c>
      <c r="C2880" s="36">
        <f>TEXT(B2880,"aaa")</f>
        <v/>
      </c>
      <c r="E2880" s="36">
        <f>INDEX(매칭테이블!C:C,MATCH(RD!G2880,매칭테이블!D:D,0))</f>
        <v/>
      </c>
      <c r="F2880" s="39" t="inlineStr">
        <is>
          <t>카페24</t>
        </is>
      </c>
      <c r="G2880" s="39" t="inlineStr">
        <is>
          <t>유즈 솔리드퍼퓸 - 30ml향=커플세트</t>
        </is>
      </c>
      <c r="H2880" s="39" t="n">
        <v>2</v>
      </c>
      <c r="I2880" s="36">
        <f>VLOOKUP(G2880,매칭테이블!D:E,2,0)</f>
        <v/>
      </c>
      <c r="J2880" s="39" t="n">
        <v>210101</v>
      </c>
      <c r="L2880" s="36">
        <f>VLOOKUP($P2880,매칭테이블!$G:$J,2,0)*H2880</f>
        <v/>
      </c>
      <c r="M2880" s="36">
        <f>L2880-L2880*VLOOKUP($P2880,매칭테이블!$G:$J,3,0)</f>
        <v/>
      </c>
      <c r="N2880" s="36">
        <f>VLOOKUP($P2880,매칭테이블!$G:$J,4,0)*H2880</f>
        <v/>
      </c>
      <c r="O2880" s="52">
        <f>L2880/1.1</f>
        <v/>
      </c>
      <c r="P2880" s="36">
        <f>F2880&amp;E2880&amp;G2880&amp;J2880</f>
        <v/>
      </c>
    </row>
    <row r="2881">
      <c r="B2881" s="51" t="n">
        <v>44211</v>
      </c>
      <c r="C2881" s="36">
        <f>TEXT(B2881,"aaa")</f>
        <v/>
      </c>
      <c r="E2881" s="36">
        <f>INDEX(매칭테이블!C:C,MATCH(RD!G2881,매칭테이블!D:D,0))</f>
        <v/>
      </c>
      <c r="F2881" s="39" t="inlineStr">
        <is>
          <t>카페24</t>
        </is>
      </c>
      <c r="G2881" s="39" t="inlineStr">
        <is>
          <t>유즈 솔리드퍼퓸 - 30ml향=커플세트(이그나이트 + 스테이포에버), 세트 선택=1 SET</t>
        </is>
      </c>
      <c r="H2881" s="39" t="n">
        <v>7</v>
      </c>
      <c r="I2881" s="36">
        <f>VLOOKUP(G2881,매칭테이블!D:E,2,0)</f>
        <v/>
      </c>
      <c r="J2881" s="39" t="n">
        <v>210101</v>
      </c>
      <c r="L2881" s="36">
        <f>VLOOKUP($P2881,매칭테이블!$G:$J,2,0)*H2881</f>
        <v/>
      </c>
      <c r="M2881" s="36">
        <f>L2881-L2881*VLOOKUP($P2881,매칭테이블!$G:$J,3,0)</f>
        <v/>
      </c>
      <c r="N2881" s="36">
        <f>VLOOKUP($P2881,매칭테이블!$G:$J,4,0)*H2881</f>
        <v/>
      </c>
      <c r="O2881" s="52">
        <f>L2881/1.1</f>
        <v/>
      </c>
      <c r="P2881" s="36">
        <f>F2881&amp;E2881&amp;G2881&amp;J2881</f>
        <v/>
      </c>
    </row>
    <row r="2882">
      <c r="B2882" s="51" t="n">
        <v>44211</v>
      </c>
      <c r="C2882" s="36">
        <f>TEXT(B2882,"aaa")</f>
        <v/>
      </c>
      <c r="E2882" s="36">
        <f>INDEX(매칭테이블!C:C,MATCH(RD!G2882,매칭테이블!D:D,0))</f>
        <v/>
      </c>
      <c r="F2882" s="39" t="inlineStr">
        <is>
          <t>카페24</t>
        </is>
      </c>
      <c r="G2882" s="39" t="inlineStr">
        <is>
          <t>유즈 솔리드퍼퓸 - 30ml향=커플세트(이그나이트 + 스테이포에버), 세트 선택=2 SET (42% 할인)</t>
        </is>
      </c>
      <c r="H2882" s="39" t="n">
        <v>1</v>
      </c>
      <c r="I2882" s="36">
        <f>VLOOKUP(G2882,매칭테이블!D:E,2,0)</f>
        <v/>
      </c>
      <c r="J2882" s="39" t="n">
        <v>210101</v>
      </c>
      <c r="L2882" s="36">
        <f>VLOOKUP($P2882,매칭테이블!$G:$J,2,0)*H2882</f>
        <v/>
      </c>
      <c r="M2882" s="36">
        <f>L2882-L2882*VLOOKUP($P2882,매칭테이블!$G:$J,3,0)</f>
        <v/>
      </c>
      <c r="N2882" s="36">
        <f>VLOOKUP($P2882,매칭테이블!$G:$J,4,0)*H2882</f>
        <v/>
      </c>
      <c r="O2882" s="52">
        <f>L2882/1.1</f>
        <v/>
      </c>
      <c r="P2882" s="36">
        <f>F2882&amp;E2882&amp;G2882&amp;J2882</f>
        <v/>
      </c>
    </row>
    <row r="2883">
      <c r="B2883" s="51" t="n">
        <v>44211</v>
      </c>
      <c r="C2883" s="36">
        <f>TEXT(B2883,"aaa")</f>
        <v/>
      </c>
      <c r="E2883" s="36">
        <f>INDEX(매칭테이블!C:C,MATCH(RD!G2883,매칭테이블!D:D,0))</f>
        <v/>
      </c>
      <c r="F2883" s="39" t="inlineStr">
        <is>
          <t>카페24</t>
        </is>
      </c>
      <c r="G2883" s="39" t="inlineStr">
        <is>
          <t>유즈 솔리드퍼퓸 - 스테이포에버 002제품선택=스테이포에버 1개</t>
        </is>
      </c>
      <c r="H2883" s="39" t="n">
        <v>111</v>
      </c>
      <c r="I2883" s="36">
        <f>VLOOKUP(G2883,매칭테이블!D:E,2,0)</f>
        <v/>
      </c>
      <c r="J2883" s="39" t="n">
        <v>210101</v>
      </c>
      <c r="L2883" s="36">
        <f>VLOOKUP($P2883,매칭테이블!$G:$J,2,0)*H2883</f>
        <v/>
      </c>
      <c r="M2883" s="36">
        <f>L2883-L2883*VLOOKUP($P2883,매칭테이블!$G:$J,3,0)</f>
        <v/>
      </c>
      <c r="N2883" s="36">
        <f>VLOOKUP($P2883,매칭테이블!$G:$J,4,0)*H2883</f>
        <v/>
      </c>
      <c r="O2883" s="52">
        <f>L2883/1.1</f>
        <v/>
      </c>
      <c r="P2883" s="36">
        <f>F2883&amp;E2883&amp;G2883&amp;J2883</f>
        <v/>
      </c>
    </row>
    <row r="2884">
      <c r="B2884" s="51" t="n">
        <v>44211</v>
      </c>
      <c r="C2884" s="36">
        <f>TEXT(B2884,"aaa")</f>
        <v/>
      </c>
      <c r="E2884" s="36">
        <f>INDEX(매칭테이블!C:C,MATCH(RD!G2884,매칭테이블!D:D,0))</f>
        <v/>
      </c>
      <c r="F2884" s="39" t="inlineStr">
        <is>
          <t>카페24</t>
        </is>
      </c>
      <c r="G2884" s="39" t="inlineStr">
        <is>
          <t>유즈 솔리드퍼퓸 - 스테이포에버 002제품선택=best</t>
        </is>
      </c>
      <c r="H2884" s="39" t="n">
        <v>21</v>
      </c>
      <c r="I2884" s="36">
        <f>VLOOKUP(G2884,매칭테이블!D:E,2,0)</f>
        <v/>
      </c>
      <c r="J2884" s="39" t="n">
        <v>210101</v>
      </c>
      <c r="L2884" s="36">
        <f>VLOOKUP($P2884,매칭테이블!$G:$J,2,0)*H2884</f>
        <v/>
      </c>
      <c r="M2884" s="36">
        <f>L2884-L2884*VLOOKUP($P2884,매칭테이블!$G:$J,3,0)</f>
        <v/>
      </c>
      <c r="N2884" s="36">
        <f>VLOOKUP($P2884,매칭테이블!$G:$J,4,0)*H2884</f>
        <v/>
      </c>
      <c r="O2884" s="52">
        <f>L2884/1.1</f>
        <v/>
      </c>
      <c r="P2884" s="36">
        <f>F2884&amp;E2884&amp;G2884&amp;J2884</f>
        <v/>
      </c>
    </row>
    <row r="2885">
      <c r="B2885" s="51" t="n">
        <v>44211</v>
      </c>
      <c r="C2885" s="36">
        <f>TEXT(B2885,"aaa")</f>
        <v/>
      </c>
      <c r="E2885" s="36">
        <f>INDEX(매칭테이블!C:C,MATCH(RD!G2885,매칭테이블!D:D,0))</f>
        <v/>
      </c>
      <c r="F2885" s="39" t="inlineStr">
        <is>
          <t>카페24</t>
        </is>
      </c>
      <c r="G2885" s="39" t="inlineStr">
        <is>
          <t>유즈 솔리드퍼퓸 - 스테이포에버 002제품선택=best스테이포에버 2개[28% 할인]</t>
        </is>
      </c>
      <c r="H2885" s="39" t="n">
        <v>28</v>
      </c>
      <c r="I2885" s="36">
        <f>VLOOKUP(G2885,매칭테이블!D:E,2,0)</f>
        <v/>
      </c>
      <c r="J2885" s="39" t="n">
        <v>210101</v>
      </c>
      <c r="L2885" s="36">
        <f>VLOOKUP($P2885,매칭테이블!$G:$J,2,0)*H2885</f>
        <v/>
      </c>
      <c r="M2885" s="36">
        <f>L2885-L2885*VLOOKUP($P2885,매칭테이블!$G:$J,3,0)</f>
        <v/>
      </c>
      <c r="N2885" s="36">
        <f>VLOOKUP($P2885,매칭테이블!$G:$J,4,0)*H2885</f>
        <v/>
      </c>
      <c r="O2885" s="52">
        <f>L2885/1.1</f>
        <v/>
      </c>
      <c r="P2885" s="36">
        <f>F2885&amp;E2885&amp;G2885&amp;J2885</f>
        <v/>
      </c>
    </row>
    <row r="2886">
      <c r="B2886" s="51" t="n">
        <v>44211</v>
      </c>
      <c r="C2886" s="36">
        <f>TEXT(B2886,"aaa")</f>
        <v/>
      </c>
      <c r="E2886" s="36">
        <f>INDEX(매칭테이블!C:C,MATCH(RD!G2886,매칭테이블!D:D,0))</f>
        <v/>
      </c>
      <c r="F2886" s="39" t="inlineStr">
        <is>
          <t>카페24</t>
        </is>
      </c>
      <c r="G2886" s="39" t="inlineStr">
        <is>
          <t>유즈 솔리드퍼퓸 - 스테이포에버 002제품선택=커플추천</t>
        </is>
      </c>
      <c r="H2886" s="39" t="n">
        <v>6</v>
      </c>
      <c r="I2886" s="36">
        <f>VLOOKUP(G2886,매칭테이블!D:E,2,0)</f>
        <v/>
      </c>
      <c r="J2886" s="39" t="n">
        <v>210101</v>
      </c>
      <c r="L2886" s="36">
        <f>VLOOKUP($P2886,매칭테이블!$G:$J,2,0)*H2886</f>
        <v/>
      </c>
      <c r="M2886" s="36">
        <f>L2886-L2886*VLOOKUP($P2886,매칭테이블!$G:$J,3,0)</f>
        <v/>
      </c>
      <c r="N2886" s="36">
        <f>VLOOKUP($P2886,매칭테이블!$G:$J,4,0)*H2886</f>
        <v/>
      </c>
      <c r="O2886" s="52">
        <f>L2886/1.1</f>
        <v/>
      </c>
      <c r="P2886" s="36">
        <f>F2886&amp;E2886&amp;G2886&amp;J2886</f>
        <v/>
      </c>
    </row>
    <row r="2887">
      <c r="B2887" s="51" t="n">
        <v>44211</v>
      </c>
      <c r="C2887" s="36">
        <f>TEXT(B2887,"aaa")</f>
        <v/>
      </c>
      <c r="E2887" s="36">
        <f>INDEX(매칭테이블!C:C,MATCH(RD!G2887,매칭테이블!D:D,0))</f>
        <v/>
      </c>
      <c r="F2887" s="39" t="inlineStr">
        <is>
          <t>카페24</t>
        </is>
      </c>
      <c r="G2887" s="39" t="inlineStr">
        <is>
          <t>유즈 솔리드퍼퓸 - 스테이포에버 002제품선택=커플추천스테이포에버 + 이그나이트 세트</t>
        </is>
      </c>
      <c r="H2887" s="39" t="n">
        <v>5</v>
      </c>
      <c r="I2887" s="36">
        <f>VLOOKUP(G2887,매칭테이블!D:E,2,0)</f>
        <v/>
      </c>
      <c r="J2887" s="39" t="n">
        <v>210101</v>
      </c>
      <c r="L2887" s="36">
        <f>VLOOKUP($P2887,매칭테이블!$G:$J,2,0)*H2887</f>
        <v/>
      </c>
      <c r="M2887" s="36">
        <f>L2887-L2887*VLOOKUP($P2887,매칭테이블!$G:$J,3,0)</f>
        <v/>
      </c>
      <c r="N2887" s="36">
        <f>VLOOKUP($P2887,매칭테이블!$G:$J,4,0)*H2887</f>
        <v/>
      </c>
      <c r="O2887" s="52">
        <f>L2887/1.1</f>
        <v/>
      </c>
      <c r="P2887" s="36">
        <f>F2887&amp;E2887&amp;G2887&amp;J2887</f>
        <v/>
      </c>
    </row>
    <row r="2888">
      <c r="B2888" s="51" t="n">
        <v>44211</v>
      </c>
      <c r="C2888" s="36">
        <f>TEXT(B2888,"aaa")</f>
        <v/>
      </c>
      <c r="E2888" s="36">
        <f>INDEX(매칭테이블!C:C,MATCH(RD!G2888,매칭테이블!D:D,0))</f>
        <v/>
      </c>
      <c r="F2888" s="39" t="inlineStr">
        <is>
          <t>카페24</t>
        </is>
      </c>
      <c r="G2888" s="39" t="inlineStr">
        <is>
          <t>유즈 솔리드퍼퓸 - 스테이포에버 002쇼핑백=선물용 쇼핑백</t>
        </is>
      </c>
      <c r="H2888" s="39" t="n">
        <v>2</v>
      </c>
      <c r="I2888" s="36">
        <f>VLOOKUP(G2888,매칭테이블!D:E,2,0)</f>
        <v/>
      </c>
      <c r="J2888" s="39" t="n">
        <v>210101</v>
      </c>
      <c r="L2888" s="36">
        <f>VLOOKUP($P2888,매칭테이블!$G:$J,2,0)*H2888</f>
        <v/>
      </c>
      <c r="M2888" s="36">
        <f>L2888-L2888*VLOOKUP($P2888,매칭테이블!$G:$J,3,0)</f>
        <v/>
      </c>
      <c r="N2888" s="36">
        <f>VLOOKUP($P2888,매칭테이블!$G:$J,4,0)*H2888</f>
        <v/>
      </c>
      <c r="O2888" s="52">
        <f>L2888/1.1</f>
        <v/>
      </c>
      <c r="P2888" s="36">
        <f>F2888&amp;E2888&amp;G2888&amp;J2888</f>
        <v/>
      </c>
    </row>
    <row r="2889">
      <c r="B2889" s="51" t="n">
        <v>44211</v>
      </c>
      <c r="C2889" s="36">
        <f>TEXT(B2889,"aaa")</f>
        <v/>
      </c>
      <c r="E2889" s="36">
        <f>INDEX(매칭테이블!C:C,MATCH(RD!G2889,매칭테이블!D:D,0))</f>
        <v/>
      </c>
      <c r="F2889" s="39" t="inlineStr">
        <is>
          <t>카페24</t>
        </is>
      </c>
      <c r="G2889" s="39" t="inlineStr">
        <is>
          <t>유즈 솔리드퍼퓸 - 이그나이트 001제품선택=이그나이트 솔리드퍼퓸 - 30ml</t>
        </is>
      </c>
      <c r="H2889" s="39" t="n">
        <v>2</v>
      </c>
      <c r="I2889" s="36">
        <f>VLOOKUP(G2889,매칭테이블!D:E,2,0)</f>
        <v/>
      </c>
      <c r="J2889" s="39" t="n">
        <v>210101</v>
      </c>
      <c r="L2889" s="36">
        <f>VLOOKUP($P2889,매칭테이블!$G:$J,2,0)*H2889</f>
        <v/>
      </c>
      <c r="M2889" s="36">
        <f>L2889-L2889*VLOOKUP($P2889,매칭테이블!$G:$J,3,0)</f>
        <v/>
      </c>
      <c r="N2889" s="36">
        <f>VLOOKUP($P2889,매칭테이블!$G:$J,4,0)*H2889</f>
        <v/>
      </c>
      <c r="O2889" s="52">
        <f>L2889/1.1</f>
        <v/>
      </c>
      <c r="P2889" s="36">
        <f>F2889&amp;E2889&amp;G2889&amp;J2889</f>
        <v/>
      </c>
    </row>
    <row r="2890">
      <c r="B2890" s="51" t="n">
        <v>44211</v>
      </c>
      <c r="C2890" s="36">
        <f>TEXT(B2890,"aaa")</f>
        <v/>
      </c>
      <c r="E2890" s="36">
        <f>INDEX(매칭테이블!C:C,MATCH(RD!G2890,매칭테이블!D:D,0))</f>
        <v/>
      </c>
      <c r="F2890" s="39" t="inlineStr">
        <is>
          <t>카페24</t>
        </is>
      </c>
      <c r="G2890" s="39" t="inlineStr">
        <is>
          <t>유즈 스테이포에버 솔리드퍼퓸 002제품선택=스테이포에버 1개</t>
        </is>
      </c>
      <c r="H2890" s="39" t="n">
        <v>194</v>
      </c>
      <c r="I2890" s="36">
        <f>VLOOKUP(G2890,매칭테이블!D:E,2,0)</f>
        <v/>
      </c>
      <c r="J2890" s="39" t="n">
        <v>210101</v>
      </c>
      <c r="L2890" s="36">
        <f>VLOOKUP($P2890,매칭테이블!$G:$J,2,0)*H2890</f>
        <v/>
      </c>
      <c r="M2890" s="36">
        <f>L2890-L2890*VLOOKUP($P2890,매칭테이블!$G:$J,3,0)</f>
        <v/>
      </c>
      <c r="N2890" s="36">
        <f>VLOOKUP($P2890,매칭테이블!$G:$J,4,0)*H2890</f>
        <v/>
      </c>
      <c r="O2890" s="52">
        <f>L2890/1.1</f>
        <v/>
      </c>
      <c r="P2890" s="36">
        <f>F2890&amp;E2890&amp;G2890&amp;J2890</f>
        <v/>
      </c>
    </row>
    <row r="2891">
      <c r="B2891" s="51" t="n">
        <v>44211</v>
      </c>
      <c r="C2891" s="36">
        <f>TEXT(B2891,"aaa")</f>
        <v/>
      </c>
      <c r="E2891" s="36">
        <f>INDEX(매칭테이블!C:C,MATCH(RD!G2891,매칭테이블!D:D,0))</f>
        <v/>
      </c>
      <c r="F2891" s="39" t="inlineStr">
        <is>
          <t>카페24</t>
        </is>
      </c>
      <c r="G2891" s="39" t="inlineStr">
        <is>
          <t>유즈 스테이포에버 솔리드퍼퓸 002제품선택=best</t>
        </is>
      </c>
      <c r="H2891" s="39" t="n">
        <v>36</v>
      </c>
      <c r="I2891" s="36">
        <f>VLOOKUP(G2891,매칭테이블!D:E,2,0)</f>
        <v/>
      </c>
      <c r="J2891" s="39" t="n">
        <v>210101</v>
      </c>
      <c r="L2891" s="36">
        <f>VLOOKUP($P2891,매칭테이블!$G:$J,2,0)*H2891</f>
        <v/>
      </c>
      <c r="M2891" s="36">
        <f>L2891-L2891*VLOOKUP($P2891,매칭테이블!$G:$J,3,0)</f>
        <v/>
      </c>
      <c r="N2891" s="36">
        <f>VLOOKUP($P2891,매칭테이블!$G:$J,4,0)*H2891</f>
        <v/>
      </c>
      <c r="O2891" s="52">
        <f>L2891/1.1</f>
        <v/>
      </c>
      <c r="P2891" s="36">
        <f>F2891&amp;E2891&amp;G2891&amp;J2891</f>
        <v/>
      </c>
    </row>
    <row r="2892">
      <c r="B2892" s="51" t="n">
        <v>44211</v>
      </c>
      <c r="C2892" s="36">
        <f>TEXT(B2892,"aaa")</f>
        <v/>
      </c>
      <c r="E2892" s="36">
        <f>INDEX(매칭테이블!C:C,MATCH(RD!G2892,매칭테이블!D:D,0))</f>
        <v/>
      </c>
      <c r="F2892" s="39" t="inlineStr">
        <is>
          <t>카페24</t>
        </is>
      </c>
      <c r="G2892" s="39" t="inlineStr">
        <is>
          <t>유즈 스테이포에버 솔리드퍼퓸 002제품선택=best스테이포에버 2개[28% 할인]</t>
        </is>
      </c>
      <c r="H2892" s="39" t="n">
        <v>74</v>
      </c>
      <c r="I2892" s="36">
        <f>VLOOKUP(G2892,매칭테이블!D:E,2,0)</f>
        <v/>
      </c>
      <c r="J2892" s="39" t="n">
        <v>210101</v>
      </c>
      <c r="L2892" s="36">
        <f>VLOOKUP($P2892,매칭테이블!$G:$J,2,0)*H2892</f>
        <v/>
      </c>
      <c r="M2892" s="36">
        <f>L2892-L2892*VLOOKUP($P2892,매칭테이블!$G:$J,3,0)</f>
        <v/>
      </c>
      <c r="N2892" s="36">
        <f>VLOOKUP($P2892,매칭테이블!$G:$J,4,0)*H2892</f>
        <v/>
      </c>
      <c r="O2892" s="52">
        <f>L2892/1.1</f>
        <v/>
      </c>
      <c r="P2892" s="36">
        <f>F2892&amp;E2892&amp;G2892&amp;J2892</f>
        <v/>
      </c>
    </row>
    <row r="2893">
      <c r="B2893" s="51" t="n">
        <v>44211</v>
      </c>
      <c r="C2893" s="36">
        <f>TEXT(B2893,"aaa")</f>
        <v/>
      </c>
      <c r="E2893" s="36">
        <f>INDEX(매칭테이블!C:C,MATCH(RD!G2893,매칭테이블!D:D,0))</f>
        <v/>
      </c>
      <c r="F2893" s="39" t="inlineStr">
        <is>
          <t>카페24</t>
        </is>
      </c>
      <c r="G2893" s="39" t="inlineStr">
        <is>
          <t>유즈 스테이포에버 솔리드퍼퓸 002제품선택=커플추천</t>
        </is>
      </c>
      <c r="H2893" s="39" t="n">
        <v>2</v>
      </c>
      <c r="I2893" s="36">
        <f>VLOOKUP(G2893,매칭테이블!D:E,2,0)</f>
        <v/>
      </c>
      <c r="J2893" s="39" t="n">
        <v>210101</v>
      </c>
      <c r="L2893" s="36">
        <f>VLOOKUP($P2893,매칭테이블!$G:$J,2,0)*H2893</f>
        <v/>
      </c>
      <c r="M2893" s="36">
        <f>L2893-L2893*VLOOKUP($P2893,매칭테이블!$G:$J,3,0)</f>
        <v/>
      </c>
      <c r="N2893" s="36">
        <f>VLOOKUP($P2893,매칭테이블!$G:$J,4,0)*H2893</f>
        <v/>
      </c>
      <c r="O2893" s="52">
        <f>L2893/1.1</f>
        <v/>
      </c>
      <c r="P2893" s="36">
        <f>F2893&amp;E2893&amp;G2893&amp;J2893</f>
        <v/>
      </c>
    </row>
    <row r="2894">
      <c r="B2894" s="51" t="n">
        <v>44211</v>
      </c>
      <c r="C2894" s="36">
        <f>TEXT(B2894,"aaa")</f>
        <v/>
      </c>
      <c r="E2894" s="36">
        <f>INDEX(매칭테이블!C:C,MATCH(RD!G2894,매칭테이블!D:D,0))</f>
        <v/>
      </c>
      <c r="F2894" s="39" t="inlineStr">
        <is>
          <t>카페24</t>
        </is>
      </c>
      <c r="G2894" s="39" t="inlineStr">
        <is>
          <t>유즈 스테이포에버 솔리드퍼퓸 002제품선택=커플추천스테이포에버 + 이그나이트 세트</t>
        </is>
      </c>
      <c r="H2894" s="39" t="n">
        <v>14</v>
      </c>
      <c r="I2894" s="36">
        <f>VLOOKUP(G2894,매칭테이블!D:E,2,0)</f>
        <v/>
      </c>
      <c r="J2894" s="39" t="n">
        <v>210101</v>
      </c>
      <c r="L2894" s="36">
        <f>VLOOKUP($P2894,매칭테이블!$G:$J,2,0)*H2894</f>
        <v/>
      </c>
      <c r="M2894" s="36">
        <f>L2894-L2894*VLOOKUP($P2894,매칭테이블!$G:$J,3,0)</f>
        <v/>
      </c>
      <c r="N2894" s="36">
        <f>VLOOKUP($P2894,매칭테이블!$G:$J,4,0)*H2894</f>
        <v/>
      </c>
      <c r="O2894" s="52">
        <f>L2894/1.1</f>
        <v/>
      </c>
      <c r="P2894" s="36">
        <f>F2894&amp;E2894&amp;G2894&amp;J2894</f>
        <v/>
      </c>
    </row>
    <row r="2895">
      <c r="B2895" s="51" t="n">
        <v>44211</v>
      </c>
      <c r="C2895" s="36">
        <f>TEXT(B2895,"aaa")</f>
        <v/>
      </c>
      <c r="E2895" s="36">
        <f>INDEX(매칭테이블!C:C,MATCH(RD!G2895,매칭테이블!D:D,0))</f>
        <v/>
      </c>
      <c r="F2895" s="39" t="inlineStr">
        <is>
          <t>카페24</t>
        </is>
      </c>
      <c r="G2895" s="39" t="inlineStr">
        <is>
          <t>유즈 스테이포에버 솔리드퍼퓸 002쇼핑백=선물용 쇼핑백</t>
        </is>
      </c>
      <c r="H2895" s="39" t="n">
        <v>11</v>
      </c>
      <c r="I2895" s="36">
        <f>VLOOKUP(G2895,매칭테이블!D:E,2,0)</f>
        <v/>
      </c>
      <c r="J2895" s="39" t="n">
        <v>210101</v>
      </c>
      <c r="L2895" s="36">
        <f>VLOOKUP($P2895,매칭테이블!$G:$J,2,0)*H2895</f>
        <v/>
      </c>
      <c r="M2895" s="36">
        <f>L2895-L2895*VLOOKUP($P2895,매칭테이블!$G:$J,3,0)</f>
        <v/>
      </c>
      <c r="N2895" s="36">
        <f>VLOOKUP($P2895,매칭테이블!$G:$J,4,0)*H2895</f>
        <v/>
      </c>
      <c r="O2895" s="52">
        <f>L2895/1.1</f>
        <v/>
      </c>
      <c r="P2895" s="36">
        <f>F2895&amp;E2895&amp;G2895&amp;J2895</f>
        <v/>
      </c>
    </row>
    <row r="2896">
      <c r="B2896" s="51" t="n">
        <v>44211</v>
      </c>
      <c r="C2896" s="36">
        <f>TEXT(B2896,"aaa")</f>
        <v/>
      </c>
      <c r="E2896" s="36">
        <f>INDEX(매칭테이블!C:C,MATCH(RD!G2896,매칭테이블!D:D,0))</f>
        <v/>
      </c>
      <c r="F2896" s="39" t="inlineStr">
        <is>
          <t>카페24</t>
        </is>
      </c>
      <c r="G2896" s="39" t="inlineStr">
        <is>
          <t>유즈 스테이포에버 솔리드퍼퓸 002 (11차 예약구매 진행중)제품선택=스테이포에버 1개</t>
        </is>
      </c>
      <c r="H2896" s="39" t="n">
        <v>3</v>
      </c>
      <c r="I2896" s="36">
        <f>VLOOKUP(G2896,매칭테이블!D:E,2,0)</f>
        <v/>
      </c>
      <c r="J2896" s="39" t="n">
        <v>210101</v>
      </c>
      <c r="L2896" s="36">
        <f>VLOOKUP($P2896,매칭테이블!$G:$J,2,0)*H2896</f>
        <v/>
      </c>
      <c r="M2896" s="36">
        <f>L2896-L2896*VLOOKUP($P2896,매칭테이블!$G:$J,3,0)</f>
        <v/>
      </c>
      <c r="N2896" s="36">
        <f>VLOOKUP($P2896,매칭테이블!$G:$J,4,0)*H2896</f>
        <v/>
      </c>
      <c r="O2896" s="52">
        <f>L2896/1.1</f>
        <v/>
      </c>
      <c r="P2896" s="36">
        <f>F2896&amp;E2896&amp;G2896&amp;J2896</f>
        <v/>
      </c>
    </row>
    <row r="2897">
      <c r="B2897" s="51" t="n">
        <v>44211</v>
      </c>
      <c r="C2897" s="36">
        <f>TEXT(B2897,"aaa")</f>
        <v/>
      </c>
      <c r="E2897" s="36">
        <f>INDEX(매칭테이블!C:C,MATCH(RD!G2897,매칭테이블!D:D,0))</f>
        <v/>
      </c>
      <c r="F2897" s="39" t="inlineStr">
        <is>
          <t>카페24</t>
        </is>
      </c>
      <c r="G2897" s="39" t="inlineStr">
        <is>
          <t>유즈 스테이포에버 솔리드퍼퓸 002 (11차 예약구매 진행중)제품선택=best</t>
        </is>
      </c>
      <c r="H2897" s="39" t="n">
        <v>1</v>
      </c>
      <c r="I2897" s="36">
        <f>VLOOKUP(G2897,매칭테이블!D:E,2,0)</f>
        <v/>
      </c>
      <c r="J2897" s="39" t="n">
        <v>210101</v>
      </c>
      <c r="L2897" s="36">
        <f>VLOOKUP($P2897,매칭테이블!$G:$J,2,0)*H2897</f>
        <v/>
      </c>
      <c r="M2897" s="36">
        <f>L2897-L2897*VLOOKUP($P2897,매칭테이블!$G:$J,3,0)</f>
        <v/>
      </c>
      <c r="N2897" s="36">
        <f>VLOOKUP($P2897,매칭테이블!$G:$J,4,0)*H2897</f>
        <v/>
      </c>
      <c r="O2897" s="52">
        <f>L2897/1.1</f>
        <v/>
      </c>
      <c r="P2897" s="36">
        <f>F2897&amp;E2897&amp;G2897&amp;J2897</f>
        <v/>
      </c>
    </row>
    <row r="2898">
      <c r="B2898" s="51" t="n">
        <v>44211</v>
      </c>
      <c r="C2898" s="36">
        <f>TEXT(B2898,"aaa")</f>
        <v/>
      </c>
      <c r="E2898" s="36">
        <f>INDEX(매칭테이블!C:C,MATCH(RD!G2898,매칭테이블!D:D,0))</f>
        <v/>
      </c>
      <c r="F2898" s="39" t="inlineStr">
        <is>
          <t>카페24</t>
        </is>
      </c>
      <c r="G2898" s="39" t="inlineStr">
        <is>
          <t>유즈 이그나이트 솔리드퍼퓸 001제품선택=이그나이트 솔리드퍼퓸 - 30ml</t>
        </is>
      </c>
      <c r="H2898" s="39" t="n">
        <v>4</v>
      </c>
      <c r="I2898" s="36">
        <f>VLOOKUP(G2898,매칭테이블!D:E,2,0)</f>
        <v/>
      </c>
      <c r="J2898" s="39" t="n">
        <v>210101</v>
      </c>
      <c r="L2898" s="36">
        <f>VLOOKUP($P2898,매칭테이블!$G:$J,2,0)*H2898</f>
        <v/>
      </c>
      <c r="M2898" s="36">
        <f>L2898-L2898*VLOOKUP($P2898,매칭테이블!$G:$J,3,0)</f>
        <v/>
      </c>
      <c r="N2898" s="36">
        <f>VLOOKUP($P2898,매칭테이블!$G:$J,4,0)*H2898</f>
        <v/>
      </c>
      <c r="O2898" s="52">
        <f>L2898/1.1</f>
        <v/>
      </c>
      <c r="P2898" s="36">
        <f>F2898&amp;E2898&amp;G2898&amp;J2898</f>
        <v/>
      </c>
    </row>
    <row r="2899">
      <c r="B2899" s="51" t="n">
        <v>44211</v>
      </c>
      <c r="C2899" s="36">
        <f>TEXT(B2899,"aaa")</f>
        <v/>
      </c>
      <c r="E2899" s="36">
        <f>INDEX(매칭테이블!C:C,MATCH(RD!G2899,매칭테이블!D:D,0))</f>
        <v/>
      </c>
      <c r="F2899" s="39" t="inlineStr">
        <is>
          <t>카페24</t>
        </is>
      </c>
      <c r="G2899" s="39" t="inlineStr">
        <is>
          <t>유즈 이그나이트 솔리드퍼퓸 001제품선택=이그나이트 2개 세트</t>
        </is>
      </c>
      <c r="H2899" s="39" t="n">
        <v>3</v>
      </c>
      <c r="I2899" s="36">
        <f>VLOOKUP(G2899,매칭테이블!D:E,2,0)</f>
        <v/>
      </c>
      <c r="J2899" s="39" t="n">
        <v>210101</v>
      </c>
      <c r="L2899" s="36">
        <f>VLOOKUP($P2899,매칭테이블!$G:$J,2,0)*H2899</f>
        <v/>
      </c>
      <c r="M2899" s="36">
        <f>L2899-L2899*VLOOKUP($P2899,매칭테이블!$G:$J,3,0)</f>
        <v/>
      </c>
      <c r="N2899" s="36">
        <f>VLOOKUP($P2899,매칭테이블!$G:$J,4,0)*H2899</f>
        <v/>
      </c>
      <c r="O2899" s="52">
        <f>L2899/1.1</f>
        <v/>
      </c>
      <c r="P2899" s="36">
        <f>F2899&amp;E2899&amp;G2899&amp;J2899</f>
        <v/>
      </c>
    </row>
    <row r="2900">
      <c r="B2900" s="51" t="n">
        <v>44211</v>
      </c>
      <c r="C2900" s="36">
        <f>TEXT(B2900,"aaa")</f>
        <v/>
      </c>
      <c r="E2900" s="36">
        <f>INDEX(매칭테이블!C:C,MATCH(RD!G2900,매칭테이블!D:D,0))</f>
        <v/>
      </c>
      <c r="F2900" s="39" t="inlineStr">
        <is>
          <t>카페24</t>
        </is>
      </c>
      <c r="G2900" s="39" t="inlineStr">
        <is>
          <t>유즈 이그나이트 솔리드퍼퓸 001쇼핑백=선물용 쇼핑백</t>
        </is>
      </c>
      <c r="H2900" s="39" t="n">
        <v>1</v>
      </c>
      <c r="I2900" s="36">
        <f>VLOOKUP(G2900,매칭테이블!D:E,2,0)</f>
        <v/>
      </c>
      <c r="J2900" s="39" t="n">
        <v>210101</v>
      </c>
      <c r="L2900" s="36">
        <f>VLOOKUP($P2900,매칭테이블!$G:$J,2,0)*H2900</f>
        <v/>
      </c>
      <c r="M2900" s="36">
        <f>L2900-L2900*VLOOKUP($P2900,매칭테이블!$G:$J,3,0)</f>
        <v/>
      </c>
      <c r="N2900" s="36">
        <f>VLOOKUP($P2900,매칭테이블!$G:$J,4,0)*H2900</f>
        <v/>
      </c>
      <c r="O2900" s="52">
        <f>L2900/1.1</f>
        <v/>
      </c>
      <c r="P2900" s="36">
        <f>F2900&amp;E2900&amp;G2900&amp;J2900</f>
        <v/>
      </c>
    </row>
    <row r="2901">
      <c r="B2901" s="51" t="n">
        <v>44212</v>
      </c>
      <c r="C2901" s="36">
        <f>TEXT(B2901,"aaa")</f>
        <v/>
      </c>
      <c r="E2901" s="36">
        <f>INDEX(매칭테이블!C:C,MATCH(RD!G2901,매칭테이블!D:D,0))</f>
        <v/>
      </c>
      <c r="F2901" s="39" t="inlineStr">
        <is>
          <t>카페24</t>
        </is>
      </c>
      <c r="G2901" s="39" t="inlineStr">
        <is>
          <t>유즈 솔리드퍼퓸 - 30ml향=이그나이트 001 SOLID PERFUME, 세트 선택=1개</t>
        </is>
      </c>
      <c r="H2901" s="39" t="n">
        <v>1</v>
      </c>
      <c r="I2901" s="36">
        <f>VLOOKUP(G2901,매칭테이블!D:E,2,0)</f>
        <v/>
      </c>
      <c r="J2901" s="39" t="n">
        <v>210101</v>
      </c>
      <c r="L2901" s="36">
        <f>VLOOKUP($P2901,매칭테이블!$G:$J,2,0)*H2901</f>
        <v/>
      </c>
      <c r="M2901" s="36">
        <f>L2901-L2901*VLOOKUP($P2901,매칭테이블!$G:$J,3,0)</f>
        <v/>
      </c>
      <c r="N2901" s="36">
        <f>VLOOKUP($P2901,매칭테이블!$G:$J,4,0)*H2901</f>
        <v/>
      </c>
      <c r="O2901" s="52">
        <f>L2901/1.1</f>
        <v/>
      </c>
      <c r="P2901" s="36">
        <f>F2901&amp;E2901&amp;G2901&amp;J2901</f>
        <v/>
      </c>
    </row>
    <row r="2902">
      <c r="B2902" s="51" t="n">
        <v>44212</v>
      </c>
      <c r="C2902" s="36">
        <f>TEXT(B2902,"aaa")</f>
        <v/>
      </c>
      <c r="E2902" s="36">
        <f>INDEX(매칭테이블!C:C,MATCH(RD!G2902,매칭테이블!D:D,0))</f>
        <v/>
      </c>
      <c r="F2902" s="39" t="inlineStr">
        <is>
          <t>카페24</t>
        </is>
      </c>
      <c r="G2902" s="39" t="inlineStr">
        <is>
          <t>유즈 솔리드퍼퓸 - 30ml향=스테이포에버 002 SOLID PERFUME, 세트 선택=1개</t>
        </is>
      </c>
      <c r="H2902" s="39" t="n">
        <v>9</v>
      </c>
      <c r="I2902" s="36">
        <f>VLOOKUP(G2902,매칭테이블!D:E,2,0)</f>
        <v/>
      </c>
      <c r="J2902" s="39" t="n">
        <v>210101</v>
      </c>
      <c r="L2902" s="36">
        <f>VLOOKUP($P2902,매칭테이블!$G:$J,2,0)*H2902</f>
        <v/>
      </c>
      <c r="M2902" s="36">
        <f>L2902-L2902*VLOOKUP($P2902,매칭테이블!$G:$J,3,0)</f>
        <v/>
      </c>
      <c r="N2902" s="36">
        <f>VLOOKUP($P2902,매칭테이블!$G:$J,4,0)*H2902</f>
        <v/>
      </c>
      <c r="O2902" s="52">
        <f>L2902/1.1</f>
        <v/>
      </c>
      <c r="P2902" s="36">
        <f>F2902&amp;E2902&amp;G2902&amp;J2902</f>
        <v/>
      </c>
    </row>
    <row r="2903">
      <c r="B2903" s="51" t="n">
        <v>44212</v>
      </c>
      <c r="C2903" s="36">
        <f>TEXT(B2903,"aaa")</f>
        <v/>
      </c>
      <c r="E2903" s="36">
        <f>INDEX(매칭테이블!C:C,MATCH(RD!G2903,매칭테이블!D:D,0))</f>
        <v/>
      </c>
      <c r="F2903" s="39" t="inlineStr">
        <is>
          <t>카페24</t>
        </is>
      </c>
      <c r="G2903" s="39" t="inlineStr">
        <is>
          <t>유즈 솔리드퍼퓸 - 30ml향=스테이포에버 002 SOLID PERFUME, 세트 선택=best</t>
        </is>
      </c>
      <c r="H2903" s="39" t="n">
        <v>2</v>
      </c>
      <c r="I2903" s="36">
        <f>VLOOKUP(G2903,매칭테이블!D:E,2,0)</f>
        <v/>
      </c>
      <c r="J2903" s="39" t="n">
        <v>210101</v>
      </c>
      <c r="L2903" s="36">
        <f>VLOOKUP($P2903,매칭테이블!$G:$J,2,0)*H2903</f>
        <v/>
      </c>
      <c r="M2903" s="36">
        <f>L2903-L2903*VLOOKUP($P2903,매칭테이블!$G:$J,3,0)</f>
        <v/>
      </c>
      <c r="N2903" s="36">
        <f>VLOOKUP($P2903,매칭테이블!$G:$J,4,0)*H2903</f>
        <v/>
      </c>
      <c r="O2903" s="52">
        <f>L2903/1.1</f>
        <v/>
      </c>
      <c r="P2903" s="36">
        <f>F2903&amp;E2903&amp;G2903&amp;J2903</f>
        <v/>
      </c>
    </row>
    <row r="2904">
      <c r="B2904" s="51" t="n">
        <v>44212</v>
      </c>
      <c r="C2904" s="36">
        <f>TEXT(B2904,"aaa")</f>
        <v/>
      </c>
      <c r="E2904" s="36">
        <f>INDEX(매칭테이블!C:C,MATCH(RD!G2904,매칭테이블!D:D,0))</f>
        <v/>
      </c>
      <c r="F2904" s="39" t="inlineStr">
        <is>
          <t>카페24</t>
        </is>
      </c>
      <c r="G2904" s="39" t="inlineStr">
        <is>
          <t>유즈 솔리드퍼퓸 - 30ml향=스테이포에버 002 SOLID PERFUME, 세트 선택=best 2개 (28% 할인)</t>
        </is>
      </c>
      <c r="H2904" s="39" t="n">
        <v>2</v>
      </c>
      <c r="I2904" s="36">
        <f>VLOOKUP(G2904,매칭테이블!D:E,2,0)</f>
        <v/>
      </c>
      <c r="J2904" s="39" t="n">
        <v>210101</v>
      </c>
      <c r="L2904" s="36">
        <f>VLOOKUP($P2904,매칭테이블!$G:$J,2,0)*H2904</f>
        <v/>
      </c>
      <c r="M2904" s="36">
        <f>L2904-L2904*VLOOKUP($P2904,매칭테이블!$G:$J,3,0)</f>
        <v/>
      </c>
      <c r="N2904" s="36">
        <f>VLOOKUP($P2904,매칭테이블!$G:$J,4,0)*H2904</f>
        <v/>
      </c>
      <c r="O2904" s="52">
        <f>L2904/1.1</f>
        <v/>
      </c>
      <c r="P2904" s="36">
        <f>F2904&amp;E2904&amp;G2904&amp;J2904</f>
        <v/>
      </c>
    </row>
    <row r="2905">
      <c r="B2905" s="51" t="n">
        <v>44212</v>
      </c>
      <c r="C2905" s="36">
        <f>TEXT(B2905,"aaa")</f>
        <v/>
      </c>
      <c r="E2905" s="36">
        <f>INDEX(매칭테이블!C:C,MATCH(RD!G2905,매칭테이블!D:D,0))</f>
        <v/>
      </c>
      <c r="F2905" s="39" t="inlineStr">
        <is>
          <t>카페24</t>
        </is>
      </c>
      <c r="G2905" s="39" t="inlineStr">
        <is>
          <t>유즈 솔리드퍼퓸 - 30ml향=커플세트</t>
        </is>
      </c>
      <c r="H2905" s="39" t="n">
        <v>6</v>
      </c>
      <c r="I2905" s="36">
        <f>VLOOKUP(G2905,매칭테이블!D:E,2,0)</f>
        <v/>
      </c>
      <c r="J2905" s="39" t="n">
        <v>210101</v>
      </c>
      <c r="L2905" s="36">
        <f>VLOOKUP($P2905,매칭테이블!$G:$J,2,0)*H2905</f>
        <v/>
      </c>
      <c r="M2905" s="36">
        <f>L2905-L2905*VLOOKUP($P2905,매칭테이블!$G:$J,3,0)</f>
        <v/>
      </c>
      <c r="N2905" s="36">
        <f>VLOOKUP($P2905,매칭테이블!$G:$J,4,0)*H2905</f>
        <v/>
      </c>
      <c r="O2905" s="52">
        <f>L2905/1.1</f>
        <v/>
      </c>
      <c r="P2905" s="36">
        <f>F2905&amp;E2905&amp;G2905&amp;J2905</f>
        <v/>
      </c>
    </row>
    <row r="2906">
      <c r="B2906" s="51" t="n">
        <v>44212</v>
      </c>
      <c r="C2906" s="36">
        <f>TEXT(B2906,"aaa")</f>
        <v/>
      </c>
      <c r="E2906" s="36">
        <f>INDEX(매칭테이블!C:C,MATCH(RD!G2906,매칭테이블!D:D,0))</f>
        <v/>
      </c>
      <c r="F2906" s="39" t="inlineStr">
        <is>
          <t>카페24</t>
        </is>
      </c>
      <c r="G2906" s="39" t="inlineStr">
        <is>
          <t>유즈 솔리드퍼퓸 - 30ml향=커플세트(이그나이트 + 스테이포에버), 세트 선택=1 SET</t>
        </is>
      </c>
      <c r="H2906" s="39" t="n">
        <v>2</v>
      </c>
      <c r="I2906" s="36">
        <f>VLOOKUP(G2906,매칭테이블!D:E,2,0)</f>
        <v/>
      </c>
      <c r="J2906" s="39" t="n">
        <v>210101</v>
      </c>
      <c r="L2906" s="36">
        <f>VLOOKUP($P2906,매칭테이블!$G:$J,2,0)*H2906</f>
        <v/>
      </c>
      <c r="M2906" s="36">
        <f>L2906-L2906*VLOOKUP($P2906,매칭테이블!$G:$J,3,0)</f>
        <v/>
      </c>
      <c r="N2906" s="36">
        <f>VLOOKUP($P2906,매칭테이블!$G:$J,4,0)*H2906</f>
        <v/>
      </c>
      <c r="O2906" s="52">
        <f>L2906/1.1</f>
        <v/>
      </c>
      <c r="P2906" s="36">
        <f>F2906&amp;E2906&amp;G2906&amp;J2906</f>
        <v/>
      </c>
    </row>
    <row r="2907">
      <c r="B2907" s="51" t="n">
        <v>44212</v>
      </c>
      <c r="C2907" s="36">
        <f>TEXT(B2907,"aaa")</f>
        <v/>
      </c>
      <c r="E2907" s="36">
        <f>INDEX(매칭테이블!C:C,MATCH(RD!G2907,매칭테이블!D:D,0))</f>
        <v/>
      </c>
      <c r="F2907" s="39" t="inlineStr">
        <is>
          <t>카페24</t>
        </is>
      </c>
      <c r="G2907" s="39" t="inlineStr">
        <is>
          <t>유즈 솔리드퍼퓸 - 30ml향=커플세트</t>
        </is>
      </c>
      <c r="H2907" s="39" t="n">
        <v>1</v>
      </c>
      <c r="I2907" s="36">
        <f>VLOOKUP(G2907,매칭테이블!D:E,2,0)</f>
        <v/>
      </c>
      <c r="J2907" s="39" t="n">
        <v>210101</v>
      </c>
      <c r="L2907" s="36">
        <f>VLOOKUP($P2907,매칭테이블!$G:$J,2,0)*H2907</f>
        <v/>
      </c>
      <c r="M2907" s="36">
        <f>L2907-L2907*VLOOKUP($P2907,매칭테이블!$G:$J,3,0)</f>
        <v/>
      </c>
      <c r="N2907" s="36">
        <f>VLOOKUP($P2907,매칭테이블!$G:$J,4,0)*H2907</f>
        <v/>
      </c>
      <c r="O2907" s="52">
        <f>L2907/1.1</f>
        <v/>
      </c>
      <c r="P2907" s="36">
        <f>F2907&amp;E2907&amp;G2907&amp;J2907</f>
        <v/>
      </c>
    </row>
    <row r="2908">
      <c r="B2908" s="51" t="n">
        <v>44212</v>
      </c>
      <c r="C2908" s="36">
        <f>TEXT(B2908,"aaa")</f>
        <v/>
      </c>
      <c r="E2908" s="36">
        <f>INDEX(매칭테이블!C:C,MATCH(RD!G2908,매칭테이블!D:D,0))</f>
        <v/>
      </c>
      <c r="F2908" s="39" t="inlineStr">
        <is>
          <t>카페24</t>
        </is>
      </c>
      <c r="G2908" s="39" t="inlineStr">
        <is>
          <t>유즈 솔리드퍼퓸 - 스테이포에버 002제품선택=스테이포에버 1개</t>
        </is>
      </c>
      <c r="H2908" s="39" t="n">
        <v>370</v>
      </c>
      <c r="I2908" s="36">
        <f>VLOOKUP(G2908,매칭테이블!D:E,2,0)</f>
        <v/>
      </c>
      <c r="J2908" s="39" t="n">
        <v>210101</v>
      </c>
      <c r="L2908" s="36">
        <f>VLOOKUP($P2908,매칭테이블!$G:$J,2,0)*H2908</f>
        <v/>
      </c>
      <c r="M2908" s="36">
        <f>L2908-L2908*VLOOKUP($P2908,매칭테이블!$G:$J,3,0)</f>
        <v/>
      </c>
      <c r="N2908" s="36">
        <f>VLOOKUP($P2908,매칭테이블!$G:$J,4,0)*H2908</f>
        <v/>
      </c>
      <c r="O2908" s="52">
        <f>L2908/1.1</f>
        <v/>
      </c>
      <c r="P2908" s="36">
        <f>F2908&amp;E2908&amp;G2908&amp;J2908</f>
        <v/>
      </c>
    </row>
    <row r="2909">
      <c r="B2909" s="51" t="n">
        <v>44212</v>
      </c>
      <c r="C2909" s="36">
        <f>TEXT(B2909,"aaa")</f>
        <v/>
      </c>
      <c r="E2909" s="36">
        <f>INDEX(매칭테이블!C:C,MATCH(RD!G2909,매칭테이블!D:D,0))</f>
        <v/>
      </c>
      <c r="F2909" s="39" t="inlineStr">
        <is>
          <t>카페24</t>
        </is>
      </c>
      <c r="G2909" s="39" t="inlineStr">
        <is>
          <t>유즈 솔리드퍼퓸 - 스테이포에버 002제품선택=best</t>
        </is>
      </c>
      <c r="H2909" s="39" t="n">
        <v>61</v>
      </c>
      <c r="I2909" s="36">
        <f>VLOOKUP(G2909,매칭테이블!D:E,2,0)</f>
        <v/>
      </c>
      <c r="J2909" s="39" t="n">
        <v>210101</v>
      </c>
      <c r="L2909" s="36">
        <f>VLOOKUP($P2909,매칭테이블!$G:$J,2,0)*H2909</f>
        <v/>
      </c>
      <c r="M2909" s="36">
        <f>L2909-L2909*VLOOKUP($P2909,매칭테이블!$G:$J,3,0)</f>
        <v/>
      </c>
      <c r="N2909" s="36">
        <f>VLOOKUP($P2909,매칭테이블!$G:$J,4,0)*H2909</f>
        <v/>
      </c>
      <c r="O2909" s="52">
        <f>L2909/1.1</f>
        <v/>
      </c>
      <c r="P2909" s="36">
        <f>F2909&amp;E2909&amp;G2909&amp;J2909</f>
        <v/>
      </c>
    </row>
    <row r="2910">
      <c r="B2910" s="51" t="n">
        <v>44212</v>
      </c>
      <c r="C2910" s="36">
        <f>TEXT(B2910,"aaa")</f>
        <v/>
      </c>
      <c r="E2910" s="36">
        <f>INDEX(매칭테이블!C:C,MATCH(RD!G2910,매칭테이블!D:D,0))</f>
        <v/>
      </c>
      <c r="F2910" s="39" t="inlineStr">
        <is>
          <t>카페24</t>
        </is>
      </c>
      <c r="G2910" s="39" t="inlineStr">
        <is>
          <t>유즈 솔리드퍼퓸 - 스테이포에버 002제품선택=best스테이포에버 2개[28% 할인]</t>
        </is>
      </c>
      <c r="H2910" s="39" t="n">
        <v>112</v>
      </c>
      <c r="I2910" s="36">
        <f>VLOOKUP(G2910,매칭테이블!D:E,2,0)</f>
        <v/>
      </c>
      <c r="J2910" s="39" t="n">
        <v>210101</v>
      </c>
      <c r="L2910" s="36">
        <f>VLOOKUP($P2910,매칭테이블!$G:$J,2,0)*H2910</f>
        <v/>
      </c>
      <c r="M2910" s="36">
        <f>L2910-L2910*VLOOKUP($P2910,매칭테이블!$G:$J,3,0)</f>
        <v/>
      </c>
      <c r="N2910" s="36">
        <f>VLOOKUP($P2910,매칭테이블!$G:$J,4,0)*H2910</f>
        <v/>
      </c>
      <c r="O2910" s="52">
        <f>L2910/1.1</f>
        <v/>
      </c>
      <c r="P2910" s="36">
        <f>F2910&amp;E2910&amp;G2910&amp;J2910</f>
        <v/>
      </c>
    </row>
    <row r="2911">
      <c r="B2911" s="51" t="n">
        <v>44212</v>
      </c>
      <c r="C2911" s="36">
        <f>TEXT(B2911,"aaa")</f>
        <v/>
      </c>
      <c r="E2911" s="36">
        <f>INDEX(매칭테이블!C:C,MATCH(RD!G2911,매칭테이블!D:D,0))</f>
        <v/>
      </c>
      <c r="F2911" s="39" t="inlineStr">
        <is>
          <t>카페24</t>
        </is>
      </c>
      <c r="G2911" s="39" t="inlineStr">
        <is>
          <t>유즈 솔리드퍼퓸 - 스테이포에버 002제품선택=커플추천</t>
        </is>
      </c>
      <c r="H2911" s="39" t="n">
        <v>10</v>
      </c>
      <c r="I2911" s="36">
        <f>VLOOKUP(G2911,매칭테이블!D:E,2,0)</f>
        <v/>
      </c>
      <c r="J2911" s="39" t="n">
        <v>210101</v>
      </c>
      <c r="L2911" s="36">
        <f>VLOOKUP($P2911,매칭테이블!$G:$J,2,0)*H2911</f>
        <v/>
      </c>
      <c r="M2911" s="36">
        <f>L2911-L2911*VLOOKUP($P2911,매칭테이블!$G:$J,3,0)</f>
        <v/>
      </c>
      <c r="N2911" s="36">
        <f>VLOOKUP($P2911,매칭테이블!$G:$J,4,0)*H2911</f>
        <v/>
      </c>
      <c r="O2911" s="52">
        <f>L2911/1.1</f>
        <v/>
      </c>
      <c r="P2911" s="36">
        <f>F2911&amp;E2911&amp;G2911&amp;J2911</f>
        <v/>
      </c>
    </row>
    <row r="2912">
      <c r="B2912" s="51" t="n">
        <v>44212</v>
      </c>
      <c r="C2912" s="36">
        <f>TEXT(B2912,"aaa")</f>
        <v/>
      </c>
      <c r="E2912" s="36">
        <f>INDEX(매칭테이블!C:C,MATCH(RD!G2912,매칭테이블!D:D,0))</f>
        <v/>
      </c>
      <c r="F2912" s="39" t="inlineStr">
        <is>
          <t>카페24</t>
        </is>
      </c>
      <c r="G2912" s="39" t="inlineStr">
        <is>
          <t>유즈 솔리드퍼퓸 - 스테이포에버 002제품선택=커플추천스테이포에버 + 이그나이트 세트</t>
        </is>
      </c>
      <c r="H2912" s="39" t="n">
        <v>18</v>
      </c>
      <c r="I2912" s="36">
        <f>VLOOKUP(G2912,매칭테이블!D:E,2,0)</f>
        <v/>
      </c>
      <c r="J2912" s="39" t="n">
        <v>210101</v>
      </c>
      <c r="L2912" s="36">
        <f>VLOOKUP($P2912,매칭테이블!$G:$J,2,0)*H2912</f>
        <v/>
      </c>
      <c r="M2912" s="36">
        <f>L2912-L2912*VLOOKUP($P2912,매칭테이블!$G:$J,3,0)</f>
        <v/>
      </c>
      <c r="N2912" s="36">
        <f>VLOOKUP($P2912,매칭테이블!$G:$J,4,0)*H2912</f>
        <v/>
      </c>
      <c r="O2912" s="52">
        <f>L2912/1.1</f>
        <v/>
      </c>
      <c r="P2912" s="36">
        <f>F2912&amp;E2912&amp;G2912&amp;J2912</f>
        <v/>
      </c>
    </row>
    <row r="2913">
      <c r="B2913" s="51" t="n">
        <v>44212</v>
      </c>
      <c r="C2913" s="36">
        <f>TEXT(B2913,"aaa")</f>
        <v/>
      </c>
      <c r="E2913" s="36">
        <f>INDEX(매칭테이블!C:C,MATCH(RD!G2913,매칭테이블!D:D,0))</f>
        <v/>
      </c>
      <c r="F2913" s="39" t="inlineStr">
        <is>
          <t>카페24</t>
        </is>
      </c>
      <c r="G2913" s="39" t="inlineStr">
        <is>
          <t>유즈 솔리드퍼퓸 - 스테이포에버 002쇼핑백=선물용 쇼핑백</t>
        </is>
      </c>
      <c r="H2913" s="39" t="n">
        <v>13</v>
      </c>
      <c r="I2913" s="36">
        <f>VLOOKUP(G2913,매칭테이블!D:E,2,0)</f>
        <v/>
      </c>
      <c r="J2913" s="39" t="n">
        <v>210101</v>
      </c>
      <c r="L2913" s="36">
        <f>VLOOKUP($P2913,매칭테이블!$G:$J,2,0)*H2913</f>
        <v/>
      </c>
      <c r="M2913" s="36">
        <f>L2913-L2913*VLOOKUP($P2913,매칭테이블!$G:$J,3,0)</f>
        <v/>
      </c>
      <c r="N2913" s="36">
        <f>VLOOKUP($P2913,매칭테이블!$G:$J,4,0)*H2913</f>
        <v/>
      </c>
      <c r="O2913" s="52">
        <f>L2913/1.1</f>
        <v/>
      </c>
      <c r="P2913" s="36">
        <f>F2913&amp;E2913&amp;G2913&amp;J2913</f>
        <v/>
      </c>
    </row>
    <row r="2914">
      <c r="B2914" s="51" t="n">
        <v>44212</v>
      </c>
      <c r="C2914" s="36">
        <f>TEXT(B2914,"aaa")</f>
        <v/>
      </c>
      <c r="E2914" s="36">
        <f>INDEX(매칭테이블!C:C,MATCH(RD!G2914,매칭테이블!D:D,0))</f>
        <v/>
      </c>
      <c r="F2914" s="39" t="inlineStr">
        <is>
          <t>카페24</t>
        </is>
      </c>
      <c r="G2914" s="39" t="inlineStr">
        <is>
          <t>유즈 솔리드퍼퓸 - 이그나이트 001제품선택=이그나이트 솔리드퍼퓸 - 30ml</t>
        </is>
      </c>
      <c r="H2914" s="39" t="n">
        <v>3</v>
      </c>
      <c r="I2914" s="36">
        <f>VLOOKUP(G2914,매칭테이블!D:E,2,0)</f>
        <v/>
      </c>
      <c r="J2914" s="39" t="n">
        <v>210101</v>
      </c>
      <c r="L2914" s="36">
        <f>VLOOKUP($P2914,매칭테이블!$G:$J,2,0)*H2914</f>
        <v/>
      </c>
      <c r="M2914" s="36">
        <f>L2914-L2914*VLOOKUP($P2914,매칭테이블!$G:$J,3,0)</f>
        <v/>
      </c>
      <c r="N2914" s="36">
        <f>VLOOKUP($P2914,매칭테이블!$G:$J,4,0)*H2914</f>
        <v/>
      </c>
      <c r="O2914" s="52">
        <f>L2914/1.1</f>
        <v/>
      </c>
      <c r="P2914" s="36">
        <f>F2914&amp;E2914&amp;G2914&amp;J2914</f>
        <v/>
      </c>
    </row>
    <row r="2915">
      <c r="B2915" s="51" t="n">
        <v>44212</v>
      </c>
      <c r="C2915" s="36">
        <f>TEXT(B2915,"aaa")</f>
        <v/>
      </c>
      <c r="E2915" s="36">
        <f>INDEX(매칭테이블!C:C,MATCH(RD!G2915,매칭테이블!D:D,0))</f>
        <v/>
      </c>
      <c r="F2915" s="39" t="inlineStr">
        <is>
          <t>카페24</t>
        </is>
      </c>
      <c r="G2915" s="39" t="inlineStr">
        <is>
          <t>유즈 솔리드퍼퓸 - 이그나이트 001제품선택=이그나이트 2개 세트</t>
        </is>
      </c>
      <c r="H2915" s="39" t="n">
        <v>3</v>
      </c>
      <c r="I2915" s="36">
        <f>VLOOKUP(G2915,매칭테이블!D:E,2,0)</f>
        <v/>
      </c>
      <c r="J2915" s="39" t="n">
        <v>210101</v>
      </c>
      <c r="L2915" s="36">
        <f>VLOOKUP($P2915,매칭테이블!$G:$J,2,0)*H2915</f>
        <v/>
      </c>
      <c r="M2915" s="36">
        <f>L2915-L2915*VLOOKUP($P2915,매칭테이블!$G:$J,3,0)</f>
        <v/>
      </c>
      <c r="N2915" s="36">
        <f>VLOOKUP($P2915,매칭테이블!$G:$J,4,0)*H2915</f>
        <v/>
      </c>
      <c r="O2915" s="52">
        <f>L2915/1.1</f>
        <v/>
      </c>
      <c r="P2915" s="36">
        <f>F2915&amp;E2915&amp;G2915&amp;J2915</f>
        <v/>
      </c>
    </row>
    <row r="2916">
      <c r="B2916" s="51" t="n">
        <v>44212</v>
      </c>
      <c r="C2916" s="36">
        <f>TEXT(B2916,"aaa")</f>
        <v/>
      </c>
      <c r="E2916" s="36">
        <f>INDEX(매칭테이블!C:C,MATCH(RD!G2916,매칭테이블!D:D,0))</f>
        <v/>
      </c>
      <c r="F2916" s="39" t="inlineStr">
        <is>
          <t>카페24</t>
        </is>
      </c>
      <c r="G2916" s="39" t="inlineStr">
        <is>
          <t>유즈 스테이포에버 솔리드퍼퓸 002제품선택=스테이포에버 1개</t>
        </is>
      </c>
      <c r="H2916" s="39" t="n">
        <v>4</v>
      </c>
      <c r="I2916" s="36">
        <f>VLOOKUP(G2916,매칭테이블!D:E,2,0)</f>
        <v/>
      </c>
      <c r="J2916" s="39" t="n">
        <v>210101</v>
      </c>
      <c r="L2916" s="36">
        <f>VLOOKUP($P2916,매칭테이블!$G:$J,2,0)*H2916</f>
        <v/>
      </c>
      <c r="M2916" s="36">
        <f>L2916-L2916*VLOOKUP($P2916,매칭테이블!$G:$J,3,0)</f>
        <v/>
      </c>
      <c r="N2916" s="36">
        <f>VLOOKUP($P2916,매칭테이블!$G:$J,4,0)*H2916</f>
        <v/>
      </c>
      <c r="O2916" s="52">
        <f>L2916/1.1</f>
        <v/>
      </c>
      <c r="P2916" s="36">
        <f>F2916&amp;E2916&amp;G2916&amp;J2916</f>
        <v/>
      </c>
    </row>
    <row r="2917">
      <c r="B2917" s="51" t="n">
        <v>44213</v>
      </c>
      <c r="C2917" s="36">
        <f>TEXT(B2917,"aaa")</f>
        <v/>
      </c>
      <c r="E2917" s="36">
        <f>INDEX(매칭테이블!C:C,MATCH(RD!G2917,매칭테이블!D:D,0))</f>
        <v/>
      </c>
      <c r="F2917" s="39" t="inlineStr">
        <is>
          <t>카페24</t>
        </is>
      </c>
      <c r="G2917" s="39" t="inlineStr">
        <is>
          <t>SHOPPING BAG</t>
        </is>
      </c>
      <c r="H2917" s="39" t="n">
        <v>1</v>
      </c>
      <c r="I2917" s="36">
        <f>VLOOKUP(G2917,매칭테이블!D:E,2,0)</f>
        <v/>
      </c>
      <c r="J2917" s="39" t="n">
        <v>210101</v>
      </c>
      <c r="L2917" s="36">
        <f>VLOOKUP($P2917,매칭테이블!$G:$J,2,0)*H2917</f>
        <v/>
      </c>
      <c r="M2917" s="36">
        <f>L2917-L2917*VLOOKUP($P2917,매칭테이블!$G:$J,3,0)</f>
        <v/>
      </c>
      <c r="N2917" s="36">
        <f>VLOOKUP($P2917,매칭테이블!$G:$J,4,0)*H2917</f>
        <v/>
      </c>
      <c r="O2917" s="52">
        <f>L2917/1.1</f>
        <v/>
      </c>
      <c r="P2917" s="36">
        <f>F2917&amp;E2917&amp;G2917&amp;J2917</f>
        <v/>
      </c>
    </row>
    <row r="2918">
      <c r="B2918" s="51" t="n">
        <v>44213</v>
      </c>
      <c r="C2918" s="36">
        <f>TEXT(B2918,"aaa")</f>
        <v/>
      </c>
      <c r="E2918" s="36">
        <f>INDEX(매칭테이블!C:C,MATCH(RD!G2918,매칭테이블!D:D,0))</f>
        <v/>
      </c>
      <c r="F2918" s="39" t="inlineStr">
        <is>
          <t>카페24</t>
        </is>
      </c>
      <c r="G2918" s="39" t="inlineStr">
        <is>
          <t>유즈 솔리드퍼퓸 - 30ml향=이그나이트 001 SOLID PERFUME, 세트 선택=1개</t>
        </is>
      </c>
      <c r="H2918" s="39" t="n">
        <v>2</v>
      </c>
      <c r="I2918" s="36">
        <f>VLOOKUP(G2918,매칭테이블!D:E,2,0)</f>
        <v/>
      </c>
      <c r="J2918" s="39" t="n">
        <v>210101</v>
      </c>
      <c r="L2918" s="36">
        <f>VLOOKUP($P2918,매칭테이블!$G:$J,2,0)*H2918</f>
        <v/>
      </c>
      <c r="M2918" s="36">
        <f>L2918-L2918*VLOOKUP($P2918,매칭테이블!$G:$J,3,0)</f>
        <v/>
      </c>
      <c r="N2918" s="36">
        <f>VLOOKUP($P2918,매칭테이블!$G:$J,4,0)*H2918</f>
        <v/>
      </c>
      <c r="O2918" s="52">
        <f>L2918/1.1</f>
        <v/>
      </c>
      <c r="P2918" s="36">
        <f>F2918&amp;E2918&amp;G2918&amp;J2918</f>
        <v/>
      </c>
    </row>
    <row r="2919">
      <c r="B2919" s="51" t="n">
        <v>44213</v>
      </c>
      <c r="C2919" s="36">
        <f>TEXT(B2919,"aaa")</f>
        <v/>
      </c>
      <c r="E2919" s="36">
        <f>INDEX(매칭테이블!C:C,MATCH(RD!G2919,매칭테이블!D:D,0))</f>
        <v/>
      </c>
      <c r="F2919" s="39" t="inlineStr">
        <is>
          <t>카페24</t>
        </is>
      </c>
      <c r="G2919" s="39" t="inlineStr">
        <is>
          <t>유즈 솔리드퍼퓸 - 30ml향=스테이포에버 002 SOLID PERFUME, 세트 선택=1개</t>
        </is>
      </c>
      <c r="H2919" s="39" t="n">
        <v>11</v>
      </c>
      <c r="I2919" s="36">
        <f>VLOOKUP(G2919,매칭테이블!D:E,2,0)</f>
        <v/>
      </c>
      <c r="J2919" s="39" t="n">
        <v>210101</v>
      </c>
      <c r="L2919" s="36">
        <f>VLOOKUP($P2919,매칭테이블!$G:$J,2,0)*H2919</f>
        <v/>
      </c>
      <c r="M2919" s="36">
        <f>L2919-L2919*VLOOKUP($P2919,매칭테이블!$G:$J,3,0)</f>
        <v/>
      </c>
      <c r="N2919" s="36">
        <f>VLOOKUP($P2919,매칭테이블!$G:$J,4,0)*H2919</f>
        <v/>
      </c>
      <c r="O2919" s="52">
        <f>L2919/1.1</f>
        <v/>
      </c>
      <c r="P2919" s="36">
        <f>F2919&amp;E2919&amp;G2919&amp;J2919</f>
        <v/>
      </c>
    </row>
    <row r="2920">
      <c r="B2920" s="51" t="n">
        <v>44213</v>
      </c>
      <c r="C2920" s="36">
        <f>TEXT(B2920,"aaa")</f>
        <v/>
      </c>
      <c r="E2920" s="36">
        <f>INDEX(매칭테이블!C:C,MATCH(RD!G2920,매칭테이블!D:D,0))</f>
        <v/>
      </c>
      <c r="F2920" s="39" t="inlineStr">
        <is>
          <t>카페24</t>
        </is>
      </c>
      <c r="G2920" s="39" t="inlineStr">
        <is>
          <t>유즈 솔리드퍼퓸 - 30ml향=스테이포에버 002 SOLID PERFUME, 세트 선택=best</t>
        </is>
      </c>
      <c r="H2920" s="39" t="n">
        <v>2</v>
      </c>
      <c r="I2920" s="36">
        <f>VLOOKUP(G2920,매칭테이블!D:E,2,0)</f>
        <v/>
      </c>
      <c r="J2920" s="39" t="n">
        <v>210101</v>
      </c>
      <c r="L2920" s="36">
        <f>VLOOKUP($P2920,매칭테이블!$G:$J,2,0)*H2920</f>
        <v/>
      </c>
      <c r="M2920" s="36">
        <f>L2920-L2920*VLOOKUP($P2920,매칭테이블!$G:$J,3,0)</f>
        <v/>
      </c>
      <c r="N2920" s="36">
        <f>VLOOKUP($P2920,매칭테이블!$G:$J,4,0)*H2920</f>
        <v/>
      </c>
      <c r="O2920" s="52">
        <f>L2920/1.1</f>
        <v/>
      </c>
      <c r="P2920" s="36">
        <f>F2920&amp;E2920&amp;G2920&amp;J2920</f>
        <v/>
      </c>
    </row>
    <row r="2921">
      <c r="B2921" s="51" t="n">
        <v>44213</v>
      </c>
      <c r="C2921" s="36">
        <f>TEXT(B2921,"aaa")</f>
        <v/>
      </c>
      <c r="E2921" s="36">
        <f>INDEX(매칭테이블!C:C,MATCH(RD!G2921,매칭테이블!D:D,0))</f>
        <v/>
      </c>
      <c r="F2921" s="39" t="inlineStr">
        <is>
          <t>카페24</t>
        </is>
      </c>
      <c r="G2921" s="39" t="inlineStr">
        <is>
          <t>유즈 솔리드퍼퓸 - 30ml향=스테이포에버 002 SOLID PERFUME, 세트 선택=best 2개 (28% 할인)</t>
        </is>
      </c>
      <c r="H2921" s="39" t="n">
        <v>4</v>
      </c>
      <c r="I2921" s="36">
        <f>VLOOKUP(G2921,매칭테이블!D:E,2,0)</f>
        <v/>
      </c>
      <c r="J2921" s="39" t="n">
        <v>210101</v>
      </c>
      <c r="L2921" s="36">
        <f>VLOOKUP($P2921,매칭테이블!$G:$J,2,0)*H2921</f>
        <v/>
      </c>
      <c r="M2921" s="36">
        <f>L2921-L2921*VLOOKUP($P2921,매칭테이블!$G:$J,3,0)</f>
        <v/>
      </c>
      <c r="N2921" s="36">
        <f>VLOOKUP($P2921,매칭테이블!$G:$J,4,0)*H2921</f>
        <v/>
      </c>
      <c r="O2921" s="52">
        <f>L2921/1.1</f>
        <v/>
      </c>
      <c r="P2921" s="36">
        <f>F2921&amp;E2921&amp;G2921&amp;J2921</f>
        <v/>
      </c>
    </row>
    <row r="2922">
      <c r="B2922" s="51" t="n">
        <v>44213</v>
      </c>
      <c r="C2922" s="36">
        <f>TEXT(B2922,"aaa")</f>
        <v/>
      </c>
      <c r="E2922" s="36">
        <f>INDEX(매칭테이블!C:C,MATCH(RD!G2922,매칭테이블!D:D,0))</f>
        <v/>
      </c>
      <c r="F2922" s="39" t="inlineStr">
        <is>
          <t>카페24</t>
        </is>
      </c>
      <c r="G2922" s="39" t="inlineStr">
        <is>
          <t>유즈 솔리드퍼퓸 - 30ml향=커플세트</t>
        </is>
      </c>
      <c r="H2922" s="39" t="n">
        <v>7</v>
      </c>
      <c r="I2922" s="36">
        <f>VLOOKUP(G2922,매칭테이블!D:E,2,0)</f>
        <v/>
      </c>
      <c r="J2922" s="39" t="n">
        <v>210101</v>
      </c>
      <c r="L2922" s="36">
        <f>VLOOKUP($P2922,매칭테이블!$G:$J,2,0)*H2922</f>
        <v/>
      </c>
      <c r="M2922" s="36">
        <f>L2922-L2922*VLOOKUP($P2922,매칭테이블!$G:$J,3,0)</f>
        <v/>
      </c>
      <c r="N2922" s="36">
        <f>VLOOKUP($P2922,매칭테이블!$G:$J,4,0)*H2922</f>
        <v/>
      </c>
      <c r="O2922" s="52">
        <f>L2922/1.1</f>
        <v/>
      </c>
      <c r="P2922" s="36">
        <f>F2922&amp;E2922&amp;G2922&amp;J2922</f>
        <v/>
      </c>
    </row>
    <row r="2923">
      <c r="B2923" s="51" t="n">
        <v>44213</v>
      </c>
      <c r="C2923" s="36">
        <f>TEXT(B2923,"aaa")</f>
        <v/>
      </c>
      <c r="E2923" s="36">
        <f>INDEX(매칭테이블!C:C,MATCH(RD!G2923,매칭테이블!D:D,0))</f>
        <v/>
      </c>
      <c r="F2923" s="39" t="inlineStr">
        <is>
          <t>카페24</t>
        </is>
      </c>
      <c r="G2923" s="39" t="inlineStr">
        <is>
          <t>유즈 솔리드퍼퓸 - 30ml향=커플세트(이그나이트 + 스테이포에버), 세트 선택=1 SET</t>
        </is>
      </c>
      <c r="H2923" s="39" t="n">
        <v>5</v>
      </c>
      <c r="I2923" s="36">
        <f>VLOOKUP(G2923,매칭테이블!D:E,2,0)</f>
        <v/>
      </c>
      <c r="J2923" s="39" t="n">
        <v>210101</v>
      </c>
      <c r="L2923" s="36">
        <f>VLOOKUP($P2923,매칭테이블!$G:$J,2,0)*H2923</f>
        <v/>
      </c>
      <c r="M2923" s="36">
        <f>L2923-L2923*VLOOKUP($P2923,매칭테이블!$G:$J,3,0)</f>
        <v/>
      </c>
      <c r="N2923" s="36">
        <f>VLOOKUP($P2923,매칭테이블!$G:$J,4,0)*H2923</f>
        <v/>
      </c>
      <c r="O2923" s="52">
        <f>L2923/1.1</f>
        <v/>
      </c>
      <c r="P2923" s="36">
        <f>F2923&amp;E2923&amp;G2923&amp;J2923</f>
        <v/>
      </c>
    </row>
    <row r="2924">
      <c r="B2924" s="51" t="n">
        <v>44213</v>
      </c>
      <c r="C2924" s="36">
        <f>TEXT(B2924,"aaa")</f>
        <v/>
      </c>
      <c r="E2924" s="36">
        <f>INDEX(매칭테이블!C:C,MATCH(RD!G2924,매칭테이블!D:D,0))</f>
        <v/>
      </c>
      <c r="F2924" s="39" t="inlineStr">
        <is>
          <t>카페24</t>
        </is>
      </c>
      <c r="G2924" s="39" t="inlineStr">
        <is>
          <t>유즈 솔리드퍼퓸 - 30ml향=커플세트(이그나이트 + 스테이포에버), 세트 선택=2 SET (42% 할인)</t>
        </is>
      </c>
      <c r="H2924" s="39" t="n">
        <v>1</v>
      </c>
      <c r="I2924" s="36">
        <f>VLOOKUP(G2924,매칭테이블!D:E,2,0)</f>
        <v/>
      </c>
      <c r="J2924" s="39" t="n">
        <v>210101</v>
      </c>
      <c r="L2924" s="36">
        <f>VLOOKUP($P2924,매칭테이블!$G:$J,2,0)*H2924</f>
        <v/>
      </c>
      <c r="M2924" s="36">
        <f>L2924-L2924*VLOOKUP($P2924,매칭테이블!$G:$J,3,0)</f>
        <v/>
      </c>
      <c r="N2924" s="36">
        <f>VLOOKUP($P2924,매칭테이블!$G:$J,4,0)*H2924</f>
        <v/>
      </c>
      <c r="O2924" s="52">
        <f>L2924/1.1</f>
        <v/>
      </c>
      <c r="P2924" s="36">
        <f>F2924&amp;E2924&amp;G2924&amp;J2924</f>
        <v/>
      </c>
    </row>
    <row r="2925">
      <c r="B2925" s="51" t="n">
        <v>44213</v>
      </c>
      <c r="C2925" s="36">
        <f>TEXT(B2925,"aaa")</f>
        <v/>
      </c>
      <c r="E2925" s="36">
        <f>INDEX(매칭테이블!C:C,MATCH(RD!G2925,매칭테이블!D:D,0))</f>
        <v/>
      </c>
      <c r="F2925" s="39" t="inlineStr">
        <is>
          <t>카페24</t>
        </is>
      </c>
      <c r="G2925" s="39" t="inlineStr">
        <is>
          <t>유즈 솔리드퍼퓸 - 스테이포에버 002제품선택=스테이포에버 1개</t>
        </is>
      </c>
      <c r="H2925" s="39" t="n">
        <v>421</v>
      </c>
      <c r="I2925" s="36">
        <f>VLOOKUP(G2925,매칭테이블!D:E,2,0)</f>
        <v/>
      </c>
      <c r="J2925" s="39" t="n">
        <v>210101</v>
      </c>
      <c r="L2925" s="36">
        <f>VLOOKUP($P2925,매칭테이블!$G:$J,2,0)*H2925</f>
        <v/>
      </c>
      <c r="M2925" s="36">
        <f>L2925-L2925*VLOOKUP($P2925,매칭테이블!$G:$J,3,0)</f>
        <v/>
      </c>
      <c r="N2925" s="36">
        <f>VLOOKUP($P2925,매칭테이블!$G:$J,4,0)*H2925</f>
        <v/>
      </c>
      <c r="O2925" s="52">
        <f>L2925/1.1</f>
        <v/>
      </c>
      <c r="P2925" s="36">
        <f>F2925&amp;E2925&amp;G2925&amp;J2925</f>
        <v/>
      </c>
    </row>
    <row r="2926">
      <c r="B2926" s="51" t="n">
        <v>44213</v>
      </c>
      <c r="C2926" s="36">
        <f>TEXT(B2926,"aaa")</f>
        <v/>
      </c>
      <c r="E2926" s="36">
        <f>INDEX(매칭테이블!C:C,MATCH(RD!G2926,매칭테이블!D:D,0))</f>
        <v/>
      </c>
      <c r="F2926" s="39" t="inlineStr">
        <is>
          <t>카페24</t>
        </is>
      </c>
      <c r="G2926" s="39" t="inlineStr">
        <is>
          <t>유즈 솔리드퍼퓸 - 스테이포에버 002제품선택=best</t>
        </is>
      </c>
      <c r="H2926" s="39" t="n">
        <v>99</v>
      </c>
      <c r="I2926" s="36">
        <f>VLOOKUP(G2926,매칭테이블!D:E,2,0)</f>
        <v/>
      </c>
      <c r="J2926" s="39" t="n">
        <v>210101</v>
      </c>
      <c r="L2926" s="36">
        <f>VLOOKUP($P2926,매칭테이블!$G:$J,2,0)*H2926</f>
        <v/>
      </c>
      <c r="M2926" s="36">
        <f>L2926-L2926*VLOOKUP($P2926,매칭테이블!$G:$J,3,0)</f>
        <v/>
      </c>
      <c r="N2926" s="36">
        <f>VLOOKUP($P2926,매칭테이블!$G:$J,4,0)*H2926</f>
        <v/>
      </c>
      <c r="O2926" s="52">
        <f>L2926/1.1</f>
        <v/>
      </c>
      <c r="P2926" s="36">
        <f>F2926&amp;E2926&amp;G2926&amp;J2926</f>
        <v/>
      </c>
    </row>
    <row r="2927">
      <c r="B2927" s="51" t="n">
        <v>44213</v>
      </c>
      <c r="C2927" s="36">
        <f>TEXT(B2927,"aaa")</f>
        <v/>
      </c>
      <c r="E2927" s="36">
        <f>INDEX(매칭테이블!C:C,MATCH(RD!G2927,매칭테이블!D:D,0))</f>
        <v/>
      </c>
      <c r="F2927" s="39" t="inlineStr">
        <is>
          <t>카페24</t>
        </is>
      </c>
      <c r="G2927" s="39" t="inlineStr">
        <is>
          <t>유즈 솔리드퍼퓸 - 스테이포에버 002제품선택=best스테이포에버 2개[28% 할인]</t>
        </is>
      </c>
      <c r="H2927" s="39" t="n">
        <v>116</v>
      </c>
      <c r="I2927" s="36">
        <f>VLOOKUP(G2927,매칭테이블!D:E,2,0)</f>
        <v/>
      </c>
      <c r="J2927" s="39" t="n">
        <v>210101</v>
      </c>
      <c r="L2927" s="36">
        <f>VLOOKUP($P2927,매칭테이블!$G:$J,2,0)*H2927</f>
        <v/>
      </c>
      <c r="M2927" s="36">
        <f>L2927-L2927*VLOOKUP($P2927,매칭테이블!$G:$J,3,0)</f>
        <v/>
      </c>
      <c r="N2927" s="36">
        <f>VLOOKUP($P2927,매칭테이블!$G:$J,4,0)*H2927</f>
        <v/>
      </c>
      <c r="O2927" s="52">
        <f>L2927/1.1</f>
        <v/>
      </c>
      <c r="P2927" s="36">
        <f>F2927&amp;E2927&amp;G2927&amp;J2927</f>
        <v/>
      </c>
    </row>
    <row r="2928">
      <c r="B2928" s="51" t="n">
        <v>44213</v>
      </c>
      <c r="C2928" s="36">
        <f>TEXT(B2928,"aaa")</f>
        <v/>
      </c>
      <c r="E2928" s="36">
        <f>INDEX(매칭테이블!C:C,MATCH(RD!G2928,매칭테이블!D:D,0))</f>
        <v/>
      </c>
      <c r="F2928" s="39" t="inlineStr">
        <is>
          <t>카페24</t>
        </is>
      </c>
      <c r="G2928" s="39" t="inlineStr">
        <is>
          <t>유즈 솔리드퍼퓸 - 스테이포에버 002제품선택=커플추천</t>
        </is>
      </c>
      <c r="H2928" s="39" t="n">
        <v>13</v>
      </c>
      <c r="I2928" s="36">
        <f>VLOOKUP(G2928,매칭테이블!D:E,2,0)</f>
        <v/>
      </c>
      <c r="J2928" s="39" t="n">
        <v>210101</v>
      </c>
      <c r="L2928" s="36">
        <f>VLOOKUP($P2928,매칭테이블!$G:$J,2,0)*H2928</f>
        <v/>
      </c>
      <c r="M2928" s="36">
        <f>L2928-L2928*VLOOKUP($P2928,매칭테이블!$G:$J,3,0)</f>
        <v/>
      </c>
      <c r="N2928" s="36">
        <f>VLOOKUP($P2928,매칭테이블!$G:$J,4,0)*H2928</f>
        <v/>
      </c>
      <c r="O2928" s="52">
        <f>L2928/1.1</f>
        <v/>
      </c>
      <c r="P2928" s="36">
        <f>F2928&amp;E2928&amp;G2928&amp;J2928</f>
        <v/>
      </c>
    </row>
    <row r="2929">
      <c r="B2929" s="51" t="n">
        <v>44213</v>
      </c>
      <c r="C2929" s="36">
        <f>TEXT(B2929,"aaa")</f>
        <v/>
      </c>
      <c r="E2929" s="36">
        <f>INDEX(매칭테이블!C:C,MATCH(RD!G2929,매칭테이블!D:D,0))</f>
        <v/>
      </c>
      <c r="F2929" s="39" t="inlineStr">
        <is>
          <t>카페24</t>
        </is>
      </c>
      <c r="G2929" s="39" t="inlineStr">
        <is>
          <t>유즈 솔리드퍼퓸 - 스테이포에버 002제품선택=커플추천스테이포에버 + 이그나이트 세트</t>
        </is>
      </c>
      <c r="H2929" s="39" t="n">
        <v>17</v>
      </c>
      <c r="I2929" s="36">
        <f>VLOOKUP(G2929,매칭테이블!D:E,2,0)</f>
        <v/>
      </c>
      <c r="J2929" s="39" t="n">
        <v>210101</v>
      </c>
      <c r="L2929" s="36">
        <f>VLOOKUP($P2929,매칭테이블!$G:$J,2,0)*H2929</f>
        <v/>
      </c>
      <c r="M2929" s="36">
        <f>L2929-L2929*VLOOKUP($P2929,매칭테이블!$G:$J,3,0)</f>
        <v/>
      </c>
      <c r="N2929" s="36">
        <f>VLOOKUP($P2929,매칭테이블!$G:$J,4,0)*H2929</f>
        <v/>
      </c>
      <c r="O2929" s="52">
        <f>L2929/1.1</f>
        <v/>
      </c>
      <c r="P2929" s="36">
        <f>F2929&amp;E2929&amp;G2929&amp;J2929</f>
        <v/>
      </c>
    </row>
    <row r="2930">
      <c r="B2930" s="51" t="n">
        <v>44213</v>
      </c>
      <c r="C2930" s="36">
        <f>TEXT(B2930,"aaa")</f>
        <v/>
      </c>
      <c r="E2930" s="36">
        <f>INDEX(매칭테이블!C:C,MATCH(RD!G2930,매칭테이블!D:D,0))</f>
        <v/>
      </c>
      <c r="F2930" s="39" t="inlineStr">
        <is>
          <t>카페24</t>
        </is>
      </c>
      <c r="G2930" s="39" t="inlineStr">
        <is>
          <t>유즈 솔리드퍼퓸 - 스테이포에버 002쇼핑백=선물용 쇼핑백</t>
        </is>
      </c>
      <c r="H2930" s="39" t="n">
        <v>11</v>
      </c>
      <c r="I2930" s="36">
        <f>VLOOKUP(G2930,매칭테이블!D:E,2,0)</f>
        <v/>
      </c>
      <c r="J2930" s="39" t="n">
        <v>210101</v>
      </c>
      <c r="L2930" s="36">
        <f>VLOOKUP($P2930,매칭테이블!$G:$J,2,0)*H2930</f>
        <v/>
      </c>
      <c r="M2930" s="36">
        <f>L2930-L2930*VLOOKUP($P2930,매칭테이블!$G:$J,3,0)</f>
        <v/>
      </c>
      <c r="N2930" s="36">
        <f>VLOOKUP($P2930,매칭테이블!$G:$J,4,0)*H2930</f>
        <v/>
      </c>
      <c r="O2930" s="52">
        <f>L2930/1.1</f>
        <v/>
      </c>
      <c r="P2930" s="36">
        <f>F2930&amp;E2930&amp;G2930&amp;J2930</f>
        <v/>
      </c>
    </row>
    <row r="2931">
      <c r="B2931" s="51" t="n">
        <v>44213</v>
      </c>
      <c r="C2931" s="36">
        <f>TEXT(B2931,"aaa")</f>
        <v/>
      </c>
      <c r="E2931" s="36">
        <f>INDEX(매칭테이블!C:C,MATCH(RD!G2931,매칭테이블!D:D,0))</f>
        <v/>
      </c>
      <c r="F2931" s="39" t="inlineStr">
        <is>
          <t>카페24</t>
        </is>
      </c>
      <c r="G2931" s="39" t="inlineStr">
        <is>
          <t>유즈 솔리드퍼퓸 - 이그나이트 001제품선택=이그나이트 솔리드퍼퓸 - 30ml</t>
        </is>
      </c>
      <c r="H2931" s="39" t="n">
        <v>4</v>
      </c>
      <c r="I2931" s="36">
        <f>VLOOKUP(G2931,매칭테이블!D:E,2,0)</f>
        <v/>
      </c>
      <c r="J2931" s="39" t="n">
        <v>210101</v>
      </c>
      <c r="L2931" s="36">
        <f>VLOOKUP($P2931,매칭테이블!$G:$J,2,0)*H2931</f>
        <v/>
      </c>
      <c r="M2931" s="36">
        <f>L2931-L2931*VLOOKUP($P2931,매칭테이블!$G:$J,3,0)</f>
        <v/>
      </c>
      <c r="N2931" s="36">
        <f>VLOOKUP($P2931,매칭테이블!$G:$J,4,0)*H2931</f>
        <v/>
      </c>
      <c r="O2931" s="52">
        <f>L2931/1.1</f>
        <v/>
      </c>
      <c r="P2931" s="36">
        <f>F2931&amp;E2931&amp;G2931&amp;J2931</f>
        <v/>
      </c>
    </row>
    <row r="2932">
      <c r="B2932" s="51" t="n">
        <v>44213</v>
      </c>
      <c r="C2932" s="36">
        <f>TEXT(B2932,"aaa")</f>
        <v/>
      </c>
      <c r="E2932" s="36">
        <f>INDEX(매칭테이블!C:C,MATCH(RD!G2932,매칭테이블!D:D,0))</f>
        <v/>
      </c>
      <c r="F2932" s="39" t="inlineStr">
        <is>
          <t>카페24</t>
        </is>
      </c>
      <c r="G2932" s="39" t="inlineStr">
        <is>
          <t>유즈 솔리드퍼퓸 - 이그나이트 001제품선택=이그나이트 2개 세트</t>
        </is>
      </c>
      <c r="H2932" s="39" t="n">
        <v>2</v>
      </c>
      <c r="I2932" s="36">
        <f>VLOOKUP(G2932,매칭테이블!D:E,2,0)</f>
        <v/>
      </c>
      <c r="J2932" s="39" t="n">
        <v>210101</v>
      </c>
      <c r="L2932" s="36">
        <f>VLOOKUP($P2932,매칭테이블!$G:$J,2,0)*H2932</f>
        <v/>
      </c>
      <c r="M2932" s="36">
        <f>L2932-L2932*VLOOKUP($P2932,매칭테이블!$G:$J,3,0)</f>
        <v/>
      </c>
      <c r="N2932" s="36">
        <f>VLOOKUP($P2932,매칭테이블!$G:$J,4,0)*H2932</f>
        <v/>
      </c>
      <c r="O2932" s="52">
        <f>L2932/1.1</f>
        <v/>
      </c>
      <c r="P2932" s="36">
        <f>F2932&amp;E2932&amp;G2932&amp;J2932</f>
        <v/>
      </c>
    </row>
    <row r="2933">
      <c r="B2933" s="51" t="n">
        <v>44213</v>
      </c>
      <c r="C2933" s="36">
        <f>TEXT(B2933,"aaa")</f>
        <v/>
      </c>
      <c r="E2933" s="36">
        <f>INDEX(매칭테이블!C:C,MATCH(RD!G2933,매칭테이블!D:D,0))</f>
        <v/>
      </c>
      <c r="F2933" s="39" t="inlineStr">
        <is>
          <t>카페24</t>
        </is>
      </c>
      <c r="G2933" s="39" t="inlineStr">
        <is>
          <t>유즈 스테이포에버 솔리드퍼퓸 002 (11차 예약구매 진행중)제품선택=스테이포에버 1개</t>
        </is>
      </c>
      <c r="H2933" s="39" t="n">
        <v>2</v>
      </c>
      <c r="I2933" s="36">
        <f>VLOOKUP(G2933,매칭테이블!D:E,2,0)</f>
        <v/>
      </c>
      <c r="J2933" s="39" t="n">
        <v>210101</v>
      </c>
      <c r="L2933" s="36">
        <f>VLOOKUP($P2933,매칭테이블!$G:$J,2,0)*H2933</f>
        <v/>
      </c>
      <c r="M2933" s="36">
        <f>L2933-L2933*VLOOKUP($P2933,매칭테이블!$G:$J,3,0)</f>
        <v/>
      </c>
      <c r="N2933" s="36">
        <f>VLOOKUP($P2933,매칭테이블!$G:$J,4,0)*H2933</f>
        <v/>
      </c>
      <c r="O2933" s="52">
        <f>L2933/1.1</f>
        <v/>
      </c>
      <c r="P2933" s="36">
        <f>F2933&amp;E2933&amp;G2933&amp;J2933</f>
        <v/>
      </c>
    </row>
    <row r="2934">
      <c r="B2934" s="51" t="n">
        <v>44214</v>
      </c>
      <c r="C2934" s="36">
        <f>TEXT(B2934,"aaa")</f>
        <v/>
      </c>
      <c r="E2934" s="36">
        <f>INDEX(매칭테이블!C:C,MATCH(RD!G2934,매칭테이블!D:D,0))</f>
        <v/>
      </c>
      <c r="F2934" s="39" t="inlineStr">
        <is>
          <t>카페24</t>
        </is>
      </c>
      <c r="G2934" s="39" t="inlineStr">
        <is>
          <t>솔리드퍼퓸 스테이포에버 002 30ml</t>
        </is>
      </c>
      <c r="H2934" s="39" t="n">
        <v>2</v>
      </c>
      <c r="I2934" s="36">
        <f>VLOOKUP(G2934,매칭테이블!D:E,2,0)</f>
        <v/>
      </c>
      <c r="J2934" s="39" t="n">
        <v>210101</v>
      </c>
      <c r="L2934" s="36">
        <f>VLOOKUP($P2934,매칭테이블!$G:$J,2,0)*H2934</f>
        <v/>
      </c>
      <c r="M2934" s="36">
        <f>L2934-L2934*VLOOKUP($P2934,매칭테이블!$G:$J,3,0)</f>
        <v/>
      </c>
      <c r="N2934" s="36">
        <f>VLOOKUP($P2934,매칭테이블!$G:$J,4,0)*H2934</f>
        <v/>
      </c>
      <c r="O2934" s="52">
        <f>L2934/1.1</f>
        <v/>
      </c>
      <c r="P2934" s="36">
        <f>F2934&amp;E2934&amp;G2934&amp;J2934</f>
        <v/>
      </c>
    </row>
    <row r="2935">
      <c r="B2935" s="51" t="n">
        <v>44214</v>
      </c>
      <c r="C2935" s="36">
        <f>TEXT(B2935,"aaa")</f>
        <v/>
      </c>
      <c r="E2935" s="36">
        <f>INDEX(매칭테이블!C:C,MATCH(RD!G2935,매칭테이블!D:D,0))</f>
        <v/>
      </c>
      <c r="F2935" s="39" t="inlineStr">
        <is>
          <t>카페24</t>
        </is>
      </c>
      <c r="G2935" s="39" t="inlineStr">
        <is>
          <t>유즈 솔리드퍼퓸 - 30ml향=이그나이트 001 SOLID PERFUME, 세트 선택=1개</t>
        </is>
      </c>
      <c r="H2935" s="39" t="n">
        <v>3</v>
      </c>
      <c r="I2935" s="36">
        <f>VLOOKUP(G2935,매칭테이블!D:E,2,0)</f>
        <v/>
      </c>
      <c r="J2935" s="39" t="n">
        <v>210101</v>
      </c>
      <c r="L2935" s="36">
        <f>VLOOKUP($P2935,매칭테이블!$G:$J,2,0)*H2935</f>
        <v/>
      </c>
      <c r="M2935" s="36">
        <f>L2935-L2935*VLOOKUP($P2935,매칭테이블!$G:$J,3,0)</f>
        <v/>
      </c>
      <c r="N2935" s="36">
        <f>VLOOKUP($P2935,매칭테이블!$G:$J,4,0)*H2935</f>
        <v/>
      </c>
      <c r="O2935" s="52">
        <f>L2935/1.1</f>
        <v/>
      </c>
      <c r="P2935" s="36">
        <f>F2935&amp;E2935&amp;G2935&amp;J2935</f>
        <v/>
      </c>
    </row>
    <row r="2936">
      <c r="B2936" s="51" t="n">
        <v>44214</v>
      </c>
      <c r="C2936" s="36">
        <f>TEXT(B2936,"aaa")</f>
        <v/>
      </c>
      <c r="E2936" s="36">
        <f>INDEX(매칭테이블!C:C,MATCH(RD!G2936,매칭테이블!D:D,0))</f>
        <v/>
      </c>
      <c r="F2936" s="39" t="inlineStr">
        <is>
          <t>카페24</t>
        </is>
      </c>
      <c r="G2936" s="39" t="inlineStr">
        <is>
          <t>유즈 솔리드퍼퓸 - 30ml향=스테이포에버 002 SOLID PERFUME, 세트 선택=1개</t>
        </is>
      </c>
      <c r="H2936" s="39" t="n">
        <v>14</v>
      </c>
      <c r="I2936" s="36">
        <f>VLOOKUP(G2936,매칭테이블!D:E,2,0)</f>
        <v/>
      </c>
      <c r="J2936" s="39" t="n">
        <v>210101</v>
      </c>
      <c r="L2936" s="36">
        <f>VLOOKUP($P2936,매칭테이블!$G:$J,2,0)*H2936</f>
        <v/>
      </c>
      <c r="M2936" s="36">
        <f>L2936-L2936*VLOOKUP($P2936,매칭테이블!$G:$J,3,0)</f>
        <v/>
      </c>
      <c r="N2936" s="36">
        <f>VLOOKUP($P2936,매칭테이블!$G:$J,4,0)*H2936</f>
        <v/>
      </c>
      <c r="O2936" s="52">
        <f>L2936/1.1</f>
        <v/>
      </c>
      <c r="P2936" s="36">
        <f>F2936&amp;E2936&amp;G2936&amp;J2936</f>
        <v/>
      </c>
    </row>
    <row r="2937">
      <c r="B2937" s="51" t="n">
        <v>44214</v>
      </c>
      <c r="C2937" s="36">
        <f>TEXT(B2937,"aaa")</f>
        <v/>
      </c>
      <c r="E2937" s="36">
        <f>INDEX(매칭테이블!C:C,MATCH(RD!G2937,매칭테이블!D:D,0))</f>
        <v/>
      </c>
      <c r="F2937" s="39" t="inlineStr">
        <is>
          <t>카페24</t>
        </is>
      </c>
      <c r="G2937" s="39" t="inlineStr">
        <is>
          <t>유즈 솔리드퍼퓸 - 30ml향=스테이포에버 002 SOLID PERFUME, 세트 선택=best 2개 (28% 할인)</t>
        </is>
      </c>
      <c r="H2937" s="39" t="n">
        <v>3</v>
      </c>
      <c r="I2937" s="36">
        <f>VLOOKUP(G2937,매칭테이블!D:E,2,0)</f>
        <v/>
      </c>
      <c r="J2937" s="39" t="n">
        <v>210101</v>
      </c>
      <c r="L2937" s="36">
        <f>VLOOKUP($P2937,매칭테이블!$G:$J,2,0)*H2937</f>
        <v/>
      </c>
      <c r="M2937" s="36">
        <f>L2937-L2937*VLOOKUP($P2937,매칭테이블!$G:$J,3,0)</f>
        <v/>
      </c>
      <c r="N2937" s="36">
        <f>VLOOKUP($P2937,매칭테이블!$G:$J,4,0)*H2937</f>
        <v/>
      </c>
      <c r="O2937" s="52">
        <f>L2937/1.1</f>
        <v/>
      </c>
      <c r="P2937" s="36">
        <f>F2937&amp;E2937&amp;G2937&amp;J2937</f>
        <v/>
      </c>
    </row>
    <row r="2938">
      <c r="B2938" s="51" t="n">
        <v>44214</v>
      </c>
      <c r="C2938" s="36">
        <f>TEXT(B2938,"aaa")</f>
        <v/>
      </c>
      <c r="E2938" s="36">
        <f>INDEX(매칭테이블!C:C,MATCH(RD!G2938,매칭테이블!D:D,0))</f>
        <v/>
      </c>
      <c r="F2938" s="39" t="inlineStr">
        <is>
          <t>카페24</t>
        </is>
      </c>
      <c r="G2938" s="39" t="inlineStr">
        <is>
          <t>유즈 솔리드퍼퓸 - 30ml향=커플세트</t>
        </is>
      </c>
      <c r="H2938" s="39" t="n">
        <v>1</v>
      </c>
      <c r="I2938" s="36">
        <f>VLOOKUP(G2938,매칭테이블!D:E,2,0)</f>
        <v/>
      </c>
      <c r="J2938" s="39" t="n">
        <v>210101</v>
      </c>
      <c r="L2938" s="36">
        <f>VLOOKUP($P2938,매칭테이블!$G:$J,2,0)*H2938</f>
        <v/>
      </c>
      <c r="M2938" s="36">
        <f>L2938-L2938*VLOOKUP($P2938,매칭테이블!$G:$J,3,0)</f>
        <v/>
      </c>
      <c r="N2938" s="36">
        <f>VLOOKUP($P2938,매칭테이블!$G:$J,4,0)*H2938</f>
        <v/>
      </c>
      <c r="O2938" s="52">
        <f>L2938/1.1</f>
        <v/>
      </c>
      <c r="P2938" s="36">
        <f>F2938&amp;E2938&amp;G2938&amp;J2938</f>
        <v/>
      </c>
    </row>
    <row r="2939">
      <c r="B2939" s="51" t="n">
        <v>44214</v>
      </c>
      <c r="C2939" s="36">
        <f>TEXT(B2939,"aaa")</f>
        <v/>
      </c>
      <c r="E2939" s="36">
        <f>INDEX(매칭테이블!C:C,MATCH(RD!G2939,매칭테이블!D:D,0))</f>
        <v/>
      </c>
      <c r="F2939" s="39" t="inlineStr">
        <is>
          <t>카페24</t>
        </is>
      </c>
      <c r="G2939" s="39" t="inlineStr">
        <is>
          <t>유즈 솔리드퍼퓸 - 30ml향=커플세트(이그나이트 + 스테이포에버), 세트 선택=1 SET</t>
        </is>
      </c>
      <c r="H2939" s="39" t="n">
        <v>5</v>
      </c>
      <c r="I2939" s="36">
        <f>VLOOKUP(G2939,매칭테이블!D:E,2,0)</f>
        <v/>
      </c>
      <c r="J2939" s="39" t="n">
        <v>210101</v>
      </c>
      <c r="L2939" s="36">
        <f>VLOOKUP($P2939,매칭테이블!$G:$J,2,0)*H2939</f>
        <v/>
      </c>
      <c r="M2939" s="36">
        <f>L2939-L2939*VLOOKUP($P2939,매칭테이블!$G:$J,3,0)</f>
        <v/>
      </c>
      <c r="N2939" s="36">
        <f>VLOOKUP($P2939,매칭테이블!$G:$J,4,0)*H2939</f>
        <v/>
      </c>
      <c r="O2939" s="52">
        <f>L2939/1.1</f>
        <v/>
      </c>
      <c r="P2939" s="36">
        <f>F2939&amp;E2939&amp;G2939&amp;J2939</f>
        <v/>
      </c>
    </row>
    <row r="2940">
      <c r="B2940" s="51" t="n">
        <v>44214</v>
      </c>
      <c r="C2940" s="36">
        <f>TEXT(B2940,"aaa")</f>
        <v/>
      </c>
      <c r="E2940" s="36">
        <f>INDEX(매칭테이블!C:C,MATCH(RD!G2940,매칭테이블!D:D,0))</f>
        <v/>
      </c>
      <c r="F2940" s="39" t="inlineStr">
        <is>
          <t>카페24</t>
        </is>
      </c>
      <c r="G2940" s="39" t="inlineStr">
        <is>
          <t>유즈 솔리드퍼퓸 - 30ml향=커플세트</t>
        </is>
      </c>
      <c r="H2940" s="39" t="n">
        <v>2</v>
      </c>
      <c r="I2940" s="36">
        <f>VLOOKUP(G2940,매칭테이블!D:E,2,0)</f>
        <v/>
      </c>
      <c r="J2940" s="39" t="n">
        <v>210101</v>
      </c>
      <c r="L2940" s="36">
        <f>VLOOKUP($P2940,매칭테이블!$G:$J,2,0)*H2940</f>
        <v/>
      </c>
      <c r="M2940" s="36">
        <f>L2940-L2940*VLOOKUP($P2940,매칭테이블!$G:$J,3,0)</f>
        <v/>
      </c>
      <c r="N2940" s="36">
        <f>VLOOKUP($P2940,매칭테이블!$G:$J,4,0)*H2940</f>
        <v/>
      </c>
      <c r="O2940" s="52">
        <f>L2940/1.1</f>
        <v/>
      </c>
      <c r="P2940" s="36">
        <f>F2940&amp;E2940&amp;G2940&amp;J2940</f>
        <v/>
      </c>
    </row>
    <row r="2941">
      <c r="B2941" s="51" t="n">
        <v>44214</v>
      </c>
      <c r="C2941" s="36">
        <f>TEXT(B2941,"aaa")</f>
        <v/>
      </c>
      <c r="E2941" s="36">
        <f>INDEX(매칭테이블!C:C,MATCH(RD!G2941,매칭테이블!D:D,0))</f>
        <v/>
      </c>
      <c r="F2941" s="39" t="inlineStr">
        <is>
          <t>카페24</t>
        </is>
      </c>
      <c r="G2941" s="39" t="inlineStr">
        <is>
          <t>유즈 솔리드퍼퓸 - 30ml향=커플세트(이그나이트 + 스테이포에버), 세트 선택=2 SET (42% 할인)</t>
        </is>
      </c>
      <c r="H2941" s="39" t="n">
        <v>1</v>
      </c>
      <c r="I2941" s="36">
        <f>VLOOKUP(G2941,매칭테이블!D:E,2,0)</f>
        <v/>
      </c>
      <c r="J2941" s="39" t="n">
        <v>210101</v>
      </c>
      <c r="L2941" s="36">
        <f>VLOOKUP($P2941,매칭테이블!$G:$J,2,0)*H2941</f>
        <v/>
      </c>
      <c r="M2941" s="36">
        <f>L2941-L2941*VLOOKUP($P2941,매칭테이블!$G:$J,3,0)</f>
        <v/>
      </c>
      <c r="N2941" s="36">
        <f>VLOOKUP($P2941,매칭테이블!$G:$J,4,0)*H2941</f>
        <v/>
      </c>
      <c r="O2941" s="52">
        <f>L2941/1.1</f>
        <v/>
      </c>
      <c r="P2941" s="36">
        <f>F2941&amp;E2941&amp;G2941&amp;J2941</f>
        <v/>
      </c>
    </row>
    <row r="2942">
      <c r="B2942" s="51" t="n">
        <v>44214</v>
      </c>
      <c r="C2942" s="36">
        <f>TEXT(B2942,"aaa")</f>
        <v/>
      </c>
      <c r="E2942" s="36">
        <f>INDEX(매칭테이블!C:C,MATCH(RD!G2942,매칭테이블!D:D,0))</f>
        <v/>
      </c>
      <c r="F2942" s="39" t="inlineStr">
        <is>
          <t>카페24</t>
        </is>
      </c>
      <c r="G2942" s="39" t="inlineStr">
        <is>
          <t>유즈 솔리드퍼퓸 - 스테이포에버 002제품선택=스테이포에버 1개</t>
        </is>
      </c>
      <c r="H2942" s="39" t="n">
        <v>323</v>
      </c>
      <c r="I2942" s="36">
        <f>VLOOKUP(G2942,매칭테이블!D:E,2,0)</f>
        <v/>
      </c>
      <c r="J2942" s="39" t="n">
        <v>210101</v>
      </c>
      <c r="L2942" s="36">
        <f>VLOOKUP($P2942,매칭테이블!$G:$J,2,0)*H2942</f>
        <v/>
      </c>
      <c r="M2942" s="36">
        <f>L2942-L2942*VLOOKUP($P2942,매칭테이블!$G:$J,3,0)</f>
        <v/>
      </c>
      <c r="N2942" s="36">
        <f>VLOOKUP($P2942,매칭테이블!$G:$J,4,0)*H2942</f>
        <v/>
      </c>
      <c r="O2942" s="52">
        <f>L2942/1.1</f>
        <v/>
      </c>
      <c r="P2942" s="36">
        <f>F2942&amp;E2942&amp;G2942&amp;J2942</f>
        <v/>
      </c>
    </row>
    <row r="2943">
      <c r="B2943" s="51" t="n">
        <v>44214</v>
      </c>
      <c r="C2943" s="36">
        <f>TEXT(B2943,"aaa")</f>
        <v/>
      </c>
      <c r="E2943" s="36">
        <f>INDEX(매칭테이블!C:C,MATCH(RD!G2943,매칭테이블!D:D,0))</f>
        <v/>
      </c>
      <c r="F2943" s="39" t="inlineStr">
        <is>
          <t>카페24</t>
        </is>
      </c>
      <c r="G2943" s="39" t="inlineStr">
        <is>
          <t>유즈 솔리드퍼퓸 - 스테이포에버 002제품선택=best</t>
        </is>
      </c>
      <c r="H2943" s="39" t="n">
        <v>62</v>
      </c>
      <c r="I2943" s="36">
        <f>VLOOKUP(G2943,매칭테이블!D:E,2,0)</f>
        <v/>
      </c>
      <c r="J2943" s="39" t="n">
        <v>210101</v>
      </c>
      <c r="L2943" s="36">
        <f>VLOOKUP($P2943,매칭테이블!$G:$J,2,0)*H2943</f>
        <v/>
      </c>
      <c r="M2943" s="36">
        <f>L2943-L2943*VLOOKUP($P2943,매칭테이블!$G:$J,3,0)</f>
        <v/>
      </c>
      <c r="N2943" s="36">
        <f>VLOOKUP($P2943,매칭테이블!$G:$J,4,0)*H2943</f>
        <v/>
      </c>
      <c r="O2943" s="52">
        <f>L2943/1.1</f>
        <v/>
      </c>
      <c r="P2943" s="36">
        <f>F2943&amp;E2943&amp;G2943&amp;J2943</f>
        <v/>
      </c>
    </row>
    <row r="2944">
      <c r="B2944" s="51" t="n">
        <v>44214</v>
      </c>
      <c r="C2944" s="36">
        <f>TEXT(B2944,"aaa")</f>
        <v/>
      </c>
      <c r="E2944" s="36">
        <f>INDEX(매칭테이블!C:C,MATCH(RD!G2944,매칭테이블!D:D,0))</f>
        <v/>
      </c>
      <c r="F2944" s="39" t="inlineStr">
        <is>
          <t>카페24</t>
        </is>
      </c>
      <c r="G2944" s="39" t="inlineStr">
        <is>
          <t>유즈 솔리드퍼퓸 - 스테이포에버 002제품선택=best스테이포에버 2개[28% 할인]</t>
        </is>
      </c>
      <c r="H2944" s="39" t="n">
        <v>90</v>
      </c>
      <c r="I2944" s="36">
        <f>VLOOKUP(G2944,매칭테이블!D:E,2,0)</f>
        <v/>
      </c>
      <c r="J2944" s="39" t="n">
        <v>210101</v>
      </c>
      <c r="L2944" s="36">
        <f>VLOOKUP($P2944,매칭테이블!$G:$J,2,0)*H2944</f>
        <v/>
      </c>
      <c r="M2944" s="36">
        <f>L2944-L2944*VLOOKUP($P2944,매칭테이블!$G:$J,3,0)</f>
        <v/>
      </c>
      <c r="N2944" s="36">
        <f>VLOOKUP($P2944,매칭테이블!$G:$J,4,0)*H2944</f>
        <v/>
      </c>
      <c r="O2944" s="52">
        <f>L2944/1.1</f>
        <v/>
      </c>
      <c r="P2944" s="36">
        <f>F2944&amp;E2944&amp;G2944&amp;J2944</f>
        <v/>
      </c>
    </row>
    <row r="2945">
      <c r="B2945" s="51" t="n">
        <v>44214</v>
      </c>
      <c r="C2945" s="36">
        <f>TEXT(B2945,"aaa")</f>
        <v/>
      </c>
      <c r="E2945" s="36">
        <f>INDEX(매칭테이블!C:C,MATCH(RD!G2945,매칭테이블!D:D,0))</f>
        <v/>
      </c>
      <c r="F2945" s="39" t="inlineStr">
        <is>
          <t>카페24</t>
        </is>
      </c>
      <c r="G2945" s="39" t="inlineStr">
        <is>
          <t>유즈 솔리드퍼퓸 - 스테이포에버 002제품선택=커플추천</t>
        </is>
      </c>
      <c r="H2945" s="39" t="n">
        <v>5</v>
      </c>
      <c r="I2945" s="36">
        <f>VLOOKUP(G2945,매칭테이블!D:E,2,0)</f>
        <v/>
      </c>
      <c r="J2945" s="39" t="n">
        <v>210101</v>
      </c>
      <c r="L2945" s="36">
        <f>VLOOKUP($P2945,매칭테이블!$G:$J,2,0)*H2945</f>
        <v/>
      </c>
      <c r="M2945" s="36">
        <f>L2945-L2945*VLOOKUP($P2945,매칭테이블!$G:$J,3,0)</f>
        <v/>
      </c>
      <c r="N2945" s="36">
        <f>VLOOKUP($P2945,매칭테이블!$G:$J,4,0)*H2945</f>
        <v/>
      </c>
      <c r="O2945" s="52">
        <f>L2945/1.1</f>
        <v/>
      </c>
      <c r="P2945" s="36">
        <f>F2945&amp;E2945&amp;G2945&amp;J2945</f>
        <v/>
      </c>
    </row>
    <row r="2946">
      <c r="B2946" s="51" t="n">
        <v>44214</v>
      </c>
      <c r="C2946" s="36">
        <f>TEXT(B2946,"aaa")</f>
        <v/>
      </c>
      <c r="E2946" s="36">
        <f>INDEX(매칭테이블!C:C,MATCH(RD!G2946,매칭테이블!D:D,0))</f>
        <v/>
      </c>
      <c r="F2946" s="39" t="inlineStr">
        <is>
          <t>카페24</t>
        </is>
      </c>
      <c r="G2946" s="39" t="inlineStr">
        <is>
          <t>유즈 솔리드퍼퓸 - 스테이포에버 002제품선택=커플추천스테이포에버 + 이그나이트 세트</t>
        </is>
      </c>
      <c r="H2946" s="39" t="n">
        <v>24</v>
      </c>
      <c r="I2946" s="36">
        <f>VLOOKUP(G2946,매칭테이블!D:E,2,0)</f>
        <v/>
      </c>
      <c r="J2946" s="39" t="n">
        <v>210101</v>
      </c>
      <c r="L2946" s="36">
        <f>VLOOKUP($P2946,매칭테이블!$G:$J,2,0)*H2946</f>
        <v/>
      </c>
      <c r="M2946" s="36">
        <f>L2946-L2946*VLOOKUP($P2946,매칭테이블!$G:$J,3,0)</f>
        <v/>
      </c>
      <c r="N2946" s="36">
        <f>VLOOKUP($P2946,매칭테이블!$G:$J,4,0)*H2946</f>
        <v/>
      </c>
      <c r="O2946" s="52">
        <f>L2946/1.1</f>
        <v/>
      </c>
      <c r="P2946" s="36">
        <f>F2946&amp;E2946&amp;G2946&amp;J2946</f>
        <v/>
      </c>
    </row>
    <row r="2947">
      <c r="B2947" s="51" t="n">
        <v>44214</v>
      </c>
      <c r="C2947" s="36">
        <f>TEXT(B2947,"aaa")</f>
        <v/>
      </c>
      <c r="E2947" s="36">
        <f>INDEX(매칭테이블!C:C,MATCH(RD!G2947,매칭테이블!D:D,0))</f>
        <v/>
      </c>
      <c r="F2947" s="39" t="inlineStr">
        <is>
          <t>카페24</t>
        </is>
      </c>
      <c r="G2947" s="39" t="inlineStr">
        <is>
          <t>유즈 솔리드퍼퓸 - 스테이포에버 002쇼핑백=선물용 쇼핑백</t>
        </is>
      </c>
      <c r="H2947" s="39" t="n">
        <v>19</v>
      </c>
      <c r="I2947" s="36">
        <f>VLOOKUP(G2947,매칭테이블!D:E,2,0)</f>
        <v/>
      </c>
      <c r="J2947" s="39" t="n">
        <v>210101</v>
      </c>
      <c r="L2947" s="36">
        <f>VLOOKUP($P2947,매칭테이블!$G:$J,2,0)*H2947</f>
        <v/>
      </c>
      <c r="M2947" s="36">
        <f>L2947-L2947*VLOOKUP($P2947,매칭테이블!$G:$J,3,0)</f>
        <v/>
      </c>
      <c r="N2947" s="36">
        <f>VLOOKUP($P2947,매칭테이블!$G:$J,4,0)*H2947</f>
        <v/>
      </c>
      <c r="O2947" s="52">
        <f>L2947/1.1</f>
        <v/>
      </c>
      <c r="P2947" s="36">
        <f>F2947&amp;E2947&amp;G2947&amp;J2947</f>
        <v/>
      </c>
    </row>
    <row r="2948">
      <c r="B2948" s="51" t="n">
        <v>44214</v>
      </c>
      <c r="C2948" s="36">
        <f>TEXT(B2948,"aaa")</f>
        <v/>
      </c>
      <c r="E2948" s="36">
        <f>INDEX(매칭테이블!C:C,MATCH(RD!G2948,매칭테이블!D:D,0))</f>
        <v/>
      </c>
      <c r="F2948" s="39" t="inlineStr">
        <is>
          <t>카페24</t>
        </is>
      </c>
      <c r="G2948" s="39" t="inlineStr">
        <is>
          <t>유즈 솔리드퍼퓸 - 이그나이트 001제품선택=이그나이트 솔리드퍼퓸 - 30ml</t>
        </is>
      </c>
      <c r="H2948" s="39" t="n">
        <v>5</v>
      </c>
      <c r="I2948" s="36">
        <f>VLOOKUP(G2948,매칭테이블!D:E,2,0)</f>
        <v/>
      </c>
      <c r="J2948" s="39" t="n">
        <v>210101</v>
      </c>
      <c r="L2948" s="36">
        <f>VLOOKUP($P2948,매칭테이블!$G:$J,2,0)*H2948</f>
        <v/>
      </c>
      <c r="M2948" s="36">
        <f>L2948-L2948*VLOOKUP($P2948,매칭테이블!$G:$J,3,0)</f>
        <v/>
      </c>
      <c r="N2948" s="36">
        <f>VLOOKUP($P2948,매칭테이블!$G:$J,4,0)*H2948</f>
        <v/>
      </c>
      <c r="O2948" s="52">
        <f>L2948/1.1</f>
        <v/>
      </c>
      <c r="P2948" s="36">
        <f>F2948&amp;E2948&amp;G2948&amp;J2948</f>
        <v/>
      </c>
    </row>
    <row r="2949">
      <c r="B2949" s="51" t="n">
        <v>44214</v>
      </c>
      <c r="C2949" s="36">
        <f>TEXT(B2949,"aaa")</f>
        <v/>
      </c>
      <c r="E2949" s="36">
        <f>INDEX(매칭테이블!C:C,MATCH(RD!G2949,매칭테이블!D:D,0))</f>
        <v/>
      </c>
      <c r="F2949" s="39" t="inlineStr">
        <is>
          <t>카페24</t>
        </is>
      </c>
      <c r="G2949" s="39" t="inlineStr">
        <is>
          <t>유즈 스테이포에버 솔리드퍼퓸 002제품선택=스테이포에버 1개</t>
        </is>
      </c>
      <c r="H2949" s="39" t="n">
        <v>2</v>
      </c>
      <c r="I2949" s="36">
        <f>VLOOKUP(G2949,매칭테이블!D:E,2,0)</f>
        <v/>
      </c>
      <c r="J2949" s="39" t="n">
        <v>210101</v>
      </c>
      <c r="L2949" s="36">
        <f>VLOOKUP($P2949,매칭테이블!$G:$J,2,0)*H2949</f>
        <v/>
      </c>
      <c r="M2949" s="36">
        <f>L2949-L2949*VLOOKUP($P2949,매칭테이블!$G:$J,3,0)</f>
        <v/>
      </c>
      <c r="N2949" s="36">
        <f>VLOOKUP($P2949,매칭테이블!$G:$J,4,0)*H2949</f>
        <v/>
      </c>
      <c r="O2949" s="52">
        <f>L2949/1.1</f>
        <v/>
      </c>
      <c r="P2949" s="36">
        <f>F2949&amp;E2949&amp;G2949&amp;J2949</f>
        <v/>
      </c>
    </row>
    <row r="2950">
      <c r="B2950" s="51" t="n">
        <v>44214</v>
      </c>
      <c r="C2950" s="36">
        <f>TEXT(B2950,"aaa")</f>
        <v/>
      </c>
      <c r="E2950" s="36">
        <f>INDEX(매칭테이블!C:C,MATCH(RD!G2950,매칭테이블!D:D,0))</f>
        <v/>
      </c>
      <c r="F2950" s="39" t="inlineStr">
        <is>
          <t>카페24</t>
        </is>
      </c>
      <c r="G2950" s="39" t="inlineStr">
        <is>
          <t>유즈 스테이포에버 솔리드퍼퓸 002제품선택=best</t>
        </is>
      </c>
      <c r="H2950" s="39" t="n">
        <v>1</v>
      </c>
      <c r="I2950" s="36">
        <f>VLOOKUP(G2950,매칭테이블!D:E,2,0)</f>
        <v/>
      </c>
      <c r="J2950" s="39" t="n">
        <v>210101</v>
      </c>
      <c r="L2950" s="36">
        <f>VLOOKUP($P2950,매칭테이블!$G:$J,2,0)*H2950</f>
        <v/>
      </c>
      <c r="M2950" s="36">
        <f>L2950-L2950*VLOOKUP($P2950,매칭테이블!$G:$J,3,0)</f>
        <v/>
      </c>
      <c r="N2950" s="36">
        <f>VLOOKUP($P2950,매칭테이블!$G:$J,4,0)*H2950</f>
        <v/>
      </c>
      <c r="O2950" s="52">
        <f>L2950/1.1</f>
        <v/>
      </c>
      <c r="P2950" s="36">
        <f>F2950&amp;E2950&amp;G2950&amp;J2950</f>
        <v/>
      </c>
    </row>
    <row r="2951">
      <c r="B2951" s="51" t="n">
        <v>44215</v>
      </c>
      <c r="C2951" s="36">
        <f>TEXT(B2951,"aaa")</f>
        <v/>
      </c>
      <c r="E2951" s="36">
        <f>INDEX(매칭테이블!C:C,MATCH(RD!G2951,매칭테이블!D:D,0))</f>
        <v/>
      </c>
      <c r="F2951" s="39" t="inlineStr">
        <is>
          <t>카페24</t>
        </is>
      </c>
      <c r="G2951" s="39" t="inlineStr">
        <is>
          <t>유즈 솔리드퍼퓸 - 30ml향=이그나이트 001 SOLID PERFUME, 세트 선택=1개</t>
        </is>
      </c>
      <c r="H2951" s="39" t="n">
        <v>2</v>
      </c>
      <c r="I2951" s="36">
        <f>VLOOKUP(G2951,매칭테이블!D:E,2,0)</f>
        <v/>
      </c>
      <c r="J2951" s="39" t="n">
        <v>210101</v>
      </c>
      <c r="L2951" s="36">
        <f>VLOOKUP($P2951,매칭테이블!$G:$J,2,0)*H2951</f>
        <v/>
      </c>
      <c r="M2951" s="36">
        <f>L2951-L2951*VLOOKUP($P2951,매칭테이블!$G:$J,3,0)</f>
        <v/>
      </c>
      <c r="N2951" s="36">
        <f>VLOOKUP($P2951,매칭테이블!$G:$J,4,0)*H2951</f>
        <v/>
      </c>
      <c r="O2951" s="52">
        <f>L2951/1.1</f>
        <v/>
      </c>
      <c r="P2951" s="36">
        <f>F2951&amp;E2951&amp;G2951&amp;J2951</f>
        <v/>
      </c>
    </row>
    <row r="2952">
      <c r="B2952" s="51" t="n">
        <v>44215</v>
      </c>
      <c r="C2952" s="36">
        <f>TEXT(B2952,"aaa")</f>
        <v/>
      </c>
      <c r="E2952" s="36">
        <f>INDEX(매칭테이블!C:C,MATCH(RD!G2952,매칭테이블!D:D,0))</f>
        <v/>
      </c>
      <c r="F2952" s="39" t="inlineStr">
        <is>
          <t>카페24</t>
        </is>
      </c>
      <c r="G2952" s="39" t="inlineStr">
        <is>
          <t>유즈 솔리드퍼퓸 - 30ml향=스테이포에버 002 SOLID PERFUME, 세트 선택=1개</t>
        </is>
      </c>
      <c r="H2952" s="39" t="n">
        <v>15</v>
      </c>
      <c r="I2952" s="36">
        <f>VLOOKUP(G2952,매칭테이블!D:E,2,0)</f>
        <v/>
      </c>
      <c r="J2952" s="39" t="n">
        <v>210101</v>
      </c>
      <c r="L2952" s="36">
        <f>VLOOKUP($P2952,매칭테이블!$G:$J,2,0)*H2952</f>
        <v/>
      </c>
      <c r="M2952" s="36">
        <f>L2952-L2952*VLOOKUP($P2952,매칭테이블!$G:$J,3,0)</f>
        <v/>
      </c>
      <c r="N2952" s="36">
        <f>VLOOKUP($P2952,매칭테이블!$G:$J,4,0)*H2952</f>
        <v/>
      </c>
      <c r="O2952" s="52">
        <f>L2952/1.1</f>
        <v/>
      </c>
      <c r="P2952" s="36">
        <f>F2952&amp;E2952&amp;G2952&amp;J2952</f>
        <v/>
      </c>
    </row>
    <row r="2953">
      <c r="B2953" s="51" t="n">
        <v>44215</v>
      </c>
      <c r="C2953" s="36">
        <f>TEXT(B2953,"aaa")</f>
        <v/>
      </c>
      <c r="E2953" s="36">
        <f>INDEX(매칭테이블!C:C,MATCH(RD!G2953,매칭테이블!D:D,0))</f>
        <v/>
      </c>
      <c r="F2953" s="39" t="inlineStr">
        <is>
          <t>카페24</t>
        </is>
      </c>
      <c r="G2953" s="39" t="inlineStr">
        <is>
          <t>유즈 솔리드퍼퓸 - 30ml향=스테이포에버 002 SOLID PERFUME, 세트 선택=best</t>
        </is>
      </c>
      <c r="H2953" s="39" t="n">
        <v>2</v>
      </c>
      <c r="I2953" s="36">
        <f>VLOOKUP(G2953,매칭테이블!D:E,2,0)</f>
        <v/>
      </c>
      <c r="J2953" s="39" t="n">
        <v>210101</v>
      </c>
      <c r="L2953" s="36">
        <f>VLOOKUP($P2953,매칭테이블!$G:$J,2,0)*H2953</f>
        <v/>
      </c>
      <c r="M2953" s="36">
        <f>L2953-L2953*VLOOKUP($P2953,매칭테이블!$G:$J,3,0)</f>
        <v/>
      </c>
      <c r="N2953" s="36">
        <f>VLOOKUP($P2953,매칭테이블!$G:$J,4,0)*H2953</f>
        <v/>
      </c>
      <c r="O2953" s="52">
        <f>L2953/1.1</f>
        <v/>
      </c>
      <c r="P2953" s="36">
        <f>F2953&amp;E2953&amp;G2953&amp;J2953</f>
        <v/>
      </c>
    </row>
    <row r="2954">
      <c r="B2954" s="51" t="n">
        <v>44215</v>
      </c>
      <c r="C2954" s="36">
        <f>TEXT(B2954,"aaa")</f>
        <v/>
      </c>
      <c r="E2954" s="36">
        <f>INDEX(매칭테이블!C:C,MATCH(RD!G2954,매칭테이블!D:D,0))</f>
        <v/>
      </c>
      <c r="F2954" s="39" t="inlineStr">
        <is>
          <t>카페24</t>
        </is>
      </c>
      <c r="G2954" s="39" t="inlineStr">
        <is>
          <t>유즈 솔리드퍼퓸 - 30ml향=스테이포에버 002 SOLID PERFUME, 세트 선택=best 2개 (28% 할인)</t>
        </is>
      </c>
      <c r="H2954" s="39" t="n">
        <v>4</v>
      </c>
      <c r="I2954" s="36">
        <f>VLOOKUP(G2954,매칭테이블!D:E,2,0)</f>
        <v/>
      </c>
      <c r="J2954" s="39" t="n">
        <v>210101</v>
      </c>
      <c r="L2954" s="36">
        <f>VLOOKUP($P2954,매칭테이블!$G:$J,2,0)*H2954</f>
        <v/>
      </c>
      <c r="M2954" s="36">
        <f>L2954-L2954*VLOOKUP($P2954,매칭테이블!$G:$J,3,0)</f>
        <v/>
      </c>
      <c r="N2954" s="36">
        <f>VLOOKUP($P2954,매칭테이블!$G:$J,4,0)*H2954</f>
        <v/>
      </c>
      <c r="O2954" s="52">
        <f>L2954/1.1</f>
        <v/>
      </c>
      <c r="P2954" s="36">
        <f>F2954&amp;E2954&amp;G2954&amp;J2954</f>
        <v/>
      </c>
    </row>
    <row r="2955">
      <c r="B2955" s="51" t="n">
        <v>44215</v>
      </c>
      <c r="C2955" s="36">
        <f>TEXT(B2955,"aaa")</f>
        <v/>
      </c>
      <c r="E2955" s="36">
        <f>INDEX(매칭테이블!C:C,MATCH(RD!G2955,매칭테이블!D:D,0))</f>
        <v/>
      </c>
      <c r="F2955" s="39" t="inlineStr">
        <is>
          <t>카페24</t>
        </is>
      </c>
      <c r="G2955" s="39" t="inlineStr">
        <is>
          <t>유즈 솔리드퍼퓸 - 30ml향=커플세트(이그나이트 + 스테이포에버), 세트 선택=1 SET</t>
        </is>
      </c>
      <c r="H2955" s="39" t="n">
        <v>9</v>
      </c>
      <c r="I2955" s="36">
        <f>VLOOKUP(G2955,매칭테이블!D:E,2,0)</f>
        <v/>
      </c>
      <c r="J2955" s="39" t="n">
        <v>210101</v>
      </c>
      <c r="L2955" s="36">
        <f>VLOOKUP($P2955,매칭테이블!$G:$J,2,0)*H2955</f>
        <v/>
      </c>
      <c r="M2955" s="36">
        <f>L2955-L2955*VLOOKUP($P2955,매칭테이블!$G:$J,3,0)</f>
        <v/>
      </c>
      <c r="N2955" s="36">
        <f>VLOOKUP($P2955,매칭테이블!$G:$J,4,0)*H2955</f>
        <v/>
      </c>
      <c r="O2955" s="52">
        <f>L2955/1.1</f>
        <v/>
      </c>
      <c r="P2955" s="36">
        <f>F2955&amp;E2955&amp;G2955&amp;J2955</f>
        <v/>
      </c>
    </row>
    <row r="2956">
      <c r="B2956" s="51" t="n">
        <v>44215</v>
      </c>
      <c r="C2956" s="36">
        <f>TEXT(B2956,"aaa")</f>
        <v/>
      </c>
      <c r="E2956" s="36">
        <f>INDEX(매칭테이블!C:C,MATCH(RD!G2956,매칭테이블!D:D,0))</f>
        <v/>
      </c>
      <c r="F2956" s="39" t="inlineStr">
        <is>
          <t>카페24</t>
        </is>
      </c>
      <c r="G2956" s="39" t="inlineStr">
        <is>
          <t>유즈 솔리드퍼퓸 - 스테이포에버 002제품선택=스테이포에버 1개</t>
        </is>
      </c>
      <c r="H2956" s="39" t="n">
        <v>282</v>
      </c>
      <c r="I2956" s="36">
        <f>VLOOKUP(G2956,매칭테이블!D:E,2,0)</f>
        <v/>
      </c>
      <c r="J2956" s="39" t="n">
        <v>210101</v>
      </c>
      <c r="L2956" s="36">
        <f>VLOOKUP($P2956,매칭테이블!$G:$J,2,0)*H2956</f>
        <v/>
      </c>
      <c r="M2956" s="36">
        <f>L2956-L2956*VLOOKUP($P2956,매칭테이블!$G:$J,3,0)</f>
        <v/>
      </c>
      <c r="N2956" s="36">
        <f>VLOOKUP($P2956,매칭테이블!$G:$J,4,0)*H2956</f>
        <v/>
      </c>
      <c r="O2956" s="52">
        <f>L2956/1.1</f>
        <v/>
      </c>
      <c r="P2956" s="36">
        <f>F2956&amp;E2956&amp;G2956&amp;J2956</f>
        <v/>
      </c>
    </row>
    <row r="2957">
      <c r="B2957" s="51" t="n">
        <v>44215</v>
      </c>
      <c r="C2957" s="36">
        <f>TEXT(B2957,"aaa")</f>
        <v/>
      </c>
      <c r="E2957" s="36">
        <f>INDEX(매칭테이블!C:C,MATCH(RD!G2957,매칭테이블!D:D,0))</f>
        <v/>
      </c>
      <c r="F2957" s="39" t="inlineStr">
        <is>
          <t>카페24</t>
        </is>
      </c>
      <c r="G2957" s="39" t="inlineStr">
        <is>
          <t>유즈 솔리드퍼퓸 - 스테이포에버 002제품선택=best</t>
        </is>
      </c>
      <c r="H2957" s="39" t="n">
        <v>23</v>
      </c>
      <c r="I2957" s="36">
        <f>VLOOKUP(G2957,매칭테이블!D:E,2,0)</f>
        <v/>
      </c>
      <c r="J2957" s="39" t="n">
        <v>210101</v>
      </c>
      <c r="L2957" s="36">
        <f>VLOOKUP($P2957,매칭테이블!$G:$J,2,0)*H2957</f>
        <v/>
      </c>
      <c r="M2957" s="36">
        <f>L2957-L2957*VLOOKUP($P2957,매칭테이블!$G:$J,3,0)</f>
        <v/>
      </c>
      <c r="N2957" s="36">
        <f>VLOOKUP($P2957,매칭테이블!$G:$J,4,0)*H2957</f>
        <v/>
      </c>
      <c r="O2957" s="52">
        <f>L2957/1.1</f>
        <v/>
      </c>
      <c r="P2957" s="36">
        <f>F2957&amp;E2957&amp;G2957&amp;J2957</f>
        <v/>
      </c>
    </row>
    <row r="2958">
      <c r="B2958" s="51" t="n">
        <v>44215</v>
      </c>
      <c r="C2958" s="36">
        <f>TEXT(B2958,"aaa")</f>
        <v/>
      </c>
      <c r="E2958" s="36">
        <f>INDEX(매칭테이블!C:C,MATCH(RD!G2958,매칭테이블!D:D,0))</f>
        <v/>
      </c>
      <c r="F2958" s="39" t="inlineStr">
        <is>
          <t>카페24</t>
        </is>
      </c>
      <c r="G2958" s="39" t="inlineStr">
        <is>
          <t>유즈 솔리드퍼퓸 - 스테이포에버 002제품선택=best스테이포에버 2개[28% 할인]</t>
        </is>
      </c>
      <c r="H2958" s="39" t="n">
        <v>102</v>
      </c>
      <c r="I2958" s="36">
        <f>VLOOKUP(G2958,매칭테이블!D:E,2,0)</f>
        <v/>
      </c>
      <c r="J2958" s="39" t="n">
        <v>210101</v>
      </c>
      <c r="L2958" s="36">
        <f>VLOOKUP($P2958,매칭테이블!$G:$J,2,0)*H2958</f>
        <v/>
      </c>
      <c r="M2958" s="36">
        <f>L2958-L2958*VLOOKUP($P2958,매칭테이블!$G:$J,3,0)</f>
        <v/>
      </c>
      <c r="N2958" s="36">
        <f>VLOOKUP($P2958,매칭테이블!$G:$J,4,0)*H2958</f>
        <v/>
      </c>
      <c r="O2958" s="52">
        <f>L2958/1.1</f>
        <v/>
      </c>
      <c r="P2958" s="36">
        <f>F2958&amp;E2958&amp;G2958&amp;J2958</f>
        <v/>
      </c>
    </row>
    <row r="2959">
      <c r="B2959" s="51" t="n">
        <v>44215</v>
      </c>
      <c r="C2959" s="36">
        <f>TEXT(B2959,"aaa")</f>
        <v/>
      </c>
      <c r="E2959" s="36">
        <f>INDEX(매칭테이블!C:C,MATCH(RD!G2959,매칭테이블!D:D,0))</f>
        <v/>
      </c>
      <c r="F2959" s="39" t="inlineStr">
        <is>
          <t>카페24</t>
        </is>
      </c>
      <c r="G2959" s="39" t="inlineStr">
        <is>
          <t>유즈 솔리드퍼퓸 - 스테이포에버 002제품선택=커플추천</t>
        </is>
      </c>
      <c r="H2959" s="39" t="n">
        <v>1</v>
      </c>
      <c r="I2959" s="36">
        <f>VLOOKUP(G2959,매칭테이블!D:E,2,0)</f>
        <v/>
      </c>
      <c r="J2959" s="39" t="n">
        <v>210101</v>
      </c>
      <c r="L2959" s="36">
        <f>VLOOKUP($P2959,매칭테이블!$G:$J,2,0)*H2959</f>
        <v/>
      </c>
      <c r="M2959" s="36">
        <f>L2959-L2959*VLOOKUP($P2959,매칭테이블!$G:$J,3,0)</f>
        <v/>
      </c>
      <c r="N2959" s="36">
        <f>VLOOKUP($P2959,매칭테이블!$G:$J,4,0)*H2959</f>
        <v/>
      </c>
      <c r="O2959" s="52">
        <f>L2959/1.1</f>
        <v/>
      </c>
      <c r="P2959" s="36">
        <f>F2959&amp;E2959&amp;G2959&amp;J2959</f>
        <v/>
      </c>
    </row>
    <row r="2960">
      <c r="B2960" s="51" t="n">
        <v>44215</v>
      </c>
      <c r="C2960" s="36">
        <f>TEXT(B2960,"aaa")</f>
        <v/>
      </c>
      <c r="E2960" s="36">
        <f>INDEX(매칭테이블!C:C,MATCH(RD!G2960,매칭테이블!D:D,0))</f>
        <v/>
      </c>
      <c r="F2960" s="39" t="inlineStr">
        <is>
          <t>카페24</t>
        </is>
      </c>
      <c r="G2960" s="39" t="inlineStr">
        <is>
          <t>유즈 솔리드퍼퓸 - 스테이포에버 002제품선택=커플추천스테이포에버 + 이그나이트 세트</t>
        </is>
      </c>
      <c r="H2960" s="39" t="n">
        <v>11</v>
      </c>
      <c r="I2960" s="36">
        <f>VLOOKUP(G2960,매칭테이블!D:E,2,0)</f>
        <v/>
      </c>
      <c r="J2960" s="39" t="n">
        <v>210101</v>
      </c>
      <c r="L2960" s="36">
        <f>VLOOKUP($P2960,매칭테이블!$G:$J,2,0)*H2960</f>
        <v/>
      </c>
      <c r="M2960" s="36">
        <f>L2960-L2960*VLOOKUP($P2960,매칭테이블!$G:$J,3,0)</f>
        <v/>
      </c>
      <c r="N2960" s="36">
        <f>VLOOKUP($P2960,매칭테이블!$G:$J,4,0)*H2960</f>
        <v/>
      </c>
      <c r="O2960" s="52">
        <f>L2960/1.1</f>
        <v/>
      </c>
      <c r="P2960" s="36">
        <f>F2960&amp;E2960&amp;G2960&amp;J2960</f>
        <v/>
      </c>
    </row>
    <row r="2961">
      <c r="B2961" s="51" t="n">
        <v>44215</v>
      </c>
      <c r="C2961" s="36">
        <f>TEXT(B2961,"aaa")</f>
        <v/>
      </c>
      <c r="E2961" s="36">
        <f>INDEX(매칭테이블!C:C,MATCH(RD!G2961,매칭테이블!D:D,0))</f>
        <v/>
      </c>
      <c r="F2961" s="39" t="inlineStr">
        <is>
          <t>카페24</t>
        </is>
      </c>
      <c r="G2961" s="39" t="inlineStr">
        <is>
          <t>유즈 솔리드퍼퓸 - 스테이포에버 002쇼핑백=선물용 쇼핑백</t>
        </is>
      </c>
      <c r="H2961" s="39" t="n">
        <v>13</v>
      </c>
      <c r="I2961" s="36">
        <f>VLOOKUP(G2961,매칭테이블!D:E,2,0)</f>
        <v/>
      </c>
      <c r="J2961" s="39" t="n">
        <v>210101</v>
      </c>
      <c r="L2961" s="36">
        <f>VLOOKUP($P2961,매칭테이블!$G:$J,2,0)*H2961</f>
        <v/>
      </c>
      <c r="M2961" s="36">
        <f>L2961-L2961*VLOOKUP($P2961,매칭테이블!$G:$J,3,0)</f>
        <v/>
      </c>
      <c r="N2961" s="36">
        <f>VLOOKUP($P2961,매칭테이블!$G:$J,4,0)*H2961</f>
        <v/>
      </c>
      <c r="O2961" s="52">
        <f>L2961/1.1</f>
        <v/>
      </c>
      <c r="P2961" s="36">
        <f>F2961&amp;E2961&amp;G2961&amp;J2961</f>
        <v/>
      </c>
    </row>
    <row r="2962">
      <c r="B2962" s="51" t="n">
        <v>44215</v>
      </c>
      <c r="C2962" s="36">
        <f>TEXT(B2962,"aaa")</f>
        <v/>
      </c>
      <c r="E2962" s="36">
        <f>INDEX(매칭테이블!C:C,MATCH(RD!G2962,매칭테이블!D:D,0))</f>
        <v/>
      </c>
      <c r="F2962" s="39" t="inlineStr">
        <is>
          <t>카페24</t>
        </is>
      </c>
      <c r="G2962" s="39" t="inlineStr">
        <is>
          <t>유즈 솔리드퍼퓸 - 이그나이트 001제품선택=이그나이트 솔리드퍼퓸 - 30ml</t>
        </is>
      </c>
      <c r="H2962" s="39" t="n">
        <v>2</v>
      </c>
      <c r="I2962" s="36">
        <f>VLOOKUP(G2962,매칭테이블!D:E,2,0)</f>
        <v/>
      </c>
      <c r="J2962" s="39" t="n">
        <v>210101</v>
      </c>
      <c r="L2962" s="36">
        <f>VLOOKUP($P2962,매칭테이블!$G:$J,2,0)*H2962</f>
        <v/>
      </c>
      <c r="M2962" s="36">
        <f>L2962-L2962*VLOOKUP($P2962,매칭테이블!$G:$J,3,0)</f>
        <v/>
      </c>
      <c r="N2962" s="36">
        <f>VLOOKUP($P2962,매칭테이블!$G:$J,4,0)*H2962</f>
        <v/>
      </c>
      <c r="O2962" s="52">
        <f>L2962/1.1</f>
        <v/>
      </c>
      <c r="P2962" s="36">
        <f>F2962&amp;E2962&amp;G2962&amp;J2962</f>
        <v/>
      </c>
    </row>
    <row r="2963">
      <c r="B2963" s="51" t="n">
        <v>44215</v>
      </c>
      <c r="C2963" s="36">
        <f>TEXT(B2963,"aaa")</f>
        <v/>
      </c>
      <c r="E2963" s="36">
        <f>INDEX(매칭테이블!C:C,MATCH(RD!G2963,매칭테이블!D:D,0))</f>
        <v/>
      </c>
      <c r="F2963" s="39" t="inlineStr">
        <is>
          <t>카페24</t>
        </is>
      </c>
      <c r="G2963" s="39" t="inlineStr">
        <is>
          <t>유즈 솔리드퍼퓸 - 이그나이트 001제품선택=이그나이트 2개 세트</t>
        </is>
      </c>
      <c r="H2963" s="39" t="n">
        <v>1</v>
      </c>
      <c r="I2963" s="36">
        <f>VLOOKUP(G2963,매칭테이블!D:E,2,0)</f>
        <v/>
      </c>
      <c r="J2963" s="39" t="n">
        <v>210101</v>
      </c>
      <c r="L2963" s="36">
        <f>VLOOKUP($P2963,매칭테이블!$G:$J,2,0)*H2963</f>
        <v/>
      </c>
      <c r="M2963" s="36">
        <f>L2963-L2963*VLOOKUP($P2963,매칭테이블!$G:$J,3,0)</f>
        <v/>
      </c>
      <c r="N2963" s="36">
        <f>VLOOKUP($P2963,매칭테이블!$G:$J,4,0)*H2963</f>
        <v/>
      </c>
      <c r="O2963" s="52">
        <f>L2963/1.1</f>
        <v/>
      </c>
      <c r="P2963" s="36">
        <f>F2963&amp;E2963&amp;G2963&amp;J2963</f>
        <v/>
      </c>
    </row>
    <row r="2964">
      <c r="B2964" s="51" t="n">
        <v>44215</v>
      </c>
      <c r="C2964" s="36">
        <f>TEXT(B2964,"aaa")</f>
        <v/>
      </c>
      <c r="E2964" s="36">
        <f>INDEX(매칭테이블!C:C,MATCH(RD!G2964,매칭테이블!D:D,0))</f>
        <v/>
      </c>
      <c r="F2964" s="39" t="inlineStr">
        <is>
          <t>카페24</t>
        </is>
      </c>
      <c r="G2964" s="39" t="inlineStr">
        <is>
          <t>유즈 스테이포에버 솔리드퍼퓸 002제품선택=스테이포에버 1개</t>
        </is>
      </c>
      <c r="H2964" s="39" t="n">
        <v>2</v>
      </c>
      <c r="I2964" s="36">
        <f>VLOOKUP(G2964,매칭테이블!D:E,2,0)</f>
        <v/>
      </c>
      <c r="J2964" s="39" t="n">
        <v>210101</v>
      </c>
      <c r="L2964" s="36">
        <f>VLOOKUP($P2964,매칭테이블!$G:$J,2,0)*H2964</f>
        <v/>
      </c>
      <c r="M2964" s="36">
        <f>L2964-L2964*VLOOKUP($P2964,매칭테이블!$G:$J,3,0)</f>
        <v/>
      </c>
      <c r="N2964" s="36">
        <f>VLOOKUP($P2964,매칭테이블!$G:$J,4,0)*H2964</f>
        <v/>
      </c>
      <c r="O2964" s="52">
        <f>L2964/1.1</f>
        <v/>
      </c>
      <c r="P2964" s="36">
        <f>F2964&amp;E2964&amp;G2964&amp;J2964</f>
        <v/>
      </c>
    </row>
    <row r="2965">
      <c r="B2965" s="51" t="n">
        <v>44215</v>
      </c>
      <c r="C2965" s="36">
        <f>TEXT(B2965,"aaa")</f>
        <v/>
      </c>
      <c r="E2965" s="36">
        <f>INDEX(매칭테이블!C:C,MATCH(RD!G2965,매칭테이블!D:D,0))</f>
        <v/>
      </c>
      <c r="F2965" s="39" t="inlineStr">
        <is>
          <t>카페24</t>
        </is>
      </c>
      <c r="G2965" s="39" t="inlineStr">
        <is>
          <t>유즈 스테이포에버 솔리드퍼퓸 002제품선택=best스테이포에버 2개[28% 할인]</t>
        </is>
      </c>
      <c r="H2965" s="39" t="n">
        <v>1</v>
      </c>
      <c r="I2965" s="36">
        <f>VLOOKUP(G2965,매칭테이블!D:E,2,0)</f>
        <v/>
      </c>
      <c r="J2965" s="39" t="n">
        <v>210101</v>
      </c>
      <c r="L2965" s="36">
        <f>VLOOKUP($P2965,매칭테이블!$G:$J,2,0)*H2965</f>
        <v/>
      </c>
      <c r="M2965" s="36">
        <f>L2965-L2965*VLOOKUP($P2965,매칭테이블!$G:$J,3,0)</f>
        <v/>
      </c>
      <c r="N2965" s="36">
        <f>VLOOKUP($P2965,매칭테이블!$G:$J,4,0)*H2965</f>
        <v/>
      </c>
      <c r="O2965" s="52">
        <f>L2965/1.1</f>
        <v/>
      </c>
      <c r="P2965" s="36">
        <f>F2965&amp;E2965&amp;G2965&amp;J2965</f>
        <v/>
      </c>
    </row>
    <row r="2966">
      <c r="B2966" s="51" t="n">
        <v>44216</v>
      </c>
      <c r="C2966" s="36">
        <f>TEXT(B2966,"aaa")</f>
        <v/>
      </c>
      <c r="E2966" s="36">
        <f>INDEX(매칭테이블!C:C,MATCH(RD!G2966,매칭테이블!D:D,0))</f>
        <v/>
      </c>
      <c r="F2966" s="39" t="inlineStr">
        <is>
          <t>카페24</t>
        </is>
      </c>
      <c r="G2966" s="39" t="inlineStr">
        <is>
          <t>유즈 솔리드퍼퓸 - 30ml향=스테이포에버 002 SOLID PERFUME, 세트 선택=1개</t>
        </is>
      </c>
      <c r="H2966" s="39" t="n">
        <v>15</v>
      </c>
      <c r="I2966" s="36">
        <f>VLOOKUP(G2966,매칭테이블!D:E,2,0)</f>
        <v/>
      </c>
      <c r="J2966" s="39" t="n">
        <v>210101</v>
      </c>
      <c r="L2966" s="36">
        <f>VLOOKUP($P2966,매칭테이블!$G:$J,2,0)*H2966</f>
        <v/>
      </c>
      <c r="M2966" s="36">
        <f>L2966-L2966*VLOOKUP($P2966,매칭테이블!$G:$J,3,0)</f>
        <v/>
      </c>
      <c r="N2966" s="36">
        <f>VLOOKUP($P2966,매칭테이블!$G:$J,4,0)*H2966</f>
        <v/>
      </c>
      <c r="O2966" s="52">
        <f>L2966/1.1</f>
        <v/>
      </c>
      <c r="P2966" s="36">
        <f>F2966&amp;E2966&amp;G2966&amp;J2966</f>
        <v/>
      </c>
    </row>
    <row r="2967">
      <c r="B2967" s="51" t="n">
        <v>44216</v>
      </c>
      <c r="C2967" s="36">
        <f>TEXT(B2967,"aaa")</f>
        <v/>
      </c>
      <c r="E2967" s="36">
        <f>INDEX(매칭테이블!C:C,MATCH(RD!G2967,매칭테이블!D:D,0))</f>
        <v/>
      </c>
      <c r="F2967" s="39" t="inlineStr">
        <is>
          <t>카페24</t>
        </is>
      </c>
      <c r="G2967" s="39" t="inlineStr">
        <is>
          <t>유즈 솔리드퍼퓸 - 30ml향=스테이포에버 002 SOLID PERFUME, 세트 선택=best 2개 (28% 할인)</t>
        </is>
      </c>
      <c r="H2967" s="39" t="n">
        <v>5</v>
      </c>
      <c r="I2967" s="36">
        <f>VLOOKUP(G2967,매칭테이블!D:E,2,0)</f>
        <v/>
      </c>
      <c r="J2967" s="39" t="n">
        <v>210101</v>
      </c>
      <c r="L2967" s="36">
        <f>VLOOKUP($P2967,매칭테이블!$G:$J,2,0)*H2967</f>
        <v/>
      </c>
      <c r="M2967" s="36">
        <f>L2967-L2967*VLOOKUP($P2967,매칭테이블!$G:$J,3,0)</f>
        <v/>
      </c>
      <c r="N2967" s="36">
        <f>VLOOKUP($P2967,매칭테이블!$G:$J,4,0)*H2967</f>
        <v/>
      </c>
      <c r="O2967" s="52">
        <f>L2967/1.1</f>
        <v/>
      </c>
      <c r="P2967" s="36">
        <f>F2967&amp;E2967&amp;G2967&amp;J2967</f>
        <v/>
      </c>
    </row>
    <row r="2968">
      <c r="B2968" s="51" t="n">
        <v>44216</v>
      </c>
      <c r="C2968" s="36">
        <f>TEXT(B2968,"aaa")</f>
        <v/>
      </c>
      <c r="E2968" s="36">
        <f>INDEX(매칭테이블!C:C,MATCH(RD!G2968,매칭테이블!D:D,0))</f>
        <v/>
      </c>
      <c r="F2968" s="39" t="inlineStr">
        <is>
          <t>카페24</t>
        </is>
      </c>
      <c r="G2968" s="39" t="inlineStr">
        <is>
          <t>유즈 솔리드퍼퓸 - 30ml향=커플세트(이그나이트 + 스테이포에버), 세트 선택=1 SET</t>
        </is>
      </c>
      <c r="H2968" s="39" t="n">
        <v>12</v>
      </c>
      <c r="I2968" s="36">
        <f>VLOOKUP(G2968,매칭테이블!D:E,2,0)</f>
        <v/>
      </c>
      <c r="J2968" s="39" t="n">
        <v>210101</v>
      </c>
      <c r="L2968" s="36">
        <f>VLOOKUP($P2968,매칭테이블!$G:$J,2,0)*H2968</f>
        <v/>
      </c>
      <c r="M2968" s="36">
        <f>L2968-L2968*VLOOKUP($P2968,매칭테이블!$G:$J,3,0)</f>
        <v/>
      </c>
      <c r="N2968" s="36">
        <f>VLOOKUP($P2968,매칭테이블!$G:$J,4,0)*H2968</f>
        <v/>
      </c>
      <c r="O2968" s="52">
        <f>L2968/1.1</f>
        <v/>
      </c>
      <c r="P2968" s="36">
        <f>F2968&amp;E2968&amp;G2968&amp;J2968</f>
        <v/>
      </c>
    </row>
    <row r="2969">
      <c r="B2969" s="51" t="n">
        <v>44216</v>
      </c>
      <c r="C2969" s="36">
        <f>TEXT(B2969,"aaa")</f>
        <v/>
      </c>
      <c r="E2969" s="36">
        <f>INDEX(매칭테이블!C:C,MATCH(RD!G2969,매칭테이블!D:D,0))</f>
        <v/>
      </c>
      <c r="F2969" s="39" t="inlineStr">
        <is>
          <t>카페24</t>
        </is>
      </c>
      <c r="G2969" s="39" t="inlineStr">
        <is>
          <t>유즈 솔리드퍼퓸 - 30ml향=커플세트(이그나이트 + 스테이포에버), 세트 선택=2 SET (42% 할인)</t>
        </is>
      </c>
      <c r="H2969" s="39" t="n">
        <v>1</v>
      </c>
      <c r="I2969" s="36">
        <f>VLOOKUP(G2969,매칭테이블!D:E,2,0)</f>
        <v/>
      </c>
      <c r="J2969" s="39" t="n">
        <v>210101</v>
      </c>
      <c r="L2969" s="36">
        <f>VLOOKUP($P2969,매칭테이블!$G:$J,2,0)*H2969</f>
        <v/>
      </c>
      <c r="M2969" s="36">
        <f>L2969-L2969*VLOOKUP($P2969,매칭테이블!$G:$J,3,0)</f>
        <v/>
      </c>
      <c r="N2969" s="36">
        <f>VLOOKUP($P2969,매칭테이블!$G:$J,4,0)*H2969</f>
        <v/>
      </c>
      <c r="O2969" s="52">
        <f>L2969/1.1</f>
        <v/>
      </c>
      <c r="P2969" s="36">
        <f>F2969&amp;E2969&amp;G2969&amp;J2969</f>
        <v/>
      </c>
    </row>
    <row r="2970">
      <c r="B2970" s="51" t="n">
        <v>44216</v>
      </c>
      <c r="C2970" s="36">
        <f>TEXT(B2970,"aaa")</f>
        <v/>
      </c>
      <c r="E2970" s="36">
        <f>INDEX(매칭테이블!C:C,MATCH(RD!G2970,매칭테이블!D:D,0))</f>
        <v/>
      </c>
      <c r="F2970" s="39" t="inlineStr">
        <is>
          <t>카페24</t>
        </is>
      </c>
      <c r="G2970" s="39" t="inlineStr">
        <is>
          <t>유즈 솔리드퍼퓸 - 스테이포에버 002제품선택=스테이포에버 1개</t>
        </is>
      </c>
      <c r="H2970" s="39" t="n">
        <v>283</v>
      </c>
      <c r="I2970" s="36">
        <f>VLOOKUP(G2970,매칭테이블!D:E,2,0)</f>
        <v/>
      </c>
      <c r="J2970" s="39" t="n">
        <v>210101</v>
      </c>
      <c r="L2970" s="36">
        <f>VLOOKUP($P2970,매칭테이블!$G:$J,2,0)*H2970</f>
        <v/>
      </c>
      <c r="M2970" s="36">
        <f>L2970-L2970*VLOOKUP($P2970,매칭테이블!$G:$J,3,0)</f>
        <v/>
      </c>
      <c r="N2970" s="36">
        <f>VLOOKUP($P2970,매칭테이블!$G:$J,4,0)*H2970</f>
        <v/>
      </c>
      <c r="O2970" s="52">
        <f>L2970/1.1</f>
        <v/>
      </c>
      <c r="P2970" s="36">
        <f>F2970&amp;E2970&amp;G2970&amp;J2970</f>
        <v/>
      </c>
    </row>
    <row r="2971">
      <c r="B2971" s="51" t="n">
        <v>44216</v>
      </c>
      <c r="C2971" s="36">
        <f>TEXT(B2971,"aaa")</f>
        <v/>
      </c>
      <c r="E2971" s="36">
        <f>INDEX(매칭테이블!C:C,MATCH(RD!G2971,매칭테이블!D:D,0))</f>
        <v/>
      </c>
      <c r="F2971" s="39" t="inlineStr">
        <is>
          <t>카페24</t>
        </is>
      </c>
      <c r="G2971" s="39" t="inlineStr">
        <is>
          <t>유즈 솔리드퍼퓸 - 스테이포에버 002제품선택=best스테이포에버 2개[28% 할인]</t>
        </is>
      </c>
      <c r="H2971" s="39" t="n">
        <v>126</v>
      </c>
      <c r="I2971" s="36">
        <f>VLOOKUP(G2971,매칭테이블!D:E,2,0)</f>
        <v/>
      </c>
      <c r="J2971" s="39" t="n">
        <v>210101</v>
      </c>
      <c r="L2971" s="36">
        <f>VLOOKUP($P2971,매칭테이블!$G:$J,2,0)*H2971</f>
        <v/>
      </c>
      <c r="M2971" s="36">
        <f>L2971-L2971*VLOOKUP($P2971,매칭테이블!$G:$J,3,0)</f>
        <v/>
      </c>
      <c r="N2971" s="36">
        <f>VLOOKUP($P2971,매칭테이블!$G:$J,4,0)*H2971</f>
        <v/>
      </c>
      <c r="O2971" s="52">
        <f>L2971/1.1</f>
        <v/>
      </c>
      <c r="P2971" s="36">
        <f>F2971&amp;E2971&amp;G2971&amp;J2971</f>
        <v/>
      </c>
    </row>
    <row r="2972">
      <c r="B2972" s="51" t="n">
        <v>44216</v>
      </c>
      <c r="C2972" s="36">
        <f>TEXT(B2972,"aaa")</f>
        <v/>
      </c>
      <c r="E2972" s="36">
        <f>INDEX(매칭테이블!C:C,MATCH(RD!G2972,매칭테이블!D:D,0))</f>
        <v/>
      </c>
      <c r="F2972" s="39" t="inlineStr">
        <is>
          <t>카페24</t>
        </is>
      </c>
      <c r="G2972" s="39" t="inlineStr">
        <is>
          <t>유즈 솔리드퍼퓸 - 스테이포에버 002제품선택=커플추천스테이포에버 + 이그나이트 세트</t>
        </is>
      </c>
      <c r="H2972" s="39" t="n">
        <v>15</v>
      </c>
      <c r="I2972" s="36">
        <f>VLOOKUP(G2972,매칭테이블!D:E,2,0)</f>
        <v/>
      </c>
      <c r="J2972" s="39" t="n">
        <v>210101</v>
      </c>
      <c r="L2972" s="36">
        <f>VLOOKUP($P2972,매칭테이블!$G:$J,2,0)*H2972</f>
        <v/>
      </c>
      <c r="M2972" s="36">
        <f>L2972-L2972*VLOOKUP($P2972,매칭테이블!$G:$J,3,0)</f>
        <v/>
      </c>
      <c r="N2972" s="36">
        <f>VLOOKUP($P2972,매칭테이블!$G:$J,4,0)*H2972</f>
        <v/>
      </c>
      <c r="O2972" s="52">
        <f>L2972/1.1</f>
        <v/>
      </c>
      <c r="P2972" s="36">
        <f>F2972&amp;E2972&amp;G2972&amp;J2972</f>
        <v/>
      </c>
    </row>
    <row r="2973">
      <c r="B2973" s="51" t="n">
        <v>44216</v>
      </c>
      <c r="C2973" s="36">
        <f>TEXT(B2973,"aaa")</f>
        <v/>
      </c>
      <c r="E2973" s="36">
        <f>INDEX(매칭테이블!C:C,MATCH(RD!G2973,매칭테이블!D:D,0))</f>
        <v/>
      </c>
      <c r="F2973" s="39" t="inlineStr">
        <is>
          <t>카페24</t>
        </is>
      </c>
      <c r="G2973" s="39" t="inlineStr">
        <is>
          <t>유즈 솔리드퍼퓸 - 스테이포에버 002쇼핑백=선물용 쇼핑백</t>
        </is>
      </c>
      <c r="H2973" s="39" t="n">
        <v>12</v>
      </c>
      <c r="I2973" s="36">
        <f>VLOOKUP(G2973,매칭테이블!D:E,2,0)</f>
        <v/>
      </c>
      <c r="J2973" s="39" t="n">
        <v>210101</v>
      </c>
      <c r="L2973" s="36">
        <f>VLOOKUP($P2973,매칭테이블!$G:$J,2,0)*H2973</f>
        <v/>
      </c>
      <c r="M2973" s="36">
        <f>L2973-L2973*VLOOKUP($P2973,매칭테이블!$G:$J,3,0)</f>
        <v/>
      </c>
      <c r="N2973" s="36">
        <f>VLOOKUP($P2973,매칭테이블!$G:$J,4,0)*H2973</f>
        <v/>
      </c>
      <c r="O2973" s="52">
        <f>L2973/1.1</f>
        <v/>
      </c>
      <c r="P2973" s="36">
        <f>F2973&amp;E2973&amp;G2973&amp;J2973</f>
        <v/>
      </c>
    </row>
    <row r="2974">
      <c r="B2974" s="51" t="n">
        <v>44216</v>
      </c>
      <c r="C2974" s="36">
        <f>TEXT(B2974,"aaa")</f>
        <v/>
      </c>
      <c r="E2974" s="36">
        <f>INDEX(매칭테이블!C:C,MATCH(RD!G2974,매칭테이블!D:D,0))</f>
        <v/>
      </c>
      <c r="F2974" s="39" t="inlineStr">
        <is>
          <t>카페24</t>
        </is>
      </c>
      <c r="G2974" s="39" t="inlineStr">
        <is>
          <t>유즈 솔리드퍼퓸 - 이그나이트 001제품선택=이그나이트 솔리드퍼퓸 - 30ml</t>
        </is>
      </c>
      <c r="H2974" s="39" t="n">
        <v>4</v>
      </c>
      <c r="I2974" s="36">
        <f>VLOOKUP(G2974,매칭테이블!D:E,2,0)</f>
        <v/>
      </c>
      <c r="J2974" s="39" t="n">
        <v>210101</v>
      </c>
      <c r="L2974" s="36">
        <f>VLOOKUP($P2974,매칭테이블!$G:$J,2,0)*H2974</f>
        <v/>
      </c>
      <c r="M2974" s="36">
        <f>L2974-L2974*VLOOKUP($P2974,매칭테이블!$G:$J,3,0)</f>
        <v/>
      </c>
      <c r="N2974" s="36">
        <f>VLOOKUP($P2974,매칭테이블!$G:$J,4,0)*H2974</f>
        <v/>
      </c>
      <c r="O2974" s="52">
        <f>L2974/1.1</f>
        <v/>
      </c>
      <c r="P2974" s="36">
        <f>F2974&amp;E2974&amp;G2974&amp;J2974</f>
        <v/>
      </c>
    </row>
    <row r="2975">
      <c r="B2975" s="51" t="n">
        <v>44216</v>
      </c>
      <c r="C2975" s="36">
        <f>TEXT(B2975,"aaa")</f>
        <v/>
      </c>
      <c r="E2975" s="36">
        <f>INDEX(매칭테이블!C:C,MATCH(RD!G2975,매칭테이블!D:D,0))</f>
        <v/>
      </c>
      <c r="F2975" s="39" t="inlineStr">
        <is>
          <t>카페24</t>
        </is>
      </c>
      <c r="G2975" s="39" t="inlineStr">
        <is>
          <t>유즈 솔리드퍼퓸 - 이그나이트 001제품선택=이그나이트 2개 세트</t>
        </is>
      </c>
      <c r="H2975" s="39" t="n">
        <v>1</v>
      </c>
      <c r="I2975" s="36">
        <f>VLOOKUP(G2975,매칭테이블!D:E,2,0)</f>
        <v/>
      </c>
      <c r="J2975" s="39" t="n">
        <v>210101</v>
      </c>
      <c r="L2975" s="36">
        <f>VLOOKUP($P2975,매칭테이블!$G:$J,2,0)*H2975</f>
        <v/>
      </c>
      <c r="M2975" s="36">
        <f>L2975-L2975*VLOOKUP($P2975,매칭테이블!$G:$J,3,0)</f>
        <v/>
      </c>
      <c r="N2975" s="36">
        <f>VLOOKUP($P2975,매칭테이블!$G:$J,4,0)*H2975</f>
        <v/>
      </c>
      <c r="O2975" s="52">
        <f>L2975/1.1</f>
        <v/>
      </c>
      <c r="P2975" s="36">
        <f>F2975&amp;E2975&amp;G2975&amp;J2975</f>
        <v/>
      </c>
    </row>
    <row r="2976">
      <c r="B2976" s="51" t="n">
        <v>44216</v>
      </c>
      <c r="C2976" s="36">
        <f>TEXT(B2976,"aaa")</f>
        <v/>
      </c>
      <c r="E2976" s="36">
        <f>INDEX(매칭테이블!C:C,MATCH(RD!G2976,매칭테이블!D:D,0))</f>
        <v/>
      </c>
      <c r="F2976" s="39" t="inlineStr">
        <is>
          <t>카페24</t>
        </is>
      </c>
      <c r="G2976" s="39" t="inlineStr">
        <is>
          <t>유즈 솔리드퍼퓸 - 이그나이트 001쇼핑백=선물용 쇼핑백</t>
        </is>
      </c>
      <c r="H2976" s="39" t="n">
        <v>1</v>
      </c>
      <c r="I2976" s="36">
        <f>VLOOKUP(G2976,매칭테이블!D:E,2,0)</f>
        <v/>
      </c>
      <c r="J2976" s="39" t="n">
        <v>210101</v>
      </c>
      <c r="L2976" s="36">
        <f>VLOOKUP($P2976,매칭테이블!$G:$J,2,0)*H2976</f>
        <v/>
      </c>
      <c r="M2976" s="36">
        <f>L2976-L2976*VLOOKUP($P2976,매칭테이블!$G:$J,3,0)</f>
        <v/>
      </c>
      <c r="N2976" s="36">
        <f>VLOOKUP($P2976,매칭테이블!$G:$J,4,0)*H2976</f>
        <v/>
      </c>
      <c r="O2976" s="52">
        <f>L2976/1.1</f>
        <v/>
      </c>
      <c r="P2976" s="36">
        <f>F2976&amp;E2976&amp;G2976&amp;J2976</f>
        <v/>
      </c>
    </row>
    <row r="2977">
      <c r="B2977" s="51" t="n">
        <v>44216</v>
      </c>
      <c r="C2977" s="36">
        <f>TEXT(B2977,"aaa")</f>
        <v/>
      </c>
      <c r="E2977" s="36">
        <f>INDEX(매칭테이블!C:C,MATCH(RD!G2977,매칭테이블!D:D,0))</f>
        <v/>
      </c>
      <c r="F2977" s="39" t="inlineStr">
        <is>
          <t>카페24</t>
        </is>
      </c>
      <c r="G2977" s="39" t="inlineStr">
        <is>
          <t>유즈 스테이포에버 솔리드퍼퓸 002제품선택=스테이포에버 1개</t>
        </is>
      </c>
      <c r="H2977" s="39" t="n">
        <v>1</v>
      </c>
      <c r="I2977" s="36">
        <f>VLOOKUP(G2977,매칭테이블!D:E,2,0)</f>
        <v/>
      </c>
      <c r="J2977" s="39" t="n">
        <v>210101</v>
      </c>
      <c r="L2977" s="36">
        <f>VLOOKUP($P2977,매칭테이블!$G:$J,2,0)*H2977</f>
        <v/>
      </c>
      <c r="M2977" s="36">
        <f>L2977-L2977*VLOOKUP($P2977,매칭테이블!$G:$J,3,0)</f>
        <v/>
      </c>
      <c r="N2977" s="36">
        <f>VLOOKUP($P2977,매칭테이블!$G:$J,4,0)*H2977</f>
        <v/>
      </c>
      <c r="O2977" s="52">
        <f>L2977/1.1</f>
        <v/>
      </c>
      <c r="P2977" s="36">
        <f>F2977&amp;E2977&amp;G2977&amp;J2977</f>
        <v/>
      </c>
    </row>
    <row r="2978">
      <c r="B2978" s="51" t="n">
        <v>44216</v>
      </c>
      <c r="C2978" s="36">
        <f>TEXT(B2978,"aaa")</f>
        <v/>
      </c>
      <c r="E2978" s="36">
        <f>INDEX(매칭테이블!C:C,MATCH(RD!G2978,매칭테이블!D:D,0))</f>
        <v/>
      </c>
      <c r="F2978" s="39" t="inlineStr">
        <is>
          <t>카페24</t>
        </is>
      </c>
      <c r="G2978" s="39" t="inlineStr">
        <is>
          <t>유즈 스테이포에버 솔리드퍼퓸 002제품선택=best스테이포에버 2개[28% 할인]</t>
        </is>
      </c>
      <c r="H2978" s="39" t="n">
        <v>2</v>
      </c>
      <c r="I2978" s="36">
        <f>VLOOKUP(G2978,매칭테이블!D:E,2,0)</f>
        <v/>
      </c>
      <c r="J2978" s="39" t="n">
        <v>210101</v>
      </c>
      <c r="L2978" s="36">
        <f>VLOOKUP($P2978,매칭테이블!$G:$J,2,0)*H2978</f>
        <v/>
      </c>
      <c r="M2978" s="36">
        <f>L2978-L2978*VLOOKUP($P2978,매칭테이블!$G:$J,3,0)</f>
        <v/>
      </c>
      <c r="N2978" s="36">
        <f>VLOOKUP($P2978,매칭테이블!$G:$J,4,0)*H2978</f>
        <v/>
      </c>
      <c r="O2978" s="52">
        <f>L2978/1.1</f>
        <v/>
      </c>
      <c r="P2978" s="36">
        <f>F2978&amp;E2978&amp;G2978&amp;J2978</f>
        <v/>
      </c>
    </row>
    <row r="2979">
      <c r="B2979" s="51" t="n">
        <v>44217</v>
      </c>
      <c r="C2979" s="36">
        <f>TEXT(B2979,"aaa")</f>
        <v/>
      </c>
      <c r="E2979" s="36">
        <f>INDEX(매칭테이블!C:C,MATCH(RD!G2979,매칭테이블!D:D,0))</f>
        <v/>
      </c>
      <c r="F2979" s="39" t="inlineStr">
        <is>
          <t>유즈 CS</t>
        </is>
      </c>
      <c r="G2979" s="39" t="inlineStr">
        <is>
          <t>솔리드퍼퓸 스테이포에버 002 30ml</t>
        </is>
      </c>
      <c r="H2979" s="39" t="n">
        <v>1</v>
      </c>
      <c r="I2979" s="36">
        <f>VLOOKUP(G2979,매칭테이블!D:E,2,0)</f>
        <v/>
      </c>
      <c r="J2979" s="39" t="n">
        <v>210101</v>
      </c>
      <c r="L2979" s="36">
        <f>VLOOKUP($P2979,매칭테이블!$G:$J,2,0)*H2979</f>
        <v/>
      </c>
      <c r="M2979" s="36">
        <f>L2979-L2979*VLOOKUP($P2979,매칭테이블!$G:$J,3,0)</f>
        <v/>
      </c>
      <c r="N2979" s="36">
        <f>VLOOKUP($P2979,매칭테이블!$G:$J,4,0)*H2979</f>
        <v/>
      </c>
      <c r="O2979" s="52">
        <f>L2979/1.1</f>
        <v/>
      </c>
      <c r="P2979" s="36">
        <f>F2979&amp;E2979&amp;G2979&amp;J2979</f>
        <v/>
      </c>
    </row>
    <row r="2980">
      <c r="B2980" s="51" t="n">
        <v>44217</v>
      </c>
      <c r="C2980" s="36">
        <f>TEXT(B2980,"aaa")</f>
        <v/>
      </c>
      <c r="E2980" s="36">
        <f>INDEX(매칭테이블!C:C,MATCH(RD!G2980,매칭테이블!D:D,0))</f>
        <v/>
      </c>
      <c r="F2980" s="39" t="inlineStr">
        <is>
          <t>카페24</t>
        </is>
      </c>
      <c r="G2980" s="39" t="inlineStr">
        <is>
          <t>솔리드퍼퓸 스테이포에버 002 30ml</t>
        </is>
      </c>
      <c r="H2980" s="39" t="n">
        <v>1</v>
      </c>
      <c r="I2980" s="36">
        <f>VLOOKUP(G2980,매칭테이블!D:E,2,0)</f>
        <v/>
      </c>
      <c r="J2980" s="39" t="n">
        <v>210101</v>
      </c>
      <c r="L2980" s="36">
        <f>VLOOKUP($P2980,매칭테이블!$G:$J,2,0)*H2980</f>
        <v/>
      </c>
      <c r="M2980" s="36">
        <f>L2980-L2980*VLOOKUP($P2980,매칭테이블!$G:$J,3,0)</f>
        <v/>
      </c>
      <c r="N2980" s="36">
        <f>VLOOKUP($P2980,매칭테이블!$G:$J,4,0)*H2980</f>
        <v/>
      </c>
      <c r="O2980" s="52">
        <f>L2980/1.1</f>
        <v/>
      </c>
      <c r="P2980" s="36">
        <f>F2980&amp;E2980&amp;G2980&amp;J2980</f>
        <v/>
      </c>
    </row>
    <row r="2981">
      <c r="B2981" s="51" t="n">
        <v>44217</v>
      </c>
      <c r="C2981" s="36">
        <f>TEXT(B2981,"aaa")</f>
        <v/>
      </c>
      <c r="E2981" s="36">
        <f>INDEX(매칭테이블!C:C,MATCH(RD!G2981,매칭테이블!D:D,0))</f>
        <v/>
      </c>
      <c r="F2981" s="39" t="inlineStr">
        <is>
          <t>카페24</t>
        </is>
      </c>
      <c r="G2981" s="39" t="inlineStr">
        <is>
          <t>유즈 솔리드퍼퓸 - 30ml향=이그나이트 001 SOLID PERFUME, 세트 선택=1개</t>
        </is>
      </c>
      <c r="H2981" s="39" t="n">
        <v>1</v>
      </c>
      <c r="I2981" s="36">
        <f>VLOOKUP(G2981,매칭테이블!D:E,2,0)</f>
        <v/>
      </c>
      <c r="J2981" s="39" t="n">
        <v>210101</v>
      </c>
      <c r="L2981" s="36">
        <f>VLOOKUP($P2981,매칭테이블!$G:$J,2,0)*H2981</f>
        <v/>
      </c>
      <c r="M2981" s="36">
        <f>L2981-L2981*VLOOKUP($P2981,매칭테이블!$G:$J,3,0)</f>
        <v/>
      </c>
      <c r="N2981" s="36">
        <f>VLOOKUP($P2981,매칭테이블!$G:$J,4,0)*H2981</f>
        <v/>
      </c>
      <c r="O2981" s="52">
        <f>L2981/1.1</f>
        <v/>
      </c>
      <c r="P2981" s="36">
        <f>F2981&amp;E2981&amp;G2981&amp;J2981</f>
        <v/>
      </c>
    </row>
    <row r="2982">
      <c r="B2982" s="51" t="n">
        <v>44217</v>
      </c>
      <c r="C2982" s="36">
        <f>TEXT(B2982,"aaa")</f>
        <v/>
      </c>
      <c r="E2982" s="36">
        <f>INDEX(매칭테이블!C:C,MATCH(RD!G2982,매칭테이블!D:D,0))</f>
        <v/>
      </c>
      <c r="F2982" s="39" t="inlineStr">
        <is>
          <t>카페24</t>
        </is>
      </c>
      <c r="G2982" s="39" t="inlineStr">
        <is>
          <t>유즈 솔리드퍼퓸 - 30ml향=스테이포에버 002 SOLID PERFUME, 세트 선택=1개</t>
        </is>
      </c>
      <c r="H2982" s="39" t="n">
        <v>14</v>
      </c>
      <c r="I2982" s="36">
        <f>VLOOKUP(G2982,매칭테이블!D:E,2,0)</f>
        <v/>
      </c>
      <c r="J2982" s="39" t="n">
        <v>210101</v>
      </c>
      <c r="L2982" s="36">
        <f>VLOOKUP($P2982,매칭테이블!$G:$J,2,0)*H2982</f>
        <v/>
      </c>
      <c r="M2982" s="36">
        <f>L2982-L2982*VLOOKUP($P2982,매칭테이블!$G:$J,3,0)</f>
        <v/>
      </c>
      <c r="N2982" s="36">
        <f>VLOOKUP($P2982,매칭테이블!$G:$J,4,0)*H2982</f>
        <v/>
      </c>
      <c r="O2982" s="52">
        <f>L2982/1.1</f>
        <v/>
      </c>
      <c r="P2982" s="36">
        <f>F2982&amp;E2982&amp;G2982&amp;J2982</f>
        <v/>
      </c>
    </row>
    <row r="2983">
      <c r="B2983" s="51" t="n">
        <v>44217</v>
      </c>
      <c r="C2983" s="36">
        <f>TEXT(B2983,"aaa")</f>
        <v/>
      </c>
      <c r="E2983" s="36">
        <f>INDEX(매칭테이블!C:C,MATCH(RD!G2983,매칭테이블!D:D,0))</f>
        <v/>
      </c>
      <c r="F2983" s="39" t="inlineStr">
        <is>
          <t>카페24</t>
        </is>
      </c>
      <c r="G2983" s="39" t="inlineStr">
        <is>
          <t>유즈 솔리드퍼퓸 - 30ml향=스테이포에버 002 SOLID PERFUME, 세트 선택=best 2개 (28% 할인)</t>
        </is>
      </c>
      <c r="H2983" s="39" t="n">
        <v>6</v>
      </c>
      <c r="I2983" s="36">
        <f>VLOOKUP(G2983,매칭테이블!D:E,2,0)</f>
        <v/>
      </c>
      <c r="J2983" s="39" t="n">
        <v>210101</v>
      </c>
      <c r="L2983" s="36">
        <f>VLOOKUP($P2983,매칭테이블!$G:$J,2,0)*H2983</f>
        <v/>
      </c>
      <c r="M2983" s="36">
        <f>L2983-L2983*VLOOKUP($P2983,매칭테이블!$G:$J,3,0)</f>
        <v/>
      </c>
      <c r="N2983" s="36">
        <f>VLOOKUP($P2983,매칭테이블!$G:$J,4,0)*H2983</f>
        <v/>
      </c>
      <c r="O2983" s="52">
        <f>L2983/1.1</f>
        <v/>
      </c>
      <c r="P2983" s="36">
        <f>F2983&amp;E2983&amp;G2983&amp;J2983</f>
        <v/>
      </c>
    </row>
    <row r="2984">
      <c r="B2984" s="51" t="n">
        <v>44217</v>
      </c>
      <c r="C2984" s="36">
        <f>TEXT(B2984,"aaa")</f>
        <v/>
      </c>
      <c r="E2984" s="36">
        <f>INDEX(매칭테이블!C:C,MATCH(RD!G2984,매칭테이블!D:D,0))</f>
        <v/>
      </c>
      <c r="F2984" s="39" t="inlineStr">
        <is>
          <t>카페24</t>
        </is>
      </c>
      <c r="G2984" s="39" t="inlineStr">
        <is>
          <t>유즈 솔리드퍼퓸 - 30ml향=커플세트(이그나이트 + 스테이포에버), 세트 선택=1 SET</t>
        </is>
      </c>
      <c r="H2984" s="39" t="n">
        <v>7</v>
      </c>
      <c r="I2984" s="36">
        <f>VLOOKUP(G2984,매칭테이블!D:E,2,0)</f>
        <v/>
      </c>
      <c r="J2984" s="39" t="n">
        <v>210101</v>
      </c>
      <c r="L2984" s="36">
        <f>VLOOKUP($P2984,매칭테이블!$G:$J,2,0)*H2984</f>
        <v/>
      </c>
      <c r="M2984" s="36">
        <f>L2984-L2984*VLOOKUP($P2984,매칭테이블!$G:$J,3,0)</f>
        <v/>
      </c>
      <c r="N2984" s="36">
        <f>VLOOKUP($P2984,매칭테이블!$G:$J,4,0)*H2984</f>
        <v/>
      </c>
      <c r="O2984" s="52">
        <f>L2984/1.1</f>
        <v/>
      </c>
      <c r="P2984" s="36">
        <f>F2984&amp;E2984&amp;G2984&amp;J2984</f>
        <v/>
      </c>
    </row>
    <row r="2985">
      <c r="B2985" s="51" t="n">
        <v>44217</v>
      </c>
      <c r="C2985" s="36">
        <f>TEXT(B2985,"aaa")</f>
        <v/>
      </c>
      <c r="E2985" s="36">
        <f>INDEX(매칭테이블!C:C,MATCH(RD!G2985,매칭테이블!D:D,0))</f>
        <v/>
      </c>
      <c r="F2985" s="39" t="inlineStr">
        <is>
          <t>카페24</t>
        </is>
      </c>
      <c r="G2985" s="39" t="inlineStr">
        <is>
          <t>유즈 솔리드퍼퓸 - 스테이포에버 002제품선택=스테이포에버 1개</t>
        </is>
      </c>
      <c r="H2985" s="39" t="n">
        <v>290</v>
      </c>
      <c r="I2985" s="36">
        <f>VLOOKUP(G2985,매칭테이블!D:E,2,0)</f>
        <v/>
      </c>
      <c r="J2985" s="39" t="n">
        <v>210101</v>
      </c>
      <c r="L2985" s="36">
        <f>VLOOKUP($P2985,매칭테이블!$G:$J,2,0)*H2985</f>
        <v/>
      </c>
      <c r="M2985" s="36">
        <f>L2985-L2985*VLOOKUP($P2985,매칭테이블!$G:$J,3,0)</f>
        <v/>
      </c>
      <c r="N2985" s="36">
        <f>VLOOKUP($P2985,매칭테이블!$G:$J,4,0)*H2985</f>
        <v/>
      </c>
      <c r="O2985" s="52">
        <f>L2985/1.1</f>
        <v/>
      </c>
      <c r="P2985" s="36">
        <f>F2985&amp;E2985&amp;G2985&amp;J2985</f>
        <v/>
      </c>
    </row>
    <row r="2986">
      <c r="B2986" s="51" t="n">
        <v>44217</v>
      </c>
      <c r="C2986" s="36">
        <f>TEXT(B2986,"aaa")</f>
        <v/>
      </c>
      <c r="E2986" s="36">
        <f>INDEX(매칭테이블!C:C,MATCH(RD!G2986,매칭테이블!D:D,0))</f>
        <v/>
      </c>
      <c r="F2986" s="39" t="inlineStr">
        <is>
          <t>카페24</t>
        </is>
      </c>
      <c r="G2986" s="39" t="inlineStr">
        <is>
          <t>유즈 솔리드퍼퓸 - 스테이포에버 002제품선택=best스테이포에버 2개[28% 할인]</t>
        </is>
      </c>
      <c r="H2986" s="39" t="n">
        <v>139</v>
      </c>
      <c r="I2986" s="36">
        <f>VLOOKUP(G2986,매칭테이블!D:E,2,0)</f>
        <v/>
      </c>
      <c r="J2986" s="39" t="n">
        <v>210101</v>
      </c>
      <c r="L2986" s="36">
        <f>VLOOKUP($P2986,매칭테이블!$G:$J,2,0)*H2986</f>
        <v/>
      </c>
      <c r="M2986" s="36">
        <f>L2986-L2986*VLOOKUP($P2986,매칭테이블!$G:$J,3,0)</f>
        <v/>
      </c>
      <c r="N2986" s="36">
        <f>VLOOKUP($P2986,매칭테이블!$G:$J,4,0)*H2986</f>
        <v/>
      </c>
      <c r="O2986" s="52">
        <f>L2986/1.1</f>
        <v/>
      </c>
      <c r="P2986" s="36">
        <f>F2986&amp;E2986&amp;G2986&amp;J2986</f>
        <v/>
      </c>
    </row>
    <row r="2987">
      <c r="B2987" s="51" t="n">
        <v>44217</v>
      </c>
      <c r="C2987" s="36">
        <f>TEXT(B2987,"aaa")</f>
        <v/>
      </c>
      <c r="E2987" s="36">
        <f>INDEX(매칭테이블!C:C,MATCH(RD!G2987,매칭테이블!D:D,0))</f>
        <v/>
      </c>
      <c r="F2987" s="39" t="inlineStr">
        <is>
          <t>카페24</t>
        </is>
      </c>
      <c r="G2987" s="39" t="inlineStr">
        <is>
          <t>유즈 솔리드퍼퓸 - 스테이포에버 002제품선택=커플추천스테이포에버 + 이그나이트 세트</t>
        </is>
      </c>
      <c r="H2987" s="39" t="n">
        <v>20</v>
      </c>
      <c r="I2987" s="36">
        <f>VLOOKUP(G2987,매칭테이블!D:E,2,0)</f>
        <v/>
      </c>
      <c r="J2987" s="39" t="n">
        <v>210101</v>
      </c>
      <c r="L2987" s="36">
        <f>VLOOKUP($P2987,매칭테이블!$G:$J,2,0)*H2987</f>
        <v/>
      </c>
      <c r="M2987" s="36">
        <f>L2987-L2987*VLOOKUP($P2987,매칭테이블!$G:$J,3,0)</f>
        <v/>
      </c>
      <c r="N2987" s="36">
        <f>VLOOKUP($P2987,매칭테이블!$G:$J,4,0)*H2987</f>
        <v/>
      </c>
      <c r="O2987" s="52">
        <f>L2987/1.1</f>
        <v/>
      </c>
      <c r="P2987" s="36">
        <f>F2987&amp;E2987&amp;G2987&amp;J2987</f>
        <v/>
      </c>
    </row>
    <row r="2988">
      <c r="B2988" s="51" t="n">
        <v>44217</v>
      </c>
      <c r="C2988" s="36">
        <f>TEXT(B2988,"aaa")</f>
        <v/>
      </c>
      <c r="E2988" s="36">
        <f>INDEX(매칭테이블!C:C,MATCH(RD!G2988,매칭테이블!D:D,0))</f>
        <v/>
      </c>
      <c r="F2988" s="39" t="inlineStr">
        <is>
          <t>카페24</t>
        </is>
      </c>
      <c r="G2988" s="39" t="inlineStr">
        <is>
          <t>유즈 솔리드퍼퓸 - 스테이포에버 002쇼핑백=선물용 쇼핑백</t>
        </is>
      </c>
      <c r="H2988" s="39" t="n">
        <v>16</v>
      </c>
      <c r="I2988" s="36">
        <f>VLOOKUP(G2988,매칭테이블!D:E,2,0)</f>
        <v/>
      </c>
      <c r="J2988" s="39" t="n">
        <v>210101</v>
      </c>
      <c r="L2988" s="36">
        <f>VLOOKUP($P2988,매칭테이블!$G:$J,2,0)*H2988</f>
        <v/>
      </c>
      <c r="M2988" s="36">
        <f>L2988-L2988*VLOOKUP($P2988,매칭테이블!$G:$J,3,0)</f>
        <v/>
      </c>
      <c r="N2988" s="36">
        <f>VLOOKUP($P2988,매칭테이블!$G:$J,4,0)*H2988</f>
        <v/>
      </c>
      <c r="O2988" s="52">
        <f>L2988/1.1</f>
        <v/>
      </c>
      <c r="P2988" s="36">
        <f>F2988&amp;E2988&amp;G2988&amp;J2988</f>
        <v/>
      </c>
    </row>
    <row r="2989">
      <c r="B2989" s="51" t="n">
        <v>44217</v>
      </c>
      <c r="C2989" s="36">
        <f>TEXT(B2989,"aaa")</f>
        <v/>
      </c>
      <c r="E2989" s="36">
        <f>INDEX(매칭테이블!C:C,MATCH(RD!G2989,매칭테이블!D:D,0))</f>
        <v/>
      </c>
      <c r="F2989" s="39" t="inlineStr">
        <is>
          <t>카페24</t>
        </is>
      </c>
      <c r="G2989" s="39" t="inlineStr">
        <is>
          <t>유즈 솔리드퍼퓸 - 이그나이트 001제품선택=이그나이트 솔리드퍼퓸 - 30ml</t>
        </is>
      </c>
      <c r="H2989" s="39" t="n">
        <v>1</v>
      </c>
      <c r="I2989" s="36">
        <f>VLOOKUP(G2989,매칭테이블!D:E,2,0)</f>
        <v/>
      </c>
      <c r="J2989" s="39" t="n">
        <v>210101</v>
      </c>
      <c r="L2989" s="36">
        <f>VLOOKUP($P2989,매칭테이블!$G:$J,2,0)*H2989</f>
        <v/>
      </c>
      <c r="M2989" s="36">
        <f>L2989-L2989*VLOOKUP($P2989,매칭테이블!$G:$J,3,0)</f>
        <v/>
      </c>
      <c r="N2989" s="36">
        <f>VLOOKUP($P2989,매칭테이블!$G:$J,4,0)*H2989</f>
        <v/>
      </c>
      <c r="O2989" s="52">
        <f>L2989/1.1</f>
        <v/>
      </c>
      <c r="P2989" s="36">
        <f>F2989&amp;E2989&amp;G2989&amp;J2989</f>
        <v/>
      </c>
    </row>
    <row r="2990">
      <c r="B2990" s="51" t="n">
        <v>44217</v>
      </c>
      <c r="C2990" s="36">
        <f>TEXT(B2990,"aaa")</f>
        <v/>
      </c>
      <c r="E2990" s="36">
        <f>INDEX(매칭테이블!C:C,MATCH(RD!G2990,매칭테이블!D:D,0))</f>
        <v/>
      </c>
      <c r="F2990" s="39" t="inlineStr">
        <is>
          <t>카페24</t>
        </is>
      </c>
      <c r="G2990" s="39" t="inlineStr">
        <is>
          <t>유즈 솔리드퍼퓸 - 이그나이트 001제품선택=이그나이트 2개 세트</t>
        </is>
      </c>
      <c r="H2990" s="39" t="n">
        <v>1</v>
      </c>
      <c r="I2990" s="36">
        <f>VLOOKUP(G2990,매칭테이블!D:E,2,0)</f>
        <v/>
      </c>
      <c r="J2990" s="39" t="n">
        <v>210101</v>
      </c>
      <c r="L2990" s="36">
        <f>VLOOKUP($P2990,매칭테이블!$G:$J,2,0)*H2990</f>
        <v/>
      </c>
      <c r="M2990" s="36">
        <f>L2990-L2990*VLOOKUP($P2990,매칭테이블!$G:$J,3,0)</f>
        <v/>
      </c>
      <c r="N2990" s="36">
        <f>VLOOKUP($P2990,매칭테이블!$G:$J,4,0)*H2990</f>
        <v/>
      </c>
      <c r="O2990" s="52">
        <f>L2990/1.1</f>
        <v/>
      </c>
      <c r="P2990" s="36">
        <f>F2990&amp;E2990&amp;G2990&amp;J2990</f>
        <v/>
      </c>
    </row>
    <row r="2991">
      <c r="B2991" s="51" t="n">
        <v>44218</v>
      </c>
      <c r="C2991" s="36">
        <f>TEXT(B2991,"aaa")</f>
        <v/>
      </c>
      <c r="E2991" s="36">
        <f>INDEX(매칭테이블!C:C,MATCH(RD!G2991,매칭테이블!D:D,0))</f>
        <v/>
      </c>
      <c r="F2991" s="39" t="inlineStr">
        <is>
          <t>카페24</t>
        </is>
      </c>
      <c r="G2991" s="39" t="inlineStr">
        <is>
          <t>솔리드퍼퓸 스테이포에버 002 30ml</t>
        </is>
      </c>
      <c r="H2991" s="39" t="n">
        <v>4</v>
      </c>
      <c r="I2991" s="36">
        <f>VLOOKUP(G2991,매칭테이블!D:E,2,0)</f>
        <v/>
      </c>
      <c r="J2991" s="39" t="n">
        <v>210101</v>
      </c>
      <c r="L2991" s="36">
        <f>VLOOKUP($P2991,매칭테이블!$G:$J,2,0)*H2991</f>
        <v/>
      </c>
      <c r="M2991" s="36">
        <f>L2991-L2991*VLOOKUP($P2991,매칭테이블!$G:$J,3,0)</f>
        <v/>
      </c>
      <c r="N2991" s="36">
        <f>VLOOKUP($P2991,매칭테이블!$G:$J,4,0)*H2991</f>
        <v/>
      </c>
      <c r="O2991" s="52">
        <f>L2991/1.1</f>
        <v/>
      </c>
      <c r="P2991" s="36">
        <f>F2991&amp;E2991&amp;G2991&amp;J2991</f>
        <v/>
      </c>
    </row>
    <row r="2992">
      <c r="B2992" s="51" t="n">
        <v>44218</v>
      </c>
      <c r="C2992" s="36">
        <f>TEXT(B2992,"aaa")</f>
        <v/>
      </c>
      <c r="E2992" s="36">
        <f>INDEX(매칭테이블!C:C,MATCH(RD!G2992,매칭테이블!D:D,0))</f>
        <v/>
      </c>
      <c r="F2992" s="39" t="inlineStr">
        <is>
          <t>카페24</t>
        </is>
      </c>
      <c r="G2992" s="39" t="inlineStr">
        <is>
          <t>유즈 솔리드퍼퓸 - 30ml향=스테이포에버 002 SOLID PERFUME, 세트 선택=1개</t>
        </is>
      </c>
      <c r="H2992" s="39" t="n">
        <v>13</v>
      </c>
      <c r="I2992" s="36">
        <f>VLOOKUP(G2992,매칭테이블!D:E,2,0)</f>
        <v/>
      </c>
      <c r="J2992" s="39" t="n">
        <v>210101</v>
      </c>
      <c r="L2992" s="36">
        <f>VLOOKUP($P2992,매칭테이블!$G:$J,2,0)*H2992</f>
        <v/>
      </c>
      <c r="M2992" s="36">
        <f>L2992-L2992*VLOOKUP($P2992,매칭테이블!$G:$J,3,0)</f>
        <v/>
      </c>
      <c r="N2992" s="36">
        <f>VLOOKUP($P2992,매칭테이블!$G:$J,4,0)*H2992</f>
        <v/>
      </c>
      <c r="O2992" s="52">
        <f>L2992/1.1</f>
        <v/>
      </c>
      <c r="P2992" s="36">
        <f>F2992&amp;E2992&amp;G2992&amp;J2992</f>
        <v/>
      </c>
    </row>
    <row r="2993">
      <c r="B2993" s="51" t="n">
        <v>44218</v>
      </c>
      <c r="C2993" s="36">
        <f>TEXT(B2993,"aaa")</f>
        <v/>
      </c>
      <c r="E2993" s="36">
        <f>INDEX(매칭테이블!C:C,MATCH(RD!G2993,매칭테이블!D:D,0))</f>
        <v/>
      </c>
      <c r="F2993" s="39" t="inlineStr">
        <is>
          <t>카페24</t>
        </is>
      </c>
      <c r="G2993" s="39" t="inlineStr">
        <is>
          <t>유즈 솔리드퍼퓸 - 30ml향=스테이포에버 002 SOLID PERFUME, 세트 선택=best 2개 (28% 할인)</t>
        </is>
      </c>
      <c r="H2993" s="39" t="n">
        <v>6</v>
      </c>
      <c r="I2993" s="36">
        <f>VLOOKUP(G2993,매칭테이블!D:E,2,0)</f>
        <v/>
      </c>
      <c r="J2993" s="39" t="n">
        <v>210101</v>
      </c>
      <c r="L2993" s="36">
        <f>VLOOKUP($P2993,매칭테이블!$G:$J,2,0)*H2993</f>
        <v/>
      </c>
      <c r="M2993" s="36">
        <f>L2993-L2993*VLOOKUP($P2993,매칭테이블!$G:$J,3,0)</f>
        <v/>
      </c>
      <c r="N2993" s="36">
        <f>VLOOKUP($P2993,매칭테이블!$G:$J,4,0)*H2993</f>
        <v/>
      </c>
      <c r="O2993" s="52">
        <f>L2993/1.1</f>
        <v/>
      </c>
      <c r="P2993" s="36">
        <f>F2993&amp;E2993&amp;G2993&amp;J2993</f>
        <v/>
      </c>
    </row>
    <row r="2994">
      <c r="B2994" s="51" t="n">
        <v>44218</v>
      </c>
      <c r="C2994" s="36">
        <f>TEXT(B2994,"aaa")</f>
        <v/>
      </c>
      <c r="E2994" s="36">
        <f>INDEX(매칭테이블!C:C,MATCH(RD!G2994,매칭테이블!D:D,0))</f>
        <v/>
      </c>
      <c r="F2994" s="39" t="inlineStr">
        <is>
          <t>카페24</t>
        </is>
      </c>
      <c r="G2994" s="39" t="inlineStr">
        <is>
          <t>유즈 솔리드퍼퓸 - 30ml향=커플세트(이그나이트 + 스테이포에버), 세트 선택=1 SET</t>
        </is>
      </c>
      <c r="H2994" s="39" t="n">
        <v>10</v>
      </c>
      <c r="I2994" s="36">
        <f>VLOOKUP(G2994,매칭테이블!D:E,2,0)</f>
        <v/>
      </c>
      <c r="J2994" s="39" t="n">
        <v>210101</v>
      </c>
      <c r="L2994" s="36">
        <f>VLOOKUP($P2994,매칭테이블!$G:$J,2,0)*H2994</f>
        <v/>
      </c>
      <c r="M2994" s="36">
        <f>L2994-L2994*VLOOKUP($P2994,매칭테이블!$G:$J,3,0)</f>
        <v/>
      </c>
      <c r="N2994" s="36">
        <f>VLOOKUP($P2994,매칭테이블!$G:$J,4,0)*H2994</f>
        <v/>
      </c>
      <c r="O2994" s="52">
        <f>L2994/1.1</f>
        <v/>
      </c>
      <c r="P2994" s="36">
        <f>F2994&amp;E2994&amp;G2994&amp;J2994</f>
        <v/>
      </c>
    </row>
    <row r="2995">
      <c r="B2995" s="51" t="n">
        <v>44218</v>
      </c>
      <c r="C2995" s="36">
        <f>TEXT(B2995,"aaa")</f>
        <v/>
      </c>
      <c r="E2995" s="36">
        <f>INDEX(매칭테이블!C:C,MATCH(RD!G2995,매칭테이블!D:D,0))</f>
        <v/>
      </c>
      <c r="F2995" s="39" t="inlineStr">
        <is>
          <t>카페24</t>
        </is>
      </c>
      <c r="G2995" s="39" t="inlineStr">
        <is>
          <t>유즈 솔리드퍼퓸 - 30ml향=커플세트(이그나이트 + 스테이포에버), 세트 선택=2 SET (42% 할인)</t>
        </is>
      </c>
      <c r="H2995" s="39" t="n">
        <v>1</v>
      </c>
      <c r="I2995" s="36">
        <f>VLOOKUP(G2995,매칭테이블!D:E,2,0)</f>
        <v/>
      </c>
      <c r="J2995" s="39" t="n">
        <v>210101</v>
      </c>
      <c r="L2995" s="36">
        <f>VLOOKUP($P2995,매칭테이블!$G:$J,2,0)*H2995</f>
        <v/>
      </c>
      <c r="M2995" s="36">
        <f>L2995-L2995*VLOOKUP($P2995,매칭테이블!$G:$J,3,0)</f>
        <v/>
      </c>
      <c r="N2995" s="36">
        <f>VLOOKUP($P2995,매칭테이블!$G:$J,4,0)*H2995</f>
        <v/>
      </c>
      <c r="O2995" s="52">
        <f>L2995/1.1</f>
        <v/>
      </c>
      <c r="P2995" s="36">
        <f>F2995&amp;E2995&amp;G2995&amp;J2995</f>
        <v/>
      </c>
    </row>
    <row r="2996">
      <c r="B2996" s="51" t="n">
        <v>44218</v>
      </c>
      <c r="C2996" s="36">
        <f>TEXT(B2996,"aaa")</f>
        <v/>
      </c>
      <c r="E2996" s="36">
        <f>INDEX(매칭테이블!C:C,MATCH(RD!G2996,매칭테이블!D:D,0))</f>
        <v/>
      </c>
      <c r="F2996" s="39" t="inlineStr">
        <is>
          <t>카페24</t>
        </is>
      </c>
      <c r="G2996" s="39" t="inlineStr">
        <is>
          <t>유즈 솔리드퍼퓸 - 스테이포에버 002제품선택=스테이포에버 1개</t>
        </is>
      </c>
      <c r="H2996" s="39" t="n">
        <v>242</v>
      </c>
      <c r="I2996" s="36">
        <f>VLOOKUP(G2996,매칭테이블!D:E,2,0)</f>
        <v/>
      </c>
      <c r="J2996" s="39" t="n">
        <v>210101</v>
      </c>
      <c r="L2996" s="36">
        <f>VLOOKUP($P2996,매칭테이블!$G:$J,2,0)*H2996</f>
        <v/>
      </c>
      <c r="M2996" s="36">
        <f>L2996-L2996*VLOOKUP($P2996,매칭테이블!$G:$J,3,0)</f>
        <v/>
      </c>
      <c r="N2996" s="36">
        <f>VLOOKUP($P2996,매칭테이블!$G:$J,4,0)*H2996</f>
        <v/>
      </c>
      <c r="O2996" s="52">
        <f>L2996/1.1</f>
        <v/>
      </c>
      <c r="P2996" s="36">
        <f>F2996&amp;E2996&amp;G2996&amp;J2996</f>
        <v/>
      </c>
    </row>
    <row r="2997">
      <c r="B2997" s="51" t="n">
        <v>44218</v>
      </c>
      <c r="C2997" s="36">
        <f>TEXT(B2997,"aaa")</f>
        <v/>
      </c>
      <c r="E2997" s="36">
        <f>INDEX(매칭테이블!C:C,MATCH(RD!G2997,매칭테이블!D:D,0))</f>
        <v/>
      </c>
      <c r="F2997" s="39" t="inlineStr">
        <is>
          <t>카페24</t>
        </is>
      </c>
      <c r="G2997" s="39" t="inlineStr">
        <is>
          <t>유즈 솔리드퍼퓸 - 스테이포에버 002제품선택=best스테이포에버 2개[28% 할인]</t>
        </is>
      </c>
      <c r="H2997" s="39" t="n">
        <v>105</v>
      </c>
      <c r="I2997" s="36">
        <f>VLOOKUP(G2997,매칭테이블!D:E,2,0)</f>
        <v/>
      </c>
      <c r="J2997" s="39" t="n">
        <v>210101</v>
      </c>
      <c r="L2997" s="36">
        <f>VLOOKUP($P2997,매칭테이블!$G:$J,2,0)*H2997</f>
        <v/>
      </c>
      <c r="M2997" s="36">
        <f>L2997-L2997*VLOOKUP($P2997,매칭테이블!$G:$J,3,0)</f>
        <v/>
      </c>
      <c r="N2997" s="36">
        <f>VLOOKUP($P2997,매칭테이블!$G:$J,4,0)*H2997</f>
        <v/>
      </c>
      <c r="O2997" s="52">
        <f>L2997/1.1</f>
        <v/>
      </c>
      <c r="P2997" s="36">
        <f>F2997&amp;E2997&amp;G2997&amp;J2997</f>
        <v/>
      </c>
    </row>
    <row r="2998">
      <c r="B2998" s="51" t="n">
        <v>44218</v>
      </c>
      <c r="C2998" s="36">
        <f>TEXT(B2998,"aaa")</f>
        <v/>
      </c>
      <c r="E2998" s="36">
        <f>INDEX(매칭테이블!C:C,MATCH(RD!G2998,매칭테이블!D:D,0))</f>
        <v/>
      </c>
      <c r="F2998" s="39" t="inlineStr">
        <is>
          <t>카페24</t>
        </is>
      </c>
      <c r="G2998" s="39" t="inlineStr">
        <is>
          <t>유즈 솔리드퍼퓸 - 스테이포에버 002제품선택=커플추천스테이포에버 + 이그나이트 세트</t>
        </is>
      </c>
      <c r="H2998" s="39" t="n">
        <v>13</v>
      </c>
      <c r="I2998" s="36">
        <f>VLOOKUP(G2998,매칭테이블!D:E,2,0)</f>
        <v/>
      </c>
      <c r="J2998" s="39" t="n">
        <v>210101</v>
      </c>
      <c r="L2998" s="36">
        <f>VLOOKUP($P2998,매칭테이블!$G:$J,2,0)*H2998</f>
        <v/>
      </c>
      <c r="M2998" s="36">
        <f>L2998-L2998*VLOOKUP($P2998,매칭테이블!$G:$J,3,0)</f>
        <v/>
      </c>
      <c r="N2998" s="36">
        <f>VLOOKUP($P2998,매칭테이블!$G:$J,4,0)*H2998</f>
        <v/>
      </c>
      <c r="O2998" s="52">
        <f>L2998/1.1</f>
        <v/>
      </c>
      <c r="P2998" s="36">
        <f>F2998&amp;E2998&amp;G2998&amp;J2998</f>
        <v/>
      </c>
    </row>
    <row r="2999">
      <c r="B2999" s="51" t="n">
        <v>44218</v>
      </c>
      <c r="C2999" s="36">
        <f>TEXT(B2999,"aaa")</f>
        <v/>
      </c>
      <c r="E2999" s="36">
        <f>INDEX(매칭테이블!C:C,MATCH(RD!G2999,매칭테이블!D:D,0))</f>
        <v/>
      </c>
      <c r="F2999" s="39" t="inlineStr">
        <is>
          <t>카페24</t>
        </is>
      </c>
      <c r="G2999" s="39" t="inlineStr">
        <is>
          <t>유즈 솔리드퍼퓸 - 스테이포에버 002쇼핑백=선물용 쇼핑백</t>
        </is>
      </c>
      <c r="H2999" s="39" t="n">
        <v>6</v>
      </c>
      <c r="I2999" s="36">
        <f>VLOOKUP(G2999,매칭테이블!D:E,2,0)</f>
        <v/>
      </c>
      <c r="J2999" s="39" t="n">
        <v>210101</v>
      </c>
      <c r="L2999" s="36">
        <f>VLOOKUP($P2999,매칭테이블!$G:$J,2,0)*H2999</f>
        <v/>
      </c>
      <c r="M2999" s="36">
        <f>L2999-L2999*VLOOKUP($P2999,매칭테이블!$G:$J,3,0)</f>
        <v/>
      </c>
      <c r="N2999" s="36">
        <f>VLOOKUP($P2999,매칭테이블!$G:$J,4,0)*H2999</f>
        <v/>
      </c>
      <c r="O2999" s="52">
        <f>L2999/1.1</f>
        <v/>
      </c>
      <c r="P2999" s="36">
        <f>F2999&amp;E2999&amp;G2999&amp;J2999</f>
        <v/>
      </c>
    </row>
    <row r="3000">
      <c r="B3000" s="51" t="n">
        <v>44218</v>
      </c>
      <c r="C3000" s="36">
        <f>TEXT(B3000,"aaa")</f>
        <v/>
      </c>
      <c r="E3000" s="36">
        <f>INDEX(매칭테이블!C:C,MATCH(RD!G3000,매칭테이블!D:D,0))</f>
        <v/>
      </c>
      <c r="F3000" s="39" t="inlineStr">
        <is>
          <t>카페24</t>
        </is>
      </c>
      <c r="G3000" s="39" t="inlineStr">
        <is>
          <t>유즈 솔리드퍼퓸 - 이그나이트 001제품선택=이그나이트 솔리드퍼퓸 - 30ml</t>
        </is>
      </c>
      <c r="H3000" s="39" t="n">
        <v>2</v>
      </c>
      <c r="I3000" s="36">
        <f>VLOOKUP(G3000,매칭테이블!D:E,2,0)</f>
        <v/>
      </c>
      <c r="J3000" s="39" t="n">
        <v>210101</v>
      </c>
      <c r="L3000" s="36">
        <f>VLOOKUP($P3000,매칭테이블!$G:$J,2,0)*H3000</f>
        <v/>
      </c>
      <c r="M3000" s="36">
        <f>L3000-L3000*VLOOKUP($P3000,매칭테이블!$G:$J,3,0)</f>
        <v/>
      </c>
      <c r="N3000" s="36">
        <f>VLOOKUP($P3000,매칭테이블!$G:$J,4,0)*H3000</f>
        <v/>
      </c>
      <c r="O3000" s="52">
        <f>L3000/1.1</f>
        <v/>
      </c>
      <c r="P3000" s="36">
        <f>F3000&amp;E3000&amp;G3000&amp;J3000</f>
        <v/>
      </c>
    </row>
    <row r="3001">
      <c r="B3001" s="51" t="n">
        <v>44218</v>
      </c>
      <c r="C3001" s="36">
        <f>TEXT(B3001,"aaa")</f>
        <v/>
      </c>
      <c r="E3001" s="36">
        <f>INDEX(매칭테이블!C:C,MATCH(RD!G3001,매칭테이블!D:D,0))</f>
        <v/>
      </c>
      <c r="F3001" s="39" t="inlineStr">
        <is>
          <t>카페24</t>
        </is>
      </c>
      <c r="G3001" s="39" t="inlineStr">
        <is>
          <t>유즈 솔리드퍼퓸 - 이그나이트 001제품선택=이그나이트 2개 세트</t>
        </is>
      </c>
      <c r="H3001" s="39" t="n">
        <v>3</v>
      </c>
      <c r="I3001" s="36">
        <f>VLOOKUP(G3001,매칭테이블!D:E,2,0)</f>
        <v/>
      </c>
      <c r="J3001" s="39" t="n">
        <v>210101</v>
      </c>
      <c r="L3001" s="36">
        <f>VLOOKUP($P3001,매칭테이블!$G:$J,2,0)*H3001</f>
        <v/>
      </c>
      <c r="M3001" s="36">
        <f>L3001-L3001*VLOOKUP($P3001,매칭테이블!$G:$J,3,0)</f>
        <v/>
      </c>
      <c r="N3001" s="36">
        <f>VLOOKUP($P3001,매칭테이블!$G:$J,4,0)*H3001</f>
        <v/>
      </c>
      <c r="O3001" s="52">
        <f>L3001/1.1</f>
        <v/>
      </c>
      <c r="P3001" s="36">
        <f>F3001&amp;E3001&amp;G3001&amp;J3001</f>
        <v/>
      </c>
    </row>
    <row r="3002">
      <c r="B3002" s="51" t="n">
        <v>44218</v>
      </c>
      <c r="C3002" s="36">
        <f>TEXT(B3002,"aaa")</f>
        <v/>
      </c>
      <c r="E3002" s="36">
        <f>INDEX(매칭테이블!C:C,MATCH(RD!G3002,매칭테이블!D:D,0))</f>
        <v/>
      </c>
      <c r="F3002" s="39" t="inlineStr">
        <is>
          <t>카페24</t>
        </is>
      </c>
      <c r="G3002" s="39" t="inlineStr">
        <is>
          <t>유즈 스테이포에버 솔리드퍼퓸 002 (11차 예약구매 진행중)제품선택=best스테이포에버 2개[28% 할인]</t>
        </is>
      </c>
      <c r="H3002" s="39" t="n">
        <v>1</v>
      </c>
      <c r="I3002" s="36">
        <f>VLOOKUP(G3002,매칭테이블!D:E,2,0)</f>
        <v/>
      </c>
      <c r="J3002" s="39" t="n">
        <v>210101</v>
      </c>
      <c r="L3002" s="36">
        <f>VLOOKUP($P3002,매칭테이블!$G:$J,2,0)*H3002</f>
        <v/>
      </c>
      <c r="M3002" s="36">
        <f>L3002-L3002*VLOOKUP($P3002,매칭테이블!$G:$J,3,0)</f>
        <v/>
      </c>
      <c r="N3002" s="36">
        <f>VLOOKUP($P3002,매칭테이블!$G:$J,4,0)*H3002</f>
        <v/>
      </c>
      <c r="O3002" s="52">
        <f>L3002/1.1</f>
        <v/>
      </c>
      <c r="P3002" s="36">
        <f>F3002&amp;E3002&amp;G3002&amp;J3002</f>
        <v/>
      </c>
    </row>
    <row r="3003">
      <c r="B3003" s="51" t="n">
        <v>44219</v>
      </c>
      <c r="C3003" s="36">
        <f>TEXT(B3003,"aaa")</f>
        <v/>
      </c>
      <c r="E3003" s="36">
        <f>INDEX(매칭테이블!C:C,MATCH(RD!G3003,매칭테이블!D:D,0))</f>
        <v/>
      </c>
      <c r="F3003" s="39" t="inlineStr">
        <is>
          <t>카페24</t>
        </is>
      </c>
      <c r="G3003" s="39" t="inlineStr">
        <is>
          <t>유즈 솔리드퍼퓸 - 30ml향=이그나이트 001 SOLID PERFUME, 세트 선택=1개</t>
        </is>
      </c>
      <c r="H3003" s="39" t="n">
        <v>2</v>
      </c>
      <c r="I3003" s="36">
        <f>VLOOKUP(G3003,매칭테이블!D:E,2,0)</f>
        <v/>
      </c>
      <c r="J3003" s="39" t="n">
        <v>210101</v>
      </c>
      <c r="L3003" s="36">
        <f>VLOOKUP($P3003,매칭테이블!$G:$J,2,0)*H3003</f>
        <v/>
      </c>
      <c r="M3003" s="36">
        <f>L3003-L3003*VLOOKUP($P3003,매칭테이블!$G:$J,3,0)</f>
        <v/>
      </c>
      <c r="N3003" s="36">
        <f>VLOOKUP($P3003,매칭테이블!$G:$J,4,0)*H3003</f>
        <v/>
      </c>
      <c r="O3003" s="52">
        <f>L3003/1.1</f>
        <v/>
      </c>
      <c r="P3003" s="36">
        <f>F3003&amp;E3003&amp;G3003&amp;J3003</f>
        <v/>
      </c>
    </row>
    <row r="3004">
      <c r="B3004" s="51" t="n">
        <v>44219</v>
      </c>
      <c r="C3004" s="36">
        <f>TEXT(B3004,"aaa")</f>
        <v/>
      </c>
      <c r="E3004" s="36">
        <f>INDEX(매칭테이블!C:C,MATCH(RD!G3004,매칭테이블!D:D,0))</f>
        <v/>
      </c>
      <c r="F3004" s="39" t="inlineStr">
        <is>
          <t>카페24</t>
        </is>
      </c>
      <c r="G3004" s="39" t="inlineStr">
        <is>
          <t>유즈 솔리드퍼퓸 - 30ml향=스테이포에버 002 SOLID PERFUME, 세트 선택=1개</t>
        </is>
      </c>
      <c r="H3004" s="39" t="n">
        <v>16</v>
      </c>
      <c r="I3004" s="36">
        <f>VLOOKUP(G3004,매칭테이블!D:E,2,0)</f>
        <v/>
      </c>
      <c r="J3004" s="39" t="n">
        <v>210101</v>
      </c>
      <c r="L3004" s="36">
        <f>VLOOKUP($P3004,매칭테이블!$G:$J,2,0)*H3004</f>
        <v/>
      </c>
      <c r="M3004" s="36">
        <f>L3004-L3004*VLOOKUP($P3004,매칭테이블!$G:$J,3,0)</f>
        <v/>
      </c>
      <c r="N3004" s="36">
        <f>VLOOKUP($P3004,매칭테이블!$G:$J,4,0)*H3004</f>
        <v/>
      </c>
      <c r="O3004" s="52">
        <f>L3004/1.1</f>
        <v/>
      </c>
      <c r="P3004" s="36">
        <f>F3004&amp;E3004&amp;G3004&amp;J3004</f>
        <v/>
      </c>
    </row>
    <row r="3005">
      <c r="B3005" s="51" t="n">
        <v>44219</v>
      </c>
      <c r="C3005" s="36">
        <f>TEXT(B3005,"aaa")</f>
        <v/>
      </c>
      <c r="E3005" s="36">
        <f>INDEX(매칭테이블!C:C,MATCH(RD!G3005,매칭테이블!D:D,0))</f>
        <v/>
      </c>
      <c r="F3005" s="39" t="inlineStr">
        <is>
          <t>카페24</t>
        </is>
      </c>
      <c r="G3005" s="39" t="inlineStr">
        <is>
          <t>유즈 솔리드퍼퓸 - 30ml향=스테이포에버 002 SOLID PERFUME, 세트 선택=best 2개 (28% 할인)</t>
        </is>
      </c>
      <c r="H3005" s="39" t="n">
        <v>10</v>
      </c>
      <c r="I3005" s="36">
        <f>VLOOKUP(G3005,매칭테이블!D:E,2,0)</f>
        <v/>
      </c>
      <c r="J3005" s="39" t="n">
        <v>210101</v>
      </c>
      <c r="L3005" s="36">
        <f>VLOOKUP($P3005,매칭테이블!$G:$J,2,0)*H3005</f>
        <v/>
      </c>
      <c r="M3005" s="36">
        <f>L3005-L3005*VLOOKUP($P3005,매칭테이블!$G:$J,3,0)</f>
        <v/>
      </c>
      <c r="N3005" s="36">
        <f>VLOOKUP($P3005,매칭테이블!$G:$J,4,0)*H3005</f>
        <v/>
      </c>
      <c r="O3005" s="52">
        <f>L3005/1.1</f>
        <v/>
      </c>
      <c r="P3005" s="36">
        <f>F3005&amp;E3005&amp;G3005&amp;J3005</f>
        <v/>
      </c>
    </row>
    <row r="3006">
      <c r="B3006" s="51" t="n">
        <v>44219</v>
      </c>
      <c r="C3006" s="36">
        <f>TEXT(B3006,"aaa")</f>
        <v/>
      </c>
      <c r="E3006" s="36">
        <f>INDEX(매칭테이블!C:C,MATCH(RD!G3006,매칭테이블!D:D,0))</f>
        <v/>
      </c>
      <c r="F3006" s="39" t="inlineStr">
        <is>
          <t>카페24</t>
        </is>
      </c>
      <c r="G3006" s="39" t="inlineStr">
        <is>
          <t>유즈 솔리드퍼퓸 - 30ml향=커플세트(이그나이트 + 스테이포에버), 세트 선택=1 SET</t>
        </is>
      </c>
      <c r="H3006" s="39" t="n">
        <v>7</v>
      </c>
      <c r="I3006" s="36">
        <f>VLOOKUP(G3006,매칭테이블!D:E,2,0)</f>
        <v/>
      </c>
      <c r="J3006" s="39" t="n">
        <v>210101</v>
      </c>
      <c r="L3006" s="36">
        <f>VLOOKUP($P3006,매칭테이블!$G:$J,2,0)*H3006</f>
        <v/>
      </c>
      <c r="M3006" s="36">
        <f>L3006-L3006*VLOOKUP($P3006,매칭테이블!$G:$J,3,0)</f>
        <v/>
      </c>
      <c r="N3006" s="36">
        <f>VLOOKUP($P3006,매칭테이블!$G:$J,4,0)*H3006</f>
        <v/>
      </c>
      <c r="O3006" s="52">
        <f>L3006/1.1</f>
        <v/>
      </c>
      <c r="P3006" s="36">
        <f>F3006&amp;E3006&amp;G3006&amp;J3006</f>
        <v/>
      </c>
    </row>
    <row r="3007">
      <c r="B3007" s="51" t="n">
        <v>44219</v>
      </c>
      <c r="C3007" s="36">
        <f>TEXT(B3007,"aaa")</f>
        <v/>
      </c>
      <c r="E3007" s="36">
        <f>INDEX(매칭테이블!C:C,MATCH(RD!G3007,매칭테이블!D:D,0))</f>
        <v/>
      </c>
      <c r="F3007" s="39" t="inlineStr">
        <is>
          <t>카페24</t>
        </is>
      </c>
      <c r="G3007" s="39" t="inlineStr">
        <is>
          <t>유즈 솔리드퍼퓸 - 스테이포에버 002제품선택=스테이포에버 1개</t>
        </is>
      </c>
      <c r="H3007" s="39" t="n">
        <v>387</v>
      </c>
      <c r="I3007" s="36">
        <f>VLOOKUP(G3007,매칭테이블!D:E,2,0)</f>
        <v/>
      </c>
      <c r="J3007" s="39" t="n">
        <v>210101</v>
      </c>
      <c r="L3007" s="36">
        <f>VLOOKUP($P3007,매칭테이블!$G:$J,2,0)*H3007</f>
        <v/>
      </c>
      <c r="M3007" s="36">
        <f>L3007-L3007*VLOOKUP($P3007,매칭테이블!$G:$J,3,0)</f>
        <v/>
      </c>
      <c r="N3007" s="36">
        <f>VLOOKUP($P3007,매칭테이블!$G:$J,4,0)*H3007</f>
        <v/>
      </c>
      <c r="O3007" s="52">
        <f>L3007/1.1</f>
        <v/>
      </c>
      <c r="P3007" s="36">
        <f>F3007&amp;E3007&amp;G3007&amp;J3007</f>
        <v/>
      </c>
    </row>
    <row r="3008">
      <c r="B3008" s="51" t="n">
        <v>44219</v>
      </c>
      <c r="C3008" s="36">
        <f>TEXT(B3008,"aaa")</f>
        <v/>
      </c>
      <c r="E3008" s="36">
        <f>INDEX(매칭테이블!C:C,MATCH(RD!G3008,매칭테이블!D:D,0))</f>
        <v/>
      </c>
      <c r="F3008" s="39" t="inlineStr">
        <is>
          <t>카페24</t>
        </is>
      </c>
      <c r="G3008" s="39" t="inlineStr">
        <is>
          <t>유즈 솔리드퍼퓸 - 스테이포에버 002제품선택=best스테이포에버 2개[28% 할인]</t>
        </is>
      </c>
      <c r="H3008" s="39" t="n">
        <v>165</v>
      </c>
      <c r="I3008" s="36">
        <f>VLOOKUP(G3008,매칭테이블!D:E,2,0)</f>
        <v/>
      </c>
      <c r="J3008" s="39" t="n">
        <v>210101</v>
      </c>
      <c r="L3008" s="36">
        <f>VLOOKUP($P3008,매칭테이블!$G:$J,2,0)*H3008</f>
        <v/>
      </c>
      <c r="M3008" s="36">
        <f>L3008-L3008*VLOOKUP($P3008,매칭테이블!$G:$J,3,0)</f>
        <v/>
      </c>
      <c r="N3008" s="36">
        <f>VLOOKUP($P3008,매칭테이블!$G:$J,4,0)*H3008</f>
        <v/>
      </c>
      <c r="O3008" s="52">
        <f>L3008/1.1</f>
        <v/>
      </c>
      <c r="P3008" s="36">
        <f>F3008&amp;E3008&amp;G3008&amp;J3008</f>
        <v/>
      </c>
    </row>
    <row r="3009">
      <c r="B3009" s="51" t="n">
        <v>44219</v>
      </c>
      <c r="C3009" s="36">
        <f>TEXT(B3009,"aaa")</f>
        <v/>
      </c>
      <c r="E3009" s="36">
        <f>INDEX(매칭테이블!C:C,MATCH(RD!G3009,매칭테이블!D:D,0))</f>
        <v/>
      </c>
      <c r="F3009" s="39" t="inlineStr">
        <is>
          <t>카페24</t>
        </is>
      </c>
      <c r="G3009" s="39" t="inlineStr">
        <is>
          <t>유즈 솔리드퍼퓸 - 스테이포에버 002제품선택=커플추천스테이포에버 + 이그나이트 세트</t>
        </is>
      </c>
      <c r="H3009" s="39" t="n">
        <v>18</v>
      </c>
      <c r="I3009" s="36">
        <f>VLOOKUP(G3009,매칭테이블!D:E,2,0)</f>
        <v/>
      </c>
      <c r="J3009" s="39" t="n">
        <v>210101</v>
      </c>
      <c r="L3009" s="36">
        <f>VLOOKUP($P3009,매칭테이블!$G:$J,2,0)*H3009</f>
        <v/>
      </c>
      <c r="M3009" s="36">
        <f>L3009-L3009*VLOOKUP($P3009,매칭테이블!$G:$J,3,0)</f>
        <v/>
      </c>
      <c r="N3009" s="36">
        <f>VLOOKUP($P3009,매칭테이블!$G:$J,4,0)*H3009</f>
        <v/>
      </c>
      <c r="O3009" s="52">
        <f>L3009/1.1</f>
        <v/>
      </c>
      <c r="P3009" s="36">
        <f>F3009&amp;E3009&amp;G3009&amp;J3009</f>
        <v/>
      </c>
    </row>
    <row r="3010">
      <c r="B3010" s="51" t="n">
        <v>44219</v>
      </c>
      <c r="C3010" s="36">
        <f>TEXT(B3010,"aaa")</f>
        <v/>
      </c>
      <c r="E3010" s="36">
        <f>INDEX(매칭테이블!C:C,MATCH(RD!G3010,매칭테이블!D:D,0))</f>
        <v/>
      </c>
      <c r="F3010" s="39" t="inlineStr">
        <is>
          <t>카페24</t>
        </is>
      </c>
      <c r="G3010" s="39" t="inlineStr">
        <is>
          <t>유즈 솔리드퍼퓸 - 스테이포에버 002쇼핑백=선물용 쇼핑백</t>
        </is>
      </c>
      <c r="H3010" s="39" t="n">
        <v>18</v>
      </c>
      <c r="I3010" s="36">
        <f>VLOOKUP(G3010,매칭테이블!D:E,2,0)</f>
        <v/>
      </c>
      <c r="J3010" s="39" t="n">
        <v>210101</v>
      </c>
      <c r="L3010" s="36">
        <f>VLOOKUP($P3010,매칭테이블!$G:$J,2,0)*H3010</f>
        <v/>
      </c>
      <c r="M3010" s="36">
        <f>L3010-L3010*VLOOKUP($P3010,매칭테이블!$G:$J,3,0)</f>
        <v/>
      </c>
      <c r="N3010" s="36">
        <f>VLOOKUP($P3010,매칭테이블!$G:$J,4,0)*H3010</f>
        <v/>
      </c>
      <c r="O3010" s="52">
        <f>L3010/1.1</f>
        <v/>
      </c>
      <c r="P3010" s="36">
        <f>F3010&amp;E3010&amp;G3010&amp;J3010</f>
        <v/>
      </c>
    </row>
    <row r="3011">
      <c r="B3011" s="51" t="n">
        <v>44219</v>
      </c>
      <c r="C3011" s="36">
        <f>TEXT(B3011,"aaa")</f>
        <v/>
      </c>
      <c r="E3011" s="36">
        <f>INDEX(매칭테이블!C:C,MATCH(RD!G3011,매칭테이블!D:D,0))</f>
        <v/>
      </c>
      <c r="F3011" s="39" t="inlineStr">
        <is>
          <t>카페24</t>
        </is>
      </c>
      <c r="G3011" s="39" t="inlineStr">
        <is>
          <t>유즈 솔리드퍼퓸 - 이그나이트 001제품선택=이그나이트 솔리드퍼퓸 - 30ml</t>
        </is>
      </c>
      <c r="H3011" s="39" t="n">
        <v>5</v>
      </c>
      <c r="I3011" s="36">
        <f>VLOOKUP(G3011,매칭테이블!D:E,2,0)</f>
        <v/>
      </c>
      <c r="J3011" s="39" t="n">
        <v>210101</v>
      </c>
      <c r="L3011" s="36">
        <f>VLOOKUP($P3011,매칭테이블!$G:$J,2,0)*H3011</f>
        <v/>
      </c>
      <c r="M3011" s="36">
        <f>L3011-L3011*VLOOKUP($P3011,매칭테이블!$G:$J,3,0)</f>
        <v/>
      </c>
      <c r="N3011" s="36">
        <f>VLOOKUP($P3011,매칭테이블!$G:$J,4,0)*H3011</f>
        <v/>
      </c>
      <c r="O3011" s="52">
        <f>L3011/1.1</f>
        <v/>
      </c>
      <c r="P3011" s="36">
        <f>F3011&amp;E3011&amp;G3011&amp;J3011</f>
        <v/>
      </c>
    </row>
    <row r="3012">
      <c r="B3012" s="51" t="n">
        <v>44219</v>
      </c>
      <c r="C3012" s="36">
        <f>TEXT(B3012,"aaa")</f>
        <v/>
      </c>
      <c r="E3012" s="36">
        <f>INDEX(매칭테이블!C:C,MATCH(RD!G3012,매칭테이블!D:D,0))</f>
        <v/>
      </c>
      <c r="F3012" s="39" t="inlineStr">
        <is>
          <t>카페24</t>
        </is>
      </c>
      <c r="G3012" s="39" t="inlineStr">
        <is>
          <t>유즈 솔리드퍼퓸 - 이그나이트 001제품선택=이그나이트 2개 세트</t>
        </is>
      </c>
      <c r="H3012" s="39" t="n">
        <v>5</v>
      </c>
      <c r="I3012" s="36">
        <f>VLOOKUP(G3012,매칭테이블!D:E,2,0)</f>
        <v/>
      </c>
      <c r="J3012" s="39" t="n">
        <v>210101</v>
      </c>
      <c r="L3012" s="36">
        <f>VLOOKUP($P3012,매칭테이블!$G:$J,2,0)*H3012</f>
        <v/>
      </c>
      <c r="M3012" s="36">
        <f>L3012-L3012*VLOOKUP($P3012,매칭테이블!$G:$J,3,0)</f>
        <v/>
      </c>
      <c r="N3012" s="36">
        <f>VLOOKUP($P3012,매칭테이블!$G:$J,4,0)*H3012</f>
        <v/>
      </c>
      <c r="O3012" s="52">
        <f>L3012/1.1</f>
        <v/>
      </c>
      <c r="P3012" s="36">
        <f>F3012&amp;E3012&amp;G3012&amp;J3012</f>
        <v/>
      </c>
    </row>
    <row r="3013">
      <c r="B3013" s="51" t="n">
        <v>44220</v>
      </c>
      <c r="C3013" s="36">
        <f>TEXT(B3013,"aaa")</f>
        <v/>
      </c>
      <c r="E3013" s="36">
        <f>INDEX(매칭테이블!C:C,MATCH(RD!G3013,매칭테이블!D:D,0))</f>
        <v/>
      </c>
      <c r="F3013" s="39" t="inlineStr">
        <is>
          <t>카페24</t>
        </is>
      </c>
      <c r="G3013" s="39" t="inlineStr">
        <is>
          <t>유즈 솔리드퍼퓸 - 30ml향=스테이포에버 002 SOLID PERFUME, 세트 선택=1개</t>
        </is>
      </c>
      <c r="H3013" s="39" t="n">
        <v>12</v>
      </c>
      <c r="I3013" s="36">
        <f>VLOOKUP(G3013,매칭테이블!D:E,2,0)</f>
        <v/>
      </c>
      <c r="J3013" s="39" t="n">
        <v>210101</v>
      </c>
      <c r="L3013" s="36">
        <f>VLOOKUP($P3013,매칭테이블!$G:$J,2,0)*H3013</f>
        <v/>
      </c>
      <c r="M3013" s="36">
        <f>L3013-L3013*VLOOKUP($P3013,매칭테이블!$G:$J,3,0)</f>
        <v/>
      </c>
      <c r="N3013" s="36">
        <f>VLOOKUP($P3013,매칭테이블!$G:$J,4,0)*H3013</f>
        <v/>
      </c>
      <c r="O3013" s="52">
        <f>L3013/1.1</f>
        <v/>
      </c>
      <c r="P3013" s="36">
        <f>F3013&amp;E3013&amp;G3013&amp;J3013</f>
        <v/>
      </c>
    </row>
    <row r="3014">
      <c r="B3014" s="51" t="n">
        <v>44220</v>
      </c>
      <c r="C3014" s="36">
        <f>TEXT(B3014,"aaa")</f>
        <v/>
      </c>
      <c r="E3014" s="36">
        <f>INDEX(매칭테이블!C:C,MATCH(RD!G3014,매칭테이블!D:D,0))</f>
        <v/>
      </c>
      <c r="F3014" s="39" t="inlineStr">
        <is>
          <t>카페24</t>
        </is>
      </c>
      <c r="G3014" s="39" t="inlineStr">
        <is>
          <t>유즈 솔리드퍼퓸 - 30ml향=스테이포에버 002 SOLID PERFUME, 세트 선택=best 2개 (28% 할인)</t>
        </is>
      </c>
      <c r="H3014" s="39" t="n">
        <v>10</v>
      </c>
      <c r="I3014" s="36">
        <f>VLOOKUP(G3014,매칭테이블!D:E,2,0)</f>
        <v/>
      </c>
      <c r="J3014" s="39" t="n">
        <v>210101</v>
      </c>
      <c r="L3014" s="36">
        <f>VLOOKUP($P3014,매칭테이블!$G:$J,2,0)*H3014</f>
        <v/>
      </c>
      <c r="M3014" s="36">
        <f>L3014-L3014*VLOOKUP($P3014,매칭테이블!$G:$J,3,0)</f>
        <v/>
      </c>
      <c r="N3014" s="36">
        <f>VLOOKUP($P3014,매칭테이블!$G:$J,4,0)*H3014</f>
        <v/>
      </c>
      <c r="O3014" s="52">
        <f>L3014/1.1</f>
        <v/>
      </c>
      <c r="P3014" s="36">
        <f>F3014&amp;E3014&amp;G3014&amp;J3014</f>
        <v/>
      </c>
    </row>
    <row r="3015">
      <c r="B3015" s="51" t="n">
        <v>44220</v>
      </c>
      <c r="C3015" s="36">
        <f>TEXT(B3015,"aaa")</f>
        <v/>
      </c>
      <c r="E3015" s="36">
        <f>INDEX(매칭테이블!C:C,MATCH(RD!G3015,매칭테이블!D:D,0))</f>
        <v/>
      </c>
      <c r="F3015" s="39" t="inlineStr">
        <is>
          <t>카페24</t>
        </is>
      </c>
      <c r="G3015" s="39" t="inlineStr">
        <is>
          <t>유즈 솔리드퍼퓸 - 30ml향=커플세트(이그나이트 + 스테이포에버), 세트 선택=1 SET</t>
        </is>
      </c>
      <c r="H3015" s="39" t="n">
        <v>5</v>
      </c>
      <c r="I3015" s="36">
        <f>VLOOKUP(G3015,매칭테이블!D:E,2,0)</f>
        <v/>
      </c>
      <c r="J3015" s="39" t="n">
        <v>210101</v>
      </c>
      <c r="L3015" s="36">
        <f>VLOOKUP($P3015,매칭테이블!$G:$J,2,0)*H3015</f>
        <v/>
      </c>
      <c r="M3015" s="36">
        <f>L3015-L3015*VLOOKUP($P3015,매칭테이블!$G:$J,3,0)</f>
        <v/>
      </c>
      <c r="N3015" s="36">
        <f>VLOOKUP($P3015,매칭테이블!$G:$J,4,0)*H3015</f>
        <v/>
      </c>
      <c r="O3015" s="52">
        <f>L3015/1.1</f>
        <v/>
      </c>
      <c r="P3015" s="36">
        <f>F3015&amp;E3015&amp;G3015&amp;J3015</f>
        <v/>
      </c>
    </row>
    <row r="3016">
      <c r="B3016" s="51" t="n">
        <v>44220</v>
      </c>
      <c r="C3016" s="36">
        <f>TEXT(B3016,"aaa")</f>
        <v/>
      </c>
      <c r="E3016" s="36">
        <f>INDEX(매칭테이블!C:C,MATCH(RD!G3016,매칭테이블!D:D,0))</f>
        <v/>
      </c>
      <c r="F3016" s="39" t="inlineStr">
        <is>
          <t>카페24</t>
        </is>
      </c>
      <c r="G3016" s="39" t="inlineStr">
        <is>
          <t>유즈 솔리드퍼퓸 - 30ml향=커플세트(이그나이트 + 스테이포에버), 세트 선택=2 SET (42% 할인)</t>
        </is>
      </c>
      <c r="H3016" s="39" t="n">
        <v>4</v>
      </c>
      <c r="I3016" s="36">
        <f>VLOOKUP(G3016,매칭테이블!D:E,2,0)</f>
        <v/>
      </c>
      <c r="J3016" s="39" t="n">
        <v>210101</v>
      </c>
      <c r="L3016" s="36">
        <f>VLOOKUP($P3016,매칭테이블!$G:$J,2,0)*H3016</f>
        <v/>
      </c>
      <c r="M3016" s="36">
        <f>L3016-L3016*VLOOKUP($P3016,매칭테이블!$G:$J,3,0)</f>
        <v/>
      </c>
      <c r="N3016" s="36">
        <f>VLOOKUP($P3016,매칭테이블!$G:$J,4,0)*H3016</f>
        <v/>
      </c>
      <c r="O3016" s="52">
        <f>L3016/1.1</f>
        <v/>
      </c>
      <c r="P3016" s="36">
        <f>F3016&amp;E3016&amp;G3016&amp;J3016</f>
        <v/>
      </c>
    </row>
    <row r="3017">
      <c r="B3017" s="51" t="n">
        <v>44220</v>
      </c>
      <c r="C3017" s="36">
        <f>TEXT(B3017,"aaa")</f>
        <v/>
      </c>
      <c r="E3017" s="36">
        <f>INDEX(매칭테이블!C:C,MATCH(RD!G3017,매칭테이블!D:D,0))</f>
        <v/>
      </c>
      <c r="F3017" s="39" t="inlineStr">
        <is>
          <t>카페24</t>
        </is>
      </c>
      <c r="G3017" s="39" t="inlineStr">
        <is>
          <t>유즈 솔리드퍼퓸 - 스테이포에버 002제품선택=스테이포에버 1개</t>
        </is>
      </c>
      <c r="H3017" s="39" t="n">
        <v>415</v>
      </c>
      <c r="I3017" s="36">
        <f>VLOOKUP(G3017,매칭테이블!D:E,2,0)</f>
        <v/>
      </c>
      <c r="J3017" s="39" t="n">
        <v>210101</v>
      </c>
      <c r="L3017" s="36">
        <f>VLOOKUP($P3017,매칭테이블!$G:$J,2,0)*H3017</f>
        <v/>
      </c>
      <c r="M3017" s="36">
        <f>L3017-L3017*VLOOKUP($P3017,매칭테이블!$G:$J,3,0)</f>
        <v/>
      </c>
      <c r="N3017" s="36">
        <f>VLOOKUP($P3017,매칭테이블!$G:$J,4,0)*H3017</f>
        <v/>
      </c>
      <c r="O3017" s="52">
        <f>L3017/1.1</f>
        <v/>
      </c>
      <c r="P3017" s="36">
        <f>F3017&amp;E3017&amp;G3017&amp;J3017</f>
        <v/>
      </c>
    </row>
    <row r="3018">
      <c r="B3018" s="51" t="n">
        <v>44220</v>
      </c>
      <c r="C3018" s="36">
        <f>TEXT(B3018,"aaa")</f>
        <v/>
      </c>
      <c r="E3018" s="36">
        <f>INDEX(매칭테이블!C:C,MATCH(RD!G3018,매칭테이블!D:D,0))</f>
        <v/>
      </c>
      <c r="F3018" s="39" t="inlineStr">
        <is>
          <t>카페24</t>
        </is>
      </c>
      <c r="G3018" s="39" t="inlineStr">
        <is>
          <t>유즈 솔리드퍼퓸 - 스테이포에버 002제품선택=best스테이포에버 2개[28% 할인]</t>
        </is>
      </c>
      <c r="H3018" s="39" t="n">
        <v>172</v>
      </c>
      <c r="I3018" s="36">
        <f>VLOOKUP(G3018,매칭테이블!D:E,2,0)</f>
        <v/>
      </c>
      <c r="J3018" s="39" t="n">
        <v>210101</v>
      </c>
      <c r="L3018" s="36">
        <f>VLOOKUP($P3018,매칭테이블!$G:$J,2,0)*H3018</f>
        <v/>
      </c>
      <c r="M3018" s="36">
        <f>L3018-L3018*VLOOKUP($P3018,매칭테이블!$G:$J,3,0)</f>
        <v/>
      </c>
      <c r="N3018" s="36">
        <f>VLOOKUP($P3018,매칭테이블!$G:$J,4,0)*H3018</f>
        <v/>
      </c>
      <c r="O3018" s="52">
        <f>L3018/1.1</f>
        <v/>
      </c>
      <c r="P3018" s="36">
        <f>F3018&amp;E3018&amp;G3018&amp;J3018</f>
        <v/>
      </c>
    </row>
    <row r="3019">
      <c r="B3019" s="51" t="n">
        <v>44220</v>
      </c>
      <c r="C3019" s="36">
        <f>TEXT(B3019,"aaa")</f>
        <v/>
      </c>
      <c r="E3019" s="36">
        <f>INDEX(매칭테이블!C:C,MATCH(RD!G3019,매칭테이블!D:D,0))</f>
        <v/>
      </c>
      <c r="F3019" s="39" t="inlineStr">
        <is>
          <t>카페24</t>
        </is>
      </c>
      <c r="G3019" s="39" t="inlineStr">
        <is>
          <t>유즈 솔리드퍼퓸 - 스테이포에버 002제품선택=커플추천스테이포에버 + 이그나이트 세트</t>
        </is>
      </c>
      <c r="H3019" s="39" t="n">
        <v>32</v>
      </c>
      <c r="I3019" s="36">
        <f>VLOOKUP(G3019,매칭테이블!D:E,2,0)</f>
        <v/>
      </c>
      <c r="J3019" s="39" t="n">
        <v>210101</v>
      </c>
      <c r="L3019" s="36">
        <f>VLOOKUP($P3019,매칭테이블!$G:$J,2,0)*H3019</f>
        <v/>
      </c>
      <c r="M3019" s="36">
        <f>L3019-L3019*VLOOKUP($P3019,매칭테이블!$G:$J,3,0)</f>
        <v/>
      </c>
      <c r="N3019" s="36">
        <f>VLOOKUP($P3019,매칭테이블!$G:$J,4,0)*H3019</f>
        <v/>
      </c>
      <c r="O3019" s="52">
        <f>L3019/1.1</f>
        <v/>
      </c>
      <c r="P3019" s="36">
        <f>F3019&amp;E3019&amp;G3019&amp;J3019</f>
        <v/>
      </c>
    </row>
    <row r="3020">
      <c r="B3020" s="51" t="n">
        <v>44220</v>
      </c>
      <c r="C3020" s="36">
        <f>TEXT(B3020,"aaa")</f>
        <v/>
      </c>
      <c r="E3020" s="36">
        <f>INDEX(매칭테이블!C:C,MATCH(RD!G3020,매칭테이블!D:D,0))</f>
        <v/>
      </c>
      <c r="F3020" s="39" t="inlineStr">
        <is>
          <t>카페24</t>
        </is>
      </c>
      <c r="G3020" s="39" t="inlineStr">
        <is>
          <t>유즈 솔리드퍼퓸 - 스테이포에버 002쇼핑백=선물용 쇼핑백</t>
        </is>
      </c>
      <c r="H3020" s="39" t="n">
        <v>18</v>
      </c>
      <c r="I3020" s="36">
        <f>VLOOKUP(G3020,매칭테이블!D:E,2,0)</f>
        <v/>
      </c>
      <c r="J3020" s="39" t="n">
        <v>210101</v>
      </c>
      <c r="L3020" s="36">
        <f>VLOOKUP($P3020,매칭테이블!$G:$J,2,0)*H3020</f>
        <v/>
      </c>
      <c r="M3020" s="36">
        <f>L3020-L3020*VLOOKUP($P3020,매칭테이블!$G:$J,3,0)</f>
        <v/>
      </c>
      <c r="N3020" s="36">
        <f>VLOOKUP($P3020,매칭테이블!$G:$J,4,0)*H3020</f>
        <v/>
      </c>
      <c r="O3020" s="52">
        <f>L3020/1.1</f>
        <v/>
      </c>
      <c r="P3020" s="36">
        <f>F3020&amp;E3020&amp;G3020&amp;J3020</f>
        <v/>
      </c>
    </row>
    <row r="3021">
      <c r="B3021" s="51" t="n">
        <v>44220</v>
      </c>
      <c r="C3021" s="36">
        <f>TEXT(B3021,"aaa")</f>
        <v/>
      </c>
      <c r="E3021" s="36">
        <f>INDEX(매칭테이블!C:C,MATCH(RD!G3021,매칭테이블!D:D,0))</f>
        <v/>
      </c>
      <c r="F3021" s="39" t="inlineStr">
        <is>
          <t>카페24</t>
        </is>
      </c>
      <c r="G3021" s="39" t="inlineStr">
        <is>
          <t>유즈 솔리드퍼퓸 - 이그나이트 001제품선택=이그나이트 솔리드퍼퓸 - 30ml</t>
        </is>
      </c>
      <c r="H3021" s="39" t="n">
        <v>8</v>
      </c>
      <c r="I3021" s="36">
        <f>VLOOKUP(G3021,매칭테이블!D:E,2,0)</f>
        <v/>
      </c>
      <c r="J3021" s="39" t="n">
        <v>210101</v>
      </c>
      <c r="L3021" s="36">
        <f>VLOOKUP($P3021,매칭테이블!$G:$J,2,0)*H3021</f>
        <v/>
      </c>
      <c r="M3021" s="36">
        <f>L3021-L3021*VLOOKUP($P3021,매칭테이블!$G:$J,3,0)</f>
        <v/>
      </c>
      <c r="N3021" s="36">
        <f>VLOOKUP($P3021,매칭테이블!$G:$J,4,0)*H3021</f>
        <v/>
      </c>
      <c r="O3021" s="52">
        <f>L3021/1.1</f>
        <v/>
      </c>
      <c r="P3021" s="36">
        <f>F3021&amp;E3021&amp;G3021&amp;J3021</f>
        <v/>
      </c>
    </row>
    <row r="3022">
      <c r="B3022" s="51" t="n">
        <v>44220</v>
      </c>
      <c r="C3022" s="36">
        <f>TEXT(B3022,"aaa")</f>
        <v/>
      </c>
      <c r="E3022" s="36">
        <f>INDEX(매칭테이블!C:C,MATCH(RD!G3022,매칭테이블!D:D,0))</f>
        <v/>
      </c>
      <c r="F3022" s="39" t="inlineStr">
        <is>
          <t>카페24</t>
        </is>
      </c>
      <c r="G3022" s="39" t="inlineStr">
        <is>
          <t>유즈 솔리드퍼퓸 - 이그나이트 001제품선택=이그나이트 2개 세트</t>
        </is>
      </c>
      <c r="H3022" s="39" t="n">
        <v>1</v>
      </c>
      <c r="I3022" s="36">
        <f>VLOOKUP(G3022,매칭테이블!D:E,2,0)</f>
        <v/>
      </c>
      <c r="J3022" s="39" t="n">
        <v>210101</v>
      </c>
      <c r="L3022" s="36">
        <f>VLOOKUP($P3022,매칭테이블!$G:$J,2,0)*H3022</f>
        <v/>
      </c>
      <c r="M3022" s="36">
        <f>L3022-L3022*VLOOKUP($P3022,매칭테이블!$G:$J,3,0)</f>
        <v/>
      </c>
      <c r="N3022" s="36">
        <f>VLOOKUP($P3022,매칭테이블!$G:$J,4,0)*H3022</f>
        <v/>
      </c>
      <c r="O3022" s="52">
        <f>L3022/1.1</f>
        <v/>
      </c>
      <c r="P3022" s="36">
        <f>F3022&amp;E3022&amp;G3022&amp;J3022</f>
        <v/>
      </c>
    </row>
    <row r="3023">
      <c r="B3023" s="51" t="n">
        <v>44221</v>
      </c>
      <c r="C3023" s="36">
        <f>TEXT(B3023,"aaa")</f>
        <v/>
      </c>
      <c r="E3023" s="36">
        <f>INDEX(매칭테이블!C:C,MATCH(RD!G3023,매칭테이블!D:D,0))</f>
        <v/>
      </c>
      <c r="F3023" s="39" t="inlineStr">
        <is>
          <t>카페24</t>
        </is>
      </c>
      <c r="G3023" s="39" t="inlineStr">
        <is>
          <t>솔리드퍼퓸 스테이포에버 002 30ml</t>
        </is>
      </c>
      <c r="H3023" s="39" t="n">
        <v>2</v>
      </c>
      <c r="I3023" s="36">
        <f>VLOOKUP(G3023,매칭테이블!D:E,2,0)</f>
        <v/>
      </c>
      <c r="J3023" s="39" t="n">
        <v>210101</v>
      </c>
      <c r="L3023" s="36">
        <f>VLOOKUP($P3023,매칭테이블!$G:$J,2,0)*H3023</f>
        <v/>
      </c>
      <c r="M3023" s="36">
        <f>L3023-L3023*VLOOKUP($P3023,매칭테이블!$G:$J,3,0)</f>
        <v/>
      </c>
      <c r="N3023" s="36">
        <f>VLOOKUP($P3023,매칭테이블!$G:$J,4,0)*H3023</f>
        <v/>
      </c>
      <c r="O3023" s="52">
        <f>L3023/1.1</f>
        <v/>
      </c>
      <c r="P3023" s="36">
        <f>F3023&amp;E3023&amp;G3023&amp;J3023</f>
        <v/>
      </c>
    </row>
    <row r="3024">
      <c r="B3024" s="51" t="n">
        <v>44221</v>
      </c>
      <c r="C3024" s="36">
        <f>TEXT(B3024,"aaa")</f>
        <v/>
      </c>
      <c r="E3024" s="36">
        <f>INDEX(매칭테이블!C:C,MATCH(RD!G3024,매칭테이블!D:D,0))</f>
        <v/>
      </c>
      <c r="F3024" s="39" t="inlineStr">
        <is>
          <t>카페24</t>
        </is>
      </c>
      <c r="G3024" s="39" t="inlineStr">
        <is>
          <t>유즈 솔리드퍼퓸 - 30ml향=이그나이트 001 SOLID PERFUME, 세트 선택=1개</t>
        </is>
      </c>
      <c r="H3024" s="39" t="n">
        <v>2</v>
      </c>
      <c r="I3024" s="36">
        <f>VLOOKUP(G3024,매칭테이블!D:E,2,0)</f>
        <v/>
      </c>
      <c r="J3024" s="39" t="n">
        <v>210101</v>
      </c>
      <c r="L3024" s="36">
        <f>VLOOKUP($P3024,매칭테이블!$G:$J,2,0)*H3024</f>
        <v/>
      </c>
      <c r="M3024" s="36">
        <f>L3024-L3024*VLOOKUP($P3024,매칭테이블!$G:$J,3,0)</f>
        <v/>
      </c>
      <c r="N3024" s="36">
        <f>VLOOKUP($P3024,매칭테이블!$G:$J,4,0)*H3024</f>
        <v/>
      </c>
      <c r="O3024" s="52">
        <f>L3024/1.1</f>
        <v/>
      </c>
      <c r="P3024" s="36">
        <f>F3024&amp;E3024&amp;G3024&amp;J3024</f>
        <v/>
      </c>
    </row>
    <row r="3025">
      <c r="B3025" s="51" t="n">
        <v>44221</v>
      </c>
      <c r="C3025" s="36">
        <f>TEXT(B3025,"aaa")</f>
        <v/>
      </c>
      <c r="E3025" s="36">
        <f>INDEX(매칭테이블!C:C,MATCH(RD!G3025,매칭테이블!D:D,0))</f>
        <v/>
      </c>
      <c r="F3025" s="39" t="inlineStr">
        <is>
          <t>카페24</t>
        </is>
      </c>
      <c r="G3025" s="39" t="inlineStr">
        <is>
          <t>유즈 솔리드퍼퓸 - 30ml향=스테이포에버 002 SOLID PERFUME, 세트 선택=1개</t>
        </is>
      </c>
      <c r="H3025" s="39" t="n">
        <v>10</v>
      </c>
      <c r="I3025" s="36">
        <f>VLOOKUP(G3025,매칭테이블!D:E,2,0)</f>
        <v/>
      </c>
      <c r="J3025" s="39" t="n">
        <v>210101</v>
      </c>
      <c r="L3025" s="36">
        <f>VLOOKUP($P3025,매칭테이블!$G:$J,2,0)*H3025</f>
        <v/>
      </c>
      <c r="M3025" s="36">
        <f>L3025-L3025*VLOOKUP($P3025,매칭테이블!$G:$J,3,0)</f>
        <v/>
      </c>
      <c r="N3025" s="36">
        <f>VLOOKUP($P3025,매칭테이블!$G:$J,4,0)*H3025</f>
        <v/>
      </c>
      <c r="O3025" s="52">
        <f>L3025/1.1</f>
        <v/>
      </c>
      <c r="P3025" s="36">
        <f>F3025&amp;E3025&amp;G3025&amp;J3025</f>
        <v/>
      </c>
    </row>
    <row r="3026">
      <c r="B3026" s="51" t="n">
        <v>44221</v>
      </c>
      <c r="C3026" s="36">
        <f>TEXT(B3026,"aaa")</f>
        <v/>
      </c>
      <c r="E3026" s="36">
        <f>INDEX(매칭테이블!C:C,MATCH(RD!G3026,매칭테이블!D:D,0))</f>
        <v/>
      </c>
      <c r="F3026" s="39" t="inlineStr">
        <is>
          <t>카페24</t>
        </is>
      </c>
      <c r="G3026" s="39" t="inlineStr">
        <is>
          <t>유즈 솔리드퍼퓸 - 30ml향=스테이포에버 002 SOLID PERFUME, 세트 선택=best 2개 (28% 할인)</t>
        </is>
      </c>
      <c r="H3026" s="39" t="n">
        <v>10</v>
      </c>
      <c r="I3026" s="36">
        <f>VLOOKUP(G3026,매칭테이블!D:E,2,0)</f>
        <v/>
      </c>
      <c r="J3026" s="39" t="n">
        <v>210101</v>
      </c>
      <c r="L3026" s="36">
        <f>VLOOKUP($P3026,매칭테이블!$G:$J,2,0)*H3026</f>
        <v/>
      </c>
      <c r="M3026" s="36">
        <f>L3026-L3026*VLOOKUP($P3026,매칭테이블!$G:$J,3,0)</f>
        <v/>
      </c>
      <c r="N3026" s="36">
        <f>VLOOKUP($P3026,매칭테이블!$G:$J,4,0)*H3026</f>
        <v/>
      </c>
      <c r="O3026" s="52">
        <f>L3026/1.1</f>
        <v/>
      </c>
      <c r="P3026" s="36">
        <f>F3026&amp;E3026&amp;G3026&amp;J3026</f>
        <v/>
      </c>
    </row>
    <row r="3027">
      <c r="B3027" s="51" t="n">
        <v>44221</v>
      </c>
      <c r="C3027" s="36">
        <f>TEXT(B3027,"aaa")</f>
        <v/>
      </c>
      <c r="E3027" s="36">
        <f>INDEX(매칭테이블!C:C,MATCH(RD!G3027,매칭테이블!D:D,0))</f>
        <v/>
      </c>
      <c r="F3027" s="39" t="inlineStr">
        <is>
          <t>카페24</t>
        </is>
      </c>
      <c r="G3027" s="39" t="inlineStr">
        <is>
          <t>유즈 솔리드퍼퓸 - 30ml향=커플세트(이그나이트 + 스테이포에버), 세트 선택=1 SET</t>
        </is>
      </c>
      <c r="H3027" s="39" t="n">
        <v>11</v>
      </c>
      <c r="I3027" s="36">
        <f>VLOOKUP(G3027,매칭테이블!D:E,2,0)</f>
        <v/>
      </c>
      <c r="J3027" s="39" t="n">
        <v>210101</v>
      </c>
      <c r="L3027" s="36">
        <f>VLOOKUP($P3027,매칭테이블!$G:$J,2,0)*H3027</f>
        <v/>
      </c>
      <c r="M3027" s="36">
        <f>L3027-L3027*VLOOKUP($P3027,매칭테이블!$G:$J,3,0)</f>
        <v/>
      </c>
      <c r="N3027" s="36">
        <f>VLOOKUP($P3027,매칭테이블!$G:$J,4,0)*H3027</f>
        <v/>
      </c>
      <c r="O3027" s="52">
        <f>L3027/1.1</f>
        <v/>
      </c>
      <c r="P3027" s="36">
        <f>F3027&amp;E3027&amp;G3027&amp;J3027</f>
        <v/>
      </c>
    </row>
    <row r="3028">
      <c r="B3028" s="51" t="n">
        <v>44221</v>
      </c>
      <c r="C3028" s="36">
        <f>TEXT(B3028,"aaa")</f>
        <v/>
      </c>
      <c r="E3028" s="36">
        <f>INDEX(매칭테이블!C:C,MATCH(RD!G3028,매칭테이블!D:D,0))</f>
        <v/>
      </c>
      <c r="F3028" s="39" t="inlineStr">
        <is>
          <t>카페24</t>
        </is>
      </c>
      <c r="G3028" s="39" t="inlineStr">
        <is>
          <t>유즈 솔리드퍼퓸 - 30ml향=커플세트(이그나이트 + 스테이포에버), 세트 선택=2 SET (42% 할인)</t>
        </is>
      </c>
      <c r="H3028" s="39" t="n">
        <v>1</v>
      </c>
      <c r="I3028" s="36">
        <f>VLOOKUP(G3028,매칭테이블!D:E,2,0)</f>
        <v/>
      </c>
      <c r="J3028" s="39" t="n">
        <v>210101</v>
      </c>
      <c r="L3028" s="36">
        <f>VLOOKUP($P3028,매칭테이블!$G:$J,2,0)*H3028</f>
        <v/>
      </c>
      <c r="M3028" s="36">
        <f>L3028-L3028*VLOOKUP($P3028,매칭테이블!$G:$J,3,0)</f>
        <v/>
      </c>
      <c r="N3028" s="36">
        <f>VLOOKUP($P3028,매칭테이블!$G:$J,4,0)*H3028</f>
        <v/>
      </c>
      <c r="O3028" s="52">
        <f>L3028/1.1</f>
        <v/>
      </c>
      <c r="P3028" s="36">
        <f>F3028&amp;E3028&amp;G3028&amp;J3028</f>
        <v/>
      </c>
    </row>
    <row r="3029">
      <c r="B3029" s="51" t="n">
        <v>44221</v>
      </c>
      <c r="C3029" s="36">
        <f>TEXT(B3029,"aaa")</f>
        <v/>
      </c>
      <c r="E3029" s="36">
        <f>INDEX(매칭테이블!C:C,MATCH(RD!G3029,매칭테이블!D:D,0))</f>
        <v/>
      </c>
      <c r="F3029" s="39" t="inlineStr">
        <is>
          <t>카페24</t>
        </is>
      </c>
      <c r="G3029" s="39" t="inlineStr">
        <is>
          <t>유즈 솔리드퍼퓸 - 스테이포에버 002제품선택=스테이포에버 1개</t>
        </is>
      </c>
      <c r="H3029" s="39" t="n">
        <v>296</v>
      </c>
      <c r="I3029" s="36">
        <f>VLOOKUP(G3029,매칭테이블!D:E,2,0)</f>
        <v/>
      </c>
      <c r="J3029" s="39" t="n">
        <v>210101</v>
      </c>
      <c r="L3029" s="36">
        <f>VLOOKUP($P3029,매칭테이블!$G:$J,2,0)*H3029</f>
        <v/>
      </c>
      <c r="M3029" s="36">
        <f>L3029-L3029*VLOOKUP($P3029,매칭테이블!$G:$J,3,0)</f>
        <v/>
      </c>
      <c r="N3029" s="36">
        <f>VLOOKUP($P3029,매칭테이블!$G:$J,4,0)*H3029</f>
        <v/>
      </c>
      <c r="O3029" s="52">
        <f>L3029/1.1</f>
        <v/>
      </c>
      <c r="P3029" s="36">
        <f>F3029&amp;E3029&amp;G3029&amp;J3029</f>
        <v/>
      </c>
    </row>
    <row r="3030">
      <c r="B3030" s="51" t="n">
        <v>44221</v>
      </c>
      <c r="C3030" s="36">
        <f>TEXT(B3030,"aaa")</f>
        <v/>
      </c>
      <c r="E3030" s="36">
        <f>INDEX(매칭테이블!C:C,MATCH(RD!G3030,매칭테이블!D:D,0))</f>
        <v/>
      </c>
      <c r="F3030" s="39" t="inlineStr">
        <is>
          <t>카페24</t>
        </is>
      </c>
      <c r="G3030" s="39" t="inlineStr">
        <is>
          <t>유즈 솔리드퍼퓸 - 스테이포에버 002제품선택=best스테이포에버 2개[28% 할인]</t>
        </is>
      </c>
      <c r="H3030" s="39" t="n">
        <v>120</v>
      </c>
      <c r="I3030" s="36">
        <f>VLOOKUP(G3030,매칭테이블!D:E,2,0)</f>
        <v/>
      </c>
      <c r="J3030" s="39" t="n">
        <v>210101</v>
      </c>
      <c r="L3030" s="36">
        <f>VLOOKUP($P3030,매칭테이블!$G:$J,2,0)*H3030</f>
        <v/>
      </c>
      <c r="M3030" s="36">
        <f>L3030-L3030*VLOOKUP($P3030,매칭테이블!$G:$J,3,0)</f>
        <v/>
      </c>
      <c r="N3030" s="36">
        <f>VLOOKUP($P3030,매칭테이블!$G:$J,4,0)*H3030</f>
        <v/>
      </c>
      <c r="O3030" s="52">
        <f>L3030/1.1</f>
        <v/>
      </c>
      <c r="P3030" s="36">
        <f>F3030&amp;E3030&amp;G3030&amp;J3030</f>
        <v/>
      </c>
    </row>
    <row r="3031">
      <c r="B3031" s="51" t="n">
        <v>44221</v>
      </c>
      <c r="C3031" s="36">
        <f>TEXT(B3031,"aaa")</f>
        <v/>
      </c>
      <c r="E3031" s="36">
        <f>INDEX(매칭테이블!C:C,MATCH(RD!G3031,매칭테이블!D:D,0))</f>
        <v/>
      </c>
      <c r="F3031" s="39" t="inlineStr">
        <is>
          <t>카페24</t>
        </is>
      </c>
      <c r="G3031" s="39" t="inlineStr">
        <is>
          <t>유즈 솔리드퍼퓸 - 스테이포에버 002제품선택=커플추천스테이포에버 + 이그나이트 세트</t>
        </is>
      </c>
      <c r="H3031" s="39" t="n">
        <v>24</v>
      </c>
      <c r="I3031" s="36">
        <f>VLOOKUP(G3031,매칭테이블!D:E,2,0)</f>
        <v/>
      </c>
      <c r="J3031" s="39" t="n">
        <v>210101</v>
      </c>
      <c r="L3031" s="36">
        <f>VLOOKUP($P3031,매칭테이블!$G:$J,2,0)*H3031</f>
        <v/>
      </c>
      <c r="M3031" s="36">
        <f>L3031-L3031*VLOOKUP($P3031,매칭테이블!$G:$J,3,0)</f>
        <v/>
      </c>
      <c r="N3031" s="36">
        <f>VLOOKUP($P3031,매칭테이블!$G:$J,4,0)*H3031</f>
        <v/>
      </c>
      <c r="O3031" s="52">
        <f>L3031/1.1</f>
        <v/>
      </c>
      <c r="P3031" s="36">
        <f>F3031&amp;E3031&amp;G3031&amp;J3031</f>
        <v/>
      </c>
    </row>
    <row r="3032">
      <c r="B3032" s="51" t="n">
        <v>44221</v>
      </c>
      <c r="C3032" s="36">
        <f>TEXT(B3032,"aaa")</f>
        <v/>
      </c>
      <c r="E3032" s="36">
        <f>INDEX(매칭테이블!C:C,MATCH(RD!G3032,매칭테이블!D:D,0))</f>
        <v/>
      </c>
      <c r="F3032" s="39" t="inlineStr">
        <is>
          <t>카페24</t>
        </is>
      </c>
      <c r="G3032" s="39" t="inlineStr">
        <is>
          <t>유즈 솔리드퍼퓸 - 스테이포에버 002쇼핑백=선물용 쇼핑백</t>
        </is>
      </c>
      <c r="H3032" s="39" t="n">
        <v>8</v>
      </c>
      <c r="I3032" s="36">
        <f>VLOOKUP(G3032,매칭테이블!D:E,2,0)</f>
        <v/>
      </c>
      <c r="J3032" s="39" t="n">
        <v>210101</v>
      </c>
      <c r="L3032" s="36">
        <f>VLOOKUP($P3032,매칭테이블!$G:$J,2,0)*H3032</f>
        <v/>
      </c>
      <c r="M3032" s="36">
        <f>L3032-L3032*VLOOKUP($P3032,매칭테이블!$G:$J,3,0)</f>
        <v/>
      </c>
      <c r="N3032" s="36">
        <f>VLOOKUP($P3032,매칭테이블!$G:$J,4,0)*H3032</f>
        <v/>
      </c>
      <c r="O3032" s="52">
        <f>L3032/1.1</f>
        <v/>
      </c>
      <c r="P3032" s="36">
        <f>F3032&amp;E3032&amp;G3032&amp;J3032</f>
        <v/>
      </c>
    </row>
    <row r="3033">
      <c r="B3033" s="51" t="n">
        <v>44221</v>
      </c>
      <c r="C3033" s="36">
        <f>TEXT(B3033,"aaa")</f>
        <v/>
      </c>
      <c r="E3033" s="36">
        <f>INDEX(매칭테이블!C:C,MATCH(RD!G3033,매칭테이블!D:D,0))</f>
        <v/>
      </c>
      <c r="F3033" s="39" t="inlineStr">
        <is>
          <t>카페24</t>
        </is>
      </c>
      <c r="G3033" s="39" t="inlineStr">
        <is>
          <t>유즈 솔리드퍼퓸 - 이그나이트 001제품선택=이그나이트 솔리드퍼퓸 - 30ml</t>
        </is>
      </c>
      <c r="H3033" s="39" t="n">
        <v>11</v>
      </c>
      <c r="I3033" s="36">
        <f>VLOOKUP(G3033,매칭테이블!D:E,2,0)</f>
        <v/>
      </c>
      <c r="J3033" s="39" t="n">
        <v>210101</v>
      </c>
      <c r="L3033" s="36">
        <f>VLOOKUP($P3033,매칭테이블!$G:$J,2,0)*H3033</f>
        <v/>
      </c>
      <c r="M3033" s="36">
        <f>L3033-L3033*VLOOKUP($P3033,매칭테이블!$G:$J,3,0)</f>
        <v/>
      </c>
      <c r="N3033" s="36">
        <f>VLOOKUP($P3033,매칭테이블!$G:$J,4,0)*H3033</f>
        <v/>
      </c>
      <c r="O3033" s="52">
        <f>L3033/1.1</f>
        <v/>
      </c>
      <c r="P3033" s="36">
        <f>F3033&amp;E3033&amp;G3033&amp;J3033</f>
        <v/>
      </c>
    </row>
    <row r="3034">
      <c r="B3034" s="51" t="n">
        <v>44222</v>
      </c>
      <c r="C3034" s="36">
        <f>TEXT(B3034,"aaa")</f>
        <v/>
      </c>
      <c r="E3034" s="36">
        <f>INDEX(매칭테이블!C:C,MATCH(RD!G3034,매칭테이블!D:D,0))</f>
        <v/>
      </c>
      <c r="F3034" s="39" t="inlineStr">
        <is>
          <t>카페24</t>
        </is>
      </c>
      <c r="G3034" s="39" t="inlineStr">
        <is>
          <t>솔리드퍼퓸 스테이포에버 002 30ml</t>
        </is>
      </c>
      <c r="H3034" s="39" t="n">
        <v>1</v>
      </c>
      <c r="I3034" s="36">
        <f>VLOOKUP(G3034,매칭테이블!D:E,2,0)</f>
        <v/>
      </c>
      <c r="J3034" s="39" t="n">
        <v>210101</v>
      </c>
      <c r="L3034" s="36">
        <f>VLOOKUP($P3034,매칭테이블!$G:$J,2,0)*H3034</f>
        <v/>
      </c>
      <c r="M3034" s="36">
        <f>L3034-L3034*VLOOKUP($P3034,매칭테이블!$G:$J,3,0)</f>
        <v/>
      </c>
      <c r="N3034" s="36">
        <f>VLOOKUP($P3034,매칭테이블!$G:$J,4,0)*H3034</f>
        <v/>
      </c>
      <c r="O3034" s="52">
        <f>L3034/1.1</f>
        <v/>
      </c>
      <c r="P3034" s="36">
        <f>F3034&amp;E3034&amp;G3034&amp;J3034</f>
        <v/>
      </c>
    </row>
    <row r="3035">
      <c r="B3035" s="51" t="n">
        <v>44222</v>
      </c>
      <c r="C3035" s="36">
        <f>TEXT(B3035,"aaa")</f>
        <v/>
      </c>
      <c r="E3035" s="36">
        <f>INDEX(매칭테이블!C:C,MATCH(RD!G3035,매칭테이블!D:D,0))</f>
        <v/>
      </c>
      <c r="F3035" s="39" t="inlineStr">
        <is>
          <t>카페24</t>
        </is>
      </c>
      <c r="G3035" s="39" t="inlineStr">
        <is>
          <t>유즈 솔리드퍼퓸 - 30ml향=이그나이트 001 SOLID PERFUME, 세트 선택=1개</t>
        </is>
      </c>
      <c r="H3035" s="39" t="n">
        <v>1</v>
      </c>
      <c r="I3035" s="36">
        <f>VLOOKUP(G3035,매칭테이블!D:E,2,0)</f>
        <v/>
      </c>
      <c r="J3035" s="39" t="n">
        <v>210101</v>
      </c>
      <c r="L3035" s="36">
        <f>VLOOKUP($P3035,매칭테이블!$G:$J,2,0)*H3035</f>
        <v/>
      </c>
      <c r="M3035" s="36">
        <f>L3035-L3035*VLOOKUP($P3035,매칭테이블!$G:$J,3,0)</f>
        <v/>
      </c>
      <c r="N3035" s="36">
        <f>VLOOKUP($P3035,매칭테이블!$G:$J,4,0)*H3035</f>
        <v/>
      </c>
      <c r="O3035" s="52">
        <f>L3035/1.1</f>
        <v/>
      </c>
      <c r="P3035" s="36">
        <f>F3035&amp;E3035&amp;G3035&amp;J3035</f>
        <v/>
      </c>
    </row>
    <row r="3036">
      <c r="B3036" s="51" t="n">
        <v>44222</v>
      </c>
      <c r="C3036" s="36">
        <f>TEXT(B3036,"aaa")</f>
        <v/>
      </c>
      <c r="E3036" s="36">
        <f>INDEX(매칭테이블!C:C,MATCH(RD!G3036,매칭테이블!D:D,0))</f>
        <v/>
      </c>
      <c r="F3036" s="39" t="inlineStr">
        <is>
          <t>카페24</t>
        </is>
      </c>
      <c r="G3036" s="39" t="inlineStr">
        <is>
          <t>유즈 솔리드퍼퓸 - 30ml향=스테이포에버 002 SOLID PERFUME, 세트 선택=1개</t>
        </is>
      </c>
      <c r="H3036" s="39" t="n">
        <v>10</v>
      </c>
      <c r="I3036" s="36">
        <f>VLOOKUP(G3036,매칭테이블!D:E,2,0)</f>
        <v/>
      </c>
      <c r="J3036" s="39" t="n">
        <v>210101</v>
      </c>
      <c r="L3036" s="36">
        <f>VLOOKUP($P3036,매칭테이블!$G:$J,2,0)*H3036</f>
        <v/>
      </c>
      <c r="M3036" s="36">
        <f>L3036-L3036*VLOOKUP($P3036,매칭테이블!$G:$J,3,0)</f>
        <v/>
      </c>
      <c r="N3036" s="36">
        <f>VLOOKUP($P3036,매칭테이블!$G:$J,4,0)*H3036</f>
        <v/>
      </c>
      <c r="O3036" s="52">
        <f>L3036/1.1</f>
        <v/>
      </c>
      <c r="P3036" s="36">
        <f>F3036&amp;E3036&amp;G3036&amp;J3036</f>
        <v/>
      </c>
    </row>
    <row r="3037">
      <c r="B3037" s="51" t="n">
        <v>44222</v>
      </c>
      <c r="C3037" s="36">
        <f>TEXT(B3037,"aaa")</f>
        <v/>
      </c>
      <c r="E3037" s="36">
        <f>INDEX(매칭테이블!C:C,MATCH(RD!G3037,매칭테이블!D:D,0))</f>
        <v/>
      </c>
      <c r="F3037" s="39" t="inlineStr">
        <is>
          <t>카페24</t>
        </is>
      </c>
      <c r="G3037" s="39" t="inlineStr">
        <is>
          <t>유즈 솔리드퍼퓸 - 30ml향=스테이포에버 002 SOLID PERFUME, 세트 선택=best 2개 (28% 할인)</t>
        </is>
      </c>
      <c r="H3037" s="39" t="n">
        <v>7</v>
      </c>
      <c r="I3037" s="36">
        <f>VLOOKUP(G3037,매칭테이블!D:E,2,0)</f>
        <v/>
      </c>
      <c r="J3037" s="39" t="n">
        <v>210101</v>
      </c>
      <c r="L3037" s="36">
        <f>VLOOKUP($P3037,매칭테이블!$G:$J,2,0)*H3037</f>
        <v/>
      </c>
      <c r="M3037" s="36">
        <f>L3037-L3037*VLOOKUP($P3037,매칭테이블!$G:$J,3,0)</f>
        <v/>
      </c>
      <c r="N3037" s="36">
        <f>VLOOKUP($P3037,매칭테이블!$G:$J,4,0)*H3037</f>
        <v/>
      </c>
      <c r="O3037" s="52">
        <f>L3037/1.1</f>
        <v/>
      </c>
      <c r="P3037" s="36">
        <f>F3037&amp;E3037&amp;G3037&amp;J3037</f>
        <v/>
      </c>
    </row>
    <row r="3038">
      <c r="B3038" s="51" t="n">
        <v>44222</v>
      </c>
      <c r="C3038" s="36">
        <f>TEXT(B3038,"aaa")</f>
        <v/>
      </c>
      <c r="E3038" s="36">
        <f>INDEX(매칭테이블!C:C,MATCH(RD!G3038,매칭테이블!D:D,0))</f>
        <v/>
      </c>
      <c r="F3038" s="39" t="inlineStr">
        <is>
          <t>카페24</t>
        </is>
      </c>
      <c r="G3038" s="39" t="inlineStr">
        <is>
          <t>유즈 솔리드퍼퓸 - 30ml향=커플세트(이그나이트 + 스테이포에버), 세트 선택=1 SET</t>
        </is>
      </c>
      <c r="H3038" s="39" t="n">
        <v>11</v>
      </c>
      <c r="I3038" s="36">
        <f>VLOOKUP(G3038,매칭테이블!D:E,2,0)</f>
        <v/>
      </c>
      <c r="J3038" s="39" t="n">
        <v>210101</v>
      </c>
      <c r="L3038" s="36">
        <f>VLOOKUP($P3038,매칭테이블!$G:$J,2,0)*H3038</f>
        <v/>
      </c>
      <c r="M3038" s="36">
        <f>L3038-L3038*VLOOKUP($P3038,매칭테이블!$G:$J,3,0)</f>
        <v/>
      </c>
      <c r="N3038" s="36">
        <f>VLOOKUP($P3038,매칭테이블!$G:$J,4,0)*H3038</f>
        <v/>
      </c>
      <c r="O3038" s="52">
        <f>L3038/1.1</f>
        <v/>
      </c>
      <c r="P3038" s="36">
        <f>F3038&amp;E3038&amp;G3038&amp;J3038</f>
        <v/>
      </c>
    </row>
    <row r="3039">
      <c r="B3039" s="51" t="n">
        <v>44222</v>
      </c>
      <c r="C3039" s="36">
        <f>TEXT(B3039,"aaa")</f>
        <v/>
      </c>
      <c r="E3039" s="36">
        <f>INDEX(매칭테이블!C:C,MATCH(RD!G3039,매칭테이블!D:D,0))</f>
        <v/>
      </c>
      <c r="F3039" s="39" t="inlineStr">
        <is>
          <t>카페24</t>
        </is>
      </c>
      <c r="G3039" s="39" t="inlineStr">
        <is>
          <t>유즈 솔리드퍼퓸 - 30ml향=커플세트(이그나이트 + 스테이포에버), 세트 선택=2 SET (42% 할인)</t>
        </is>
      </c>
      <c r="H3039" s="39" t="n">
        <v>2</v>
      </c>
      <c r="I3039" s="36">
        <f>VLOOKUP(G3039,매칭테이블!D:E,2,0)</f>
        <v/>
      </c>
      <c r="J3039" s="39" t="n">
        <v>210101</v>
      </c>
      <c r="L3039" s="36">
        <f>VLOOKUP($P3039,매칭테이블!$G:$J,2,0)*H3039</f>
        <v/>
      </c>
      <c r="M3039" s="36">
        <f>L3039-L3039*VLOOKUP($P3039,매칭테이블!$G:$J,3,0)</f>
        <v/>
      </c>
      <c r="N3039" s="36">
        <f>VLOOKUP($P3039,매칭테이블!$G:$J,4,0)*H3039</f>
        <v/>
      </c>
      <c r="O3039" s="52">
        <f>L3039/1.1</f>
        <v/>
      </c>
      <c r="P3039" s="36">
        <f>F3039&amp;E3039&amp;G3039&amp;J3039</f>
        <v/>
      </c>
    </row>
    <row r="3040">
      <c r="B3040" s="51" t="n">
        <v>44222</v>
      </c>
      <c r="C3040" s="36">
        <f>TEXT(B3040,"aaa")</f>
        <v/>
      </c>
      <c r="E3040" s="36">
        <f>INDEX(매칭테이블!C:C,MATCH(RD!G3040,매칭테이블!D:D,0))</f>
        <v/>
      </c>
      <c r="F3040" s="39" t="inlineStr">
        <is>
          <t>카페24</t>
        </is>
      </c>
      <c r="G3040" s="39" t="inlineStr">
        <is>
          <t>유즈 솔리드퍼퓸 - 스테이포에버 002제품선택=스테이포에버 1개</t>
        </is>
      </c>
      <c r="H3040" s="39" t="n">
        <v>224</v>
      </c>
      <c r="I3040" s="36">
        <f>VLOOKUP(G3040,매칭테이블!D:E,2,0)</f>
        <v/>
      </c>
      <c r="J3040" s="39" t="n">
        <v>210101</v>
      </c>
      <c r="L3040" s="36">
        <f>VLOOKUP($P3040,매칭테이블!$G:$J,2,0)*H3040</f>
        <v/>
      </c>
      <c r="M3040" s="36">
        <f>L3040-L3040*VLOOKUP($P3040,매칭테이블!$G:$J,3,0)</f>
        <v/>
      </c>
      <c r="N3040" s="36">
        <f>VLOOKUP($P3040,매칭테이블!$G:$J,4,0)*H3040</f>
        <v/>
      </c>
      <c r="O3040" s="52">
        <f>L3040/1.1</f>
        <v/>
      </c>
      <c r="P3040" s="36">
        <f>F3040&amp;E3040&amp;G3040&amp;J3040</f>
        <v/>
      </c>
    </row>
    <row r="3041">
      <c r="B3041" s="51" t="n">
        <v>44222</v>
      </c>
      <c r="C3041" s="36">
        <f>TEXT(B3041,"aaa")</f>
        <v/>
      </c>
      <c r="E3041" s="36">
        <f>INDEX(매칭테이블!C:C,MATCH(RD!G3041,매칭테이블!D:D,0))</f>
        <v/>
      </c>
      <c r="F3041" s="39" t="inlineStr">
        <is>
          <t>카페24</t>
        </is>
      </c>
      <c r="G3041" s="39" t="inlineStr">
        <is>
          <t>유즈 솔리드퍼퓸 - 스테이포에버 002제품선택=best스테이포에버 2개[28% 할인]</t>
        </is>
      </c>
      <c r="H3041" s="39" t="n">
        <v>123</v>
      </c>
      <c r="I3041" s="36">
        <f>VLOOKUP(G3041,매칭테이블!D:E,2,0)</f>
        <v/>
      </c>
      <c r="J3041" s="39" t="n">
        <v>210101</v>
      </c>
      <c r="L3041" s="36">
        <f>VLOOKUP($P3041,매칭테이블!$G:$J,2,0)*H3041</f>
        <v/>
      </c>
      <c r="M3041" s="36">
        <f>L3041-L3041*VLOOKUP($P3041,매칭테이블!$G:$J,3,0)</f>
        <v/>
      </c>
      <c r="N3041" s="36">
        <f>VLOOKUP($P3041,매칭테이블!$G:$J,4,0)*H3041</f>
        <v/>
      </c>
      <c r="O3041" s="52">
        <f>L3041/1.1</f>
        <v/>
      </c>
      <c r="P3041" s="36">
        <f>F3041&amp;E3041&amp;G3041&amp;J3041</f>
        <v/>
      </c>
    </row>
    <row r="3042">
      <c r="B3042" s="51" t="n">
        <v>44222</v>
      </c>
      <c r="C3042" s="36">
        <f>TEXT(B3042,"aaa")</f>
        <v/>
      </c>
      <c r="E3042" s="36">
        <f>INDEX(매칭테이블!C:C,MATCH(RD!G3042,매칭테이블!D:D,0))</f>
        <v/>
      </c>
      <c r="F3042" s="39" t="inlineStr">
        <is>
          <t>카페24</t>
        </is>
      </c>
      <c r="G3042" s="39" t="inlineStr">
        <is>
          <t>유즈 솔리드퍼퓸 - 스테이포에버 002제품선택=커플추천스테이포에버 + 이그나이트 세트</t>
        </is>
      </c>
      <c r="H3042" s="39" t="n">
        <v>18</v>
      </c>
      <c r="I3042" s="36">
        <f>VLOOKUP(G3042,매칭테이블!D:E,2,0)</f>
        <v/>
      </c>
      <c r="J3042" s="39" t="n">
        <v>210101</v>
      </c>
      <c r="L3042" s="36">
        <f>VLOOKUP($P3042,매칭테이블!$G:$J,2,0)*H3042</f>
        <v/>
      </c>
      <c r="M3042" s="36">
        <f>L3042-L3042*VLOOKUP($P3042,매칭테이블!$G:$J,3,0)</f>
        <v/>
      </c>
      <c r="N3042" s="36">
        <f>VLOOKUP($P3042,매칭테이블!$G:$J,4,0)*H3042</f>
        <v/>
      </c>
      <c r="O3042" s="52">
        <f>L3042/1.1</f>
        <v/>
      </c>
      <c r="P3042" s="36">
        <f>F3042&amp;E3042&amp;G3042&amp;J3042</f>
        <v/>
      </c>
    </row>
    <row r="3043">
      <c r="B3043" s="51" t="n">
        <v>44222</v>
      </c>
      <c r="C3043" s="36">
        <f>TEXT(B3043,"aaa")</f>
        <v/>
      </c>
      <c r="E3043" s="36">
        <f>INDEX(매칭테이블!C:C,MATCH(RD!G3043,매칭테이블!D:D,0))</f>
        <v/>
      </c>
      <c r="F3043" s="39" t="inlineStr">
        <is>
          <t>카페24</t>
        </is>
      </c>
      <c r="G3043" s="39" t="inlineStr">
        <is>
          <t>유즈 솔리드퍼퓸 - 스테이포에버 002쇼핑백=선물용 쇼핑백</t>
        </is>
      </c>
      <c r="H3043" s="39" t="n">
        <v>13</v>
      </c>
      <c r="I3043" s="36">
        <f>VLOOKUP(G3043,매칭테이블!D:E,2,0)</f>
        <v/>
      </c>
      <c r="J3043" s="39" t="n">
        <v>210101</v>
      </c>
      <c r="L3043" s="36">
        <f>VLOOKUP($P3043,매칭테이블!$G:$J,2,0)*H3043</f>
        <v/>
      </c>
      <c r="M3043" s="36">
        <f>L3043-L3043*VLOOKUP($P3043,매칭테이블!$G:$J,3,0)</f>
        <v/>
      </c>
      <c r="N3043" s="36">
        <f>VLOOKUP($P3043,매칭테이블!$G:$J,4,0)*H3043</f>
        <v/>
      </c>
      <c r="O3043" s="52">
        <f>L3043/1.1</f>
        <v/>
      </c>
      <c r="P3043" s="36">
        <f>F3043&amp;E3043&amp;G3043&amp;J3043</f>
        <v/>
      </c>
    </row>
    <row r="3044">
      <c r="B3044" s="51" t="n">
        <v>44222</v>
      </c>
      <c r="C3044" s="36">
        <f>TEXT(B3044,"aaa")</f>
        <v/>
      </c>
      <c r="E3044" s="36">
        <f>INDEX(매칭테이블!C:C,MATCH(RD!G3044,매칭테이블!D:D,0))</f>
        <v/>
      </c>
      <c r="F3044" s="39" t="inlineStr">
        <is>
          <t>카페24</t>
        </is>
      </c>
      <c r="G3044" s="39" t="inlineStr">
        <is>
          <t>유즈 솔리드퍼퓸 - 이그나이트 001제품선택=이그나이트 솔리드퍼퓸 - 30ml</t>
        </is>
      </c>
      <c r="H3044" s="39" t="n">
        <v>3</v>
      </c>
      <c r="I3044" s="36">
        <f>VLOOKUP(G3044,매칭테이블!D:E,2,0)</f>
        <v/>
      </c>
      <c r="J3044" s="39" t="n">
        <v>210101</v>
      </c>
      <c r="L3044" s="36">
        <f>VLOOKUP($P3044,매칭테이블!$G:$J,2,0)*H3044</f>
        <v/>
      </c>
      <c r="M3044" s="36">
        <f>L3044-L3044*VLOOKUP($P3044,매칭테이블!$G:$J,3,0)</f>
        <v/>
      </c>
      <c r="N3044" s="36">
        <f>VLOOKUP($P3044,매칭테이블!$G:$J,4,0)*H3044</f>
        <v/>
      </c>
      <c r="O3044" s="52">
        <f>L3044/1.1</f>
        <v/>
      </c>
      <c r="P3044" s="36">
        <f>F3044&amp;E3044&amp;G3044&amp;J3044</f>
        <v/>
      </c>
    </row>
    <row r="3045">
      <c r="B3045" s="51" t="n">
        <v>44223</v>
      </c>
      <c r="C3045" s="36">
        <f>TEXT(B3045,"aaa")</f>
        <v/>
      </c>
      <c r="E3045" s="36">
        <f>INDEX(매칭테이블!C:C,MATCH(RD!G3045,매칭테이블!D:D,0))</f>
        <v/>
      </c>
      <c r="F3045" s="39" t="inlineStr">
        <is>
          <t>카페24</t>
        </is>
      </c>
      <c r="G3045" s="39" t="inlineStr">
        <is>
          <t>유즈 솔리드퍼퓸 - 30ml향=이그나이트 001 SOLID PERFUME, 세트 선택=best 2개 (28% 할인)</t>
        </is>
      </c>
      <c r="H3045" s="39" t="n">
        <v>1</v>
      </c>
      <c r="I3045" s="36">
        <f>VLOOKUP(G3045,매칭테이블!D:E,2,0)</f>
        <v/>
      </c>
      <c r="J3045" s="39" t="n">
        <v>210101</v>
      </c>
      <c r="L3045" s="36">
        <f>VLOOKUP($P3045,매칭테이블!$G:$J,2,0)*H3045</f>
        <v/>
      </c>
      <c r="M3045" s="36">
        <f>L3045-L3045*VLOOKUP($P3045,매칭테이블!$G:$J,3,0)</f>
        <v/>
      </c>
      <c r="N3045" s="36">
        <f>VLOOKUP($P3045,매칭테이블!$G:$J,4,0)*H3045</f>
        <v/>
      </c>
      <c r="O3045" s="52">
        <f>L3045/1.1</f>
        <v/>
      </c>
      <c r="P3045" s="36">
        <f>F3045&amp;E3045&amp;G3045&amp;J3045</f>
        <v/>
      </c>
    </row>
    <row r="3046">
      <c r="B3046" s="51" t="n">
        <v>44223</v>
      </c>
      <c r="C3046" s="36">
        <f>TEXT(B3046,"aaa")</f>
        <v/>
      </c>
      <c r="E3046" s="36">
        <f>INDEX(매칭테이블!C:C,MATCH(RD!G3046,매칭테이블!D:D,0))</f>
        <v/>
      </c>
      <c r="F3046" s="39" t="inlineStr">
        <is>
          <t>카페24</t>
        </is>
      </c>
      <c r="G3046" s="39" t="inlineStr">
        <is>
          <t>유즈 솔리드퍼퓸 - 30ml향=스테이포에버 002 SOLID PERFUME, 세트 선택=1개</t>
        </is>
      </c>
      <c r="H3046" s="39" t="n">
        <v>9</v>
      </c>
      <c r="I3046" s="36">
        <f>VLOOKUP(G3046,매칭테이블!D:E,2,0)</f>
        <v/>
      </c>
      <c r="J3046" s="39" t="n">
        <v>210101</v>
      </c>
      <c r="L3046" s="36">
        <f>VLOOKUP($P3046,매칭테이블!$G:$J,2,0)*H3046</f>
        <v/>
      </c>
      <c r="M3046" s="36">
        <f>L3046-L3046*VLOOKUP($P3046,매칭테이블!$G:$J,3,0)</f>
        <v/>
      </c>
      <c r="N3046" s="36">
        <f>VLOOKUP($P3046,매칭테이블!$G:$J,4,0)*H3046</f>
        <v/>
      </c>
      <c r="O3046" s="52">
        <f>L3046/1.1</f>
        <v/>
      </c>
      <c r="P3046" s="36">
        <f>F3046&amp;E3046&amp;G3046&amp;J3046</f>
        <v/>
      </c>
    </row>
    <row r="3047">
      <c r="B3047" s="51" t="n">
        <v>44223</v>
      </c>
      <c r="C3047" s="36">
        <f>TEXT(B3047,"aaa")</f>
        <v/>
      </c>
      <c r="E3047" s="36">
        <f>INDEX(매칭테이블!C:C,MATCH(RD!G3047,매칭테이블!D:D,0))</f>
        <v/>
      </c>
      <c r="F3047" s="39" t="inlineStr">
        <is>
          <t>카페24</t>
        </is>
      </c>
      <c r="G3047" s="39" t="inlineStr">
        <is>
          <t>유즈 솔리드퍼퓸 - 30ml향=스테이포에버 002 SOLID PERFUME, 세트 선택=best 2개 (28% 할인)</t>
        </is>
      </c>
      <c r="H3047" s="39" t="n">
        <v>5</v>
      </c>
      <c r="I3047" s="36">
        <f>VLOOKUP(G3047,매칭테이블!D:E,2,0)</f>
        <v/>
      </c>
      <c r="J3047" s="39" t="n">
        <v>210101</v>
      </c>
      <c r="L3047" s="36">
        <f>VLOOKUP($P3047,매칭테이블!$G:$J,2,0)*H3047</f>
        <v/>
      </c>
      <c r="M3047" s="36">
        <f>L3047-L3047*VLOOKUP($P3047,매칭테이블!$G:$J,3,0)</f>
        <v/>
      </c>
      <c r="N3047" s="36">
        <f>VLOOKUP($P3047,매칭테이블!$G:$J,4,0)*H3047</f>
        <v/>
      </c>
      <c r="O3047" s="52">
        <f>L3047/1.1</f>
        <v/>
      </c>
      <c r="P3047" s="36">
        <f>F3047&amp;E3047&amp;G3047&amp;J3047</f>
        <v/>
      </c>
    </row>
    <row r="3048">
      <c r="B3048" s="51" t="n">
        <v>44223</v>
      </c>
      <c r="C3048" s="36">
        <f>TEXT(B3048,"aaa")</f>
        <v/>
      </c>
      <c r="E3048" s="36">
        <f>INDEX(매칭테이블!C:C,MATCH(RD!G3048,매칭테이블!D:D,0))</f>
        <v/>
      </c>
      <c r="F3048" s="39" t="inlineStr">
        <is>
          <t>카페24</t>
        </is>
      </c>
      <c r="G3048" s="39" t="inlineStr">
        <is>
          <t>유즈 솔리드퍼퓸 - 30ml향=커플세트(이그나이트 + 스테이포에버), 세트 선택=1 SET</t>
        </is>
      </c>
      <c r="H3048" s="39" t="n">
        <v>8</v>
      </c>
      <c r="I3048" s="36">
        <f>VLOOKUP(G3048,매칭테이블!D:E,2,0)</f>
        <v/>
      </c>
      <c r="J3048" s="39" t="n">
        <v>210101</v>
      </c>
      <c r="L3048" s="36">
        <f>VLOOKUP($P3048,매칭테이블!$G:$J,2,0)*H3048</f>
        <v/>
      </c>
      <c r="M3048" s="36">
        <f>L3048-L3048*VLOOKUP($P3048,매칭테이블!$G:$J,3,0)</f>
        <v/>
      </c>
      <c r="N3048" s="36">
        <f>VLOOKUP($P3048,매칭테이블!$G:$J,4,0)*H3048</f>
        <v/>
      </c>
      <c r="O3048" s="52">
        <f>L3048/1.1</f>
        <v/>
      </c>
      <c r="P3048" s="36">
        <f>F3048&amp;E3048&amp;G3048&amp;J3048</f>
        <v/>
      </c>
    </row>
    <row r="3049">
      <c r="B3049" s="51" t="n">
        <v>44223</v>
      </c>
      <c r="C3049" s="36">
        <f>TEXT(B3049,"aaa")</f>
        <v/>
      </c>
      <c r="E3049" s="36">
        <f>INDEX(매칭테이블!C:C,MATCH(RD!G3049,매칭테이블!D:D,0))</f>
        <v/>
      </c>
      <c r="F3049" s="39" t="inlineStr">
        <is>
          <t>카페24</t>
        </is>
      </c>
      <c r="G3049" s="39" t="inlineStr">
        <is>
          <t>유즈 솔리드퍼퓸 - 30ml향=커플세트(이그나이트 + 스테이포에버), 세트 선택=2 SET (42% 할인)</t>
        </is>
      </c>
      <c r="H3049" s="39" t="n">
        <v>2</v>
      </c>
      <c r="I3049" s="36">
        <f>VLOOKUP(G3049,매칭테이블!D:E,2,0)</f>
        <v/>
      </c>
      <c r="J3049" s="39" t="n">
        <v>210101</v>
      </c>
      <c r="L3049" s="36">
        <f>VLOOKUP($P3049,매칭테이블!$G:$J,2,0)*H3049</f>
        <v/>
      </c>
      <c r="M3049" s="36">
        <f>L3049-L3049*VLOOKUP($P3049,매칭테이블!$G:$J,3,0)</f>
        <v/>
      </c>
      <c r="N3049" s="36">
        <f>VLOOKUP($P3049,매칭테이블!$G:$J,4,0)*H3049</f>
        <v/>
      </c>
      <c r="O3049" s="52">
        <f>L3049/1.1</f>
        <v/>
      </c>
      <c r="P3049" s="36">
        <f>F3049&amp;E3049&amp;G3049&amp;J3049</f>
        <v/>
      </c>
    </row>
    <row r="3050">
      <c r="B3050" s="51" t="n">
        <v>44223</v>
      </c>
      <c r="C3050" s="36">
        <f>TEXT(B3050,"aaa")</f>
        <v/>
      </c>
      <c r="E3050" s="36">
        <f>INDEX(매칭테이블!C:C,MATCH(RD!G3050,매칭테이블!D:D,0))</f>
        <v/>
      </c>
      <c r="F3050" s="39" t="inlineStr">
        <is>
          <t>카페24</t>
        </is>
      </c>
      <c r="G3050" s="39" t="inlineStr">
        <is>
          <t>유즈 솔리드퍼퓸 - 스테이포에버 002제품선택=스테이포에버 1개</t>
        </is>
      </c>
      <c r="H3050" s="39" t="n">
        <v>274</v>
      </c>
      <c r="I3050" s="36">
        <f>VLOOKUP(G3050,매칭테이블!D:E,2,0)</f>
        <v/>
      </c>
      <c r="J3050" s="39" t="n">
        <v>210101</v>
      </c>
      <c r="L3050" s="36">
        <f>VLOOKUP($P3050,매칭테이블!$G:$J,2,0)*H3050</f>
        <v/>
      </c>
      <c r="M3050" s="36">
        <f>L3050-L3050*VLOOKUP($P3050,매칭테이블!$G:$J,3,0)</f>
        <v/>
      </c>
      <c r="N3050" s="36">
        <f>VLOOKUP($P3050,매칭테이블!$G:$J,4,0)*H3050</f>
        <v/>
      </c>
      <c r="O3050" s="52">
        <f>L3050/1.1</f>
        <v/>
      </c>
      <c r="P3050" s="36">
        <f>F3050&amp;E3050&amp;G3050&amp;J3050</f>
        <v/>
      </c>
    </row>
    <row r="3051">
      <c r="B3051" s="51" t="n">
        <v>44223</v>
      </c>
      <c r="C3051" s="36">
        <f>TEXT(B3051,"aaa")</f>
        <v/>
      </c>
      <c r="E3051" s="36">
        <f>INDEX(매칭테이블!C:C,MATCH(RD!G3051,매칭테이블!D:D,0))</f>
        <v/>
      </c>
      <c r="F3051" s="39" t="inlineStr">
        <is>
          <t>카페24</t>
        </is>
      </c>
      <c r="G3051" s="39" t="inlineStr">
        <is>
          <t>유즈 솔리드퍼퓸 - 스테이포에버 002제품선택=best스테이포에버 2개[28% 할인]</t>
        </is>
      </c>
      <c r="H3051" s="39" t="n">
        <v>138</v>
      </c>
      <c r="I3051" s="36">
        <f>VLOOKUP(G3051,매칭테이블!D:E,2,0)</f>
        <v/>
      </c>
      <c r="J3051" s="39" t="n">
        <v>210101</v>
      </c>
      <c r="L3051" s="36">
        <f>VLOOKUP($P3051,매칭테이블!$G:$J,2,0)*H3051</f>
        <v/>
      </c>
      <c r="M3051" s="36">
        <f>L3051-L3051*VLOOKUP($P3051,매칭테이블!$G:$J,3,0)</f>
        <v/>
      </c>
      <c r="N3051" s="36">
        <f>VLOOKUP($P3051,매칭테이블!$G:$J,4,0)*H3051</f>
        <v/>
      </c>
      <c r="O3051" s="52">
        <f>L3051/1.1</f>
        <v/>
      </c>
      <c r="P3051" s="36">
        <f>F3051&amp;E3051&amp;G3051&amp;J3051</f>
        <v/>
      </c>
    </row>
    <row r="3052">
      <c r="B3052" s="51" t="n">
        <v>44223</v>
      </c>
      <c r="C3052" s="36">
        <f>TEXT(B3052,"aaa")</f>
        <v/>
      </c>
      <c r="E3052" s="36">
        <f>INDEX(매칭테이블!C:C,MATCH(RD!G3052,매칭테이블!D:D,0))</f>
        <v/>
      </c>
      <c r="F3052" s="39" t="inlineStr">
        <is>
          <t>카페24</t>
        </is>
      </c>
      <c r="G3052" s="39" t="inlineStr">
        <is>
          <t>유즈 솔리드퍼퓸 - 스테이포에버 002제품선택=커플추천스테이포에버 + 이그나이트 세트</t>
        </is>
      </c>
      <c r="H3052" s="39" t="n">
        <v>17</v>
      </c>
      <c r="I3052" s="36">
        <f>VLOOKUP(G3052,매칭테이블!D:E,2,0)</f>
        <v/>
      </c>
      <c r="J3052" s="39" t="n">
        <v>210101</v>
      </c>
      <c r="L3052" s="36">
        <f>VLOOKUP($P3052,매칭테이블!$G:$J,2,0)*H3052</f>
        <v/>
      </c>
      <c r="M3052" s="36">
        <f>L3052-L3052*VLOOKUP($P3052,매칭테이블!$G:$J,3,0)</f>
        <v/>
      </c>
      <c r="N3052" s="36">
        <f>VLOOKUP($P3052,매칭테이블!$G:$J,4,0)*H3052</f>
        <v/>
      </c>
      <c r="O3052" s="52">
        <f>L3052/1.1</f>
        <v/>
      </c>
      <c r="P3052" s="36">
        <f>F3052&amp;E3052&amp;G3052&amp;J3052</f>
        <v/>
      </c>
    </row>
    <row r="3053">
      <c r="B3053" s="51" t="n">
        <v>44223</v>
      </c>
      <c r="C3053" s="36">
        <f>TEXT(B3053,"aaa")</f>
        <v/>
      </c>
      <c r="E3053" s="36">
        <f>INDEX(매칭테이블!C:C,MATCH(RD!G3053,매칭테이블!D:D,0))</f>
        <v/>
      </c>
      <c r="F3053" s="39" t="inlineStr">
        <is>
          <t>카페24</t>
        </is>
      </c>
      <c r="G3053" s="39" t="inlineStr">
        <is>
          <t>유즈 솔리드퍼퓸 - 스테이포에버 002쇼핑백=선물용 쇼핑백</t>
        </is>
      </c>
      <c r="H3053" s="39" t="n">
        <v>10</v>
      </c>
      <c r="I3053" s="36">
        <f>VLOOKUP(G3053,매칭테이블!D:E,2,0)</f>
        <v/>
      </c>
      <c r="J3053" s="39" t="n">
        <v>210101</v>
      </c>
      <c r="L3053" s="36">
        <f>VLOOKUP($P3053,매칭테이블!$G:$J,2,0)*H3053</f>
        <v/>
      </c>
      <c r="M3053" s="36">
        <f>L3053-L3053*VLOOKUP($P3053,매칭테이블!$G:$J,3,0)</f>
        <v/>
      </c>
      <c r="N3053" s="36">
        <f>VLOOKUP($P3053,매칭테이블!$G:$J,4,0)*H3053</f>
        <v/>
      </c>
      <c r="O3053" s="52">
        <f>L3053/1.1</f>
        <v/>
      </c>
      <c r="P3053" s="36">
        <f>F3053&amp;E3053&amp;G3053&amp;J3053</f>
        <v/>
      </c>
    </row>
    <row r="3054">
      <c r="B3054" s="51" t="n">
        <v>44223</v>
      </c>
      <c r="C3054" s="36">
        <f>TEXT(B3054,"aaa")</f>
        <v/>
      </c>
      <c r="E3054" s="36">
        <f>INDEX(매칭테이블!C:C,MATCH(RD!G3054,매칭테이블!D:D,0))</f>
        <v/>
      </c>
      <c r="F3054" s="39" t="inlineStr">
        <is>
          <t>카페24</t>
        </is>
      </c>
      <c r="G3054" s="39" t="inlineStr">
        <is>
          <t>유즈 솔리드퍼퓸 - 이그나이트 001제품선택=이그나이트 솔리드퍼퓸 - 30ml</t>
        </is>
      </c>
      <c r="H3054" s="39" t="n">
        <v>1</v>
      </c>
      <c r="I3054" s="36">
        <f>VLOOKUP(G3054,매칭테이블!D:E,2,0)</f>
        <v/>
      </c>
      <c r="J3054" s="39" t="n">
        <v>210101</v>
      </c>
      <c r="L3054" s="36">
        <f>VLOOKUP($P3054,매칭테이블!$G:$J,2,0)*H3054</f>
        <v/>
      </c>
      <c r="M3054" s="36">
        <f>L3054-L3054*VLOOKUP($P3054,매칭테이블!$G:$J,3,0)</f>
        <v/>
      </c>
      <c r="N3054" s="36">
        <f>VLOOKUP($P3054,매칭테이블!$G:$J,4,0)*H3054</f>
        <v/>
      </c>
      <c r="O3054" s="52">
        <f>L3054/1.1</f>
        <v/>
      </c>
      <c r="P3054" s="36">
        <f>F3054&amp;E3054&amp;G3054&amp;J3054</f>
        <v/>
      </c>
    </row>
    <row r="3055">
      <c r="B3055" s="51" t="n">
        <v>44223</v>
      </c>
      <c r="C3055" s="36">
        <f>TEXT(B3055,"aaa")</f>
        <v/>
      </c>
      <c r="E3055" s="36">
        <f>INDEX(매칭테이블!C:C,MATCH(RD!G3055,매칭테이블!D:D,0))</f>
        <v/>
      </c>
      <c r="F3055" s="39" t="inlineStr">
        <is>
          <t>카페24</t>
        </is>
      </c>
      <c r="G3055" s="39" t="inlineStr">
        <is>
          <t>유즈 솔리드퍼퓸 - 이그나이트 001제품선택=이그나이트 2개 세트</t>
        </is>
      </c>
      <c r="H3055" s="39" t="n">
        <v>1</v>
      </c>
      <c r="I3055" s="36">
        <f>VLOOKUP(G3055,매칭테이블!D:E,2,0)</f>
        <v/>
      </c>
      <c r="J3055" s="39" t="n">
        <v>210101</v>
      </c>
      <c r="L3055" s="36">
        <f>VLOOKUP($P3055,매칭테이블!$G:$J,2,0)*H3055</f>
        <v/>
      </c>
      <c r="M3055" s="36">
        <f>L3055-L3055*VLOOKUP($P3055,매칭테이블!$G:$J,3,0)</f>
        <v/>
      </c>
      <c r="N3055" s="36">
        <f>VLOOKUP($P3055,매칭테이블!$G:$J,4,0)*H3055</f>
        <v/>
      </c>
      <c r="O3055" s="52">
        <f>L3055/1.1</f>
        <v/>
      </c>
      <c r="P3055" s="36">
        <f>F3055&amp;E3055&amp;G3055&amp;J3055</f>
        <v/>
      </c>
    </row>
    <row r="3056">
      <c r="B3056" s="51" t="n">
        <v>44224</v>
      </c>
      <c r="C3056" s="36">
        <f>TEXT(B3056,"aaa")</f>
        <v/>
      </c>
      <c r="E3056" s="36">
        <f>INDEX(매칭테이블!C:C,MATCH(RD!G3056,매칭테이블!D:D,0))</f>
        <v/>
      </c>
      <c r="F3056" s="39" t="inlineStr">
        <is>
          <t>카페24</t>
        </is>
      </c>
      <c r="G3056" s="39" t="inlineStr">
        <is>
          <t>솔리드퍼퓸 세트향=이그나이트 001 SOLID PERFUME, 세트 선택=1개</t>
        </is>
      </c>
      <c r="H3056" s="39" t="n">
        <v>1</v>
      </c>
      <c r="I3056" s="36">
        <f>VLOOKUP(G3056,매칭테이블!D:E,2,0)</f>
        <v/>
      </c>
      <c r="J3056" s="39" t="n">
        <v>210101</v>
      </c>
      <c r="L3056" s="36">
        <f>VLOOKUP($P3056,매칭테이블!$G:$J,2,0)*H3056</f>
        <v/>
      </c>
      <c r="M3056" s="36">
        <f>L3056-L3056*VLOOKUP($P3056,매칭테이블!$G:$J,3,0)</f>
        <v/>
      </c>
      <c r="N3056" s="36">
        <f>VLOOKUP($P3056,매칭테이블!$G:$J,4,0)*H3056</f>
        <v/>
      </c>
      <c r="O3056" s="52">
        <f>L3056/1.1</f>
        <v/>
      </c>
      <c r="P3056" s="36">
        <f>F3056&amp;E3056&amp;G3056&amp;J3056</f>
        <v/>
      </c>
    </row>
    <row r="3057">
      <c r="B3057" s="51" t="n">
        <v>44224</v>
      </c>
      <c r="C3057" s="36">
        <f>TEXT(B3057,"aaa")</f>
        <v/>
      </c>
      <c r="E3057" s="36">
        <f>INDEX(매칭테이블!C:C,MATCH(RD!G3057,매칭테이블!D:D,0))</f>
        <v/>
      </c>
      <c r="F3057" s="39" t="inlineStr">
        <is>
          <t>카페24</t>
        </is>
      </c>
      <c r="G3057" s="39" t="inlineStr">
        <is>
          <t>솔리드퍼퓸 세트향=스테이포에버 002 SOLID PERFUME, 세트 선택=1개</t>
        </is>
      </c>
      <c r="H3057" s="39" t="n">
        <v>9</v>
      </c>
      <c r="I3057" s="36">
        <f>VLOOKUP(G3057,매칭테이블!D:E,2,0)</f>
        <v/>
      </c>
      <c r="J3057" s="39" t="n">
        <v>210101</v>
      </c>
      <c r="L3057" s="36">
        <f>VLOOKUP($P3057,매칭테이블!$G:$J,2,0)*H3057</f>
        <v/>
      </c>
      <c r="M3057" s="36">
        <f>L3057-L3057*VLOOKUP($P3057,매칭테이블!$G:$J,3,0)</f>
        <v/>
      </c>
      <c r="N3057" s="36">
        <f>VLOOKUP($P3057,매칭테이블!$G:$J,4,0)*H3057</f>
        <v/>
      </c>
      <c r="O3057" s="52">
        <f>L3057/1.1</f>
        <v/>
      </c>
      <c r="P3057" s="36">
        <f>F3057&amp;E3057&amp;G3057&amp;J3057</f>
        <v/>
      </c>
    </row>
    <row r="3058">
      <c r="B3058" s="51" t="n">
        <v>44224</v>
      </c>
      <c r="C3058" s="36">
        <f>TEXT(B3058,"aaa")</f>
        <v/>
      </c>
      <c r="E3058" s="36">
        <f>INDEX(매칭테이블!C:C,MATCH(RD!G3058,매칭테이블!D:D,0))</f>
        <v/>
      </c>
      <c r="F3058" s="39" t="inlineStr">
        <is>
          <t>카페24</t>
        </is>
      </c>
      <c r="G3058" s="39" t="inlineStr">
        <is>
          <t>솔리드퍼퓸 세트향=스테이포에버 002 SOLID PERFUME, 세트 선택=best 2개 (28% 할인)</t>
        </is>
      </c>
      <c r="H3058" s="39" t="n">
        <v>4</v>
      </c>
      <c r="I3058" s="36">
        <f>VLOOKUP(G3058,매칭테이블!D:E,2,0)</f>
        <v/>
      </c>
      <c r="J3058" s="39" t="n">
        <v>210101</v>
      </c>
      <c r="L3058" s="36">
        <f>VLOOKUP($P3058,매칭테이블!$G:$J,2,0)*H3058</f>
        <v/>
      </c>
      <c r="M3058" s="36">
        <f>L3058-L3058*VLOOKUP($P3058,매칭테이블!$G:$J,3,0)</f>
        <v/>
      </c>
      <c r="N3058" s="36">
        <f>VLOOKUP($P3058,매칭테이블!$G:$J,4,0)*H3058</f>
        <v/>
      </c>
      <c r="O3058" s="52">
        <f>L3058/1.1</f>
        <v/>
      </c>
      <c r="P3058" s="36">
        <f>F3058&amp;E3058&amp;G3058&amp;J3058</f>
        <v/>
      </c>
    </row>
    <row r="3059">
      <c r="B3059" s="51" t="n">
        <v>44224</v>
      </c>
      <c r="C3059" s="36">
        <f>TEXT(B3059,"aaa")</f>
        <v/>
      </c>
      <c r="E3059" s="36">
        <f>INDEX(매칭테이블!C:C,MATCH(RD!G3059,매칭테이블!D:D,0))</f>
        <v/>
      </c>
      <c r="F3059" s="39" t="inlineStr">
        <is>
          <t>카페24</t>
        </is>
      </c>
      <c r="G3059" s="39" t="inlineStr">
        <is>
          <t>솔리드퍼퓸 세트향=커플세트(이그나이트 + 스테이포에버), 세트 선택=1 SET</t>
        </is>
      </c>
      <c r="H3059" s="39" t="n">
        <v>12</v>
      </c>
      <c r="I3059" s="36">
        <f>VLOOKUP(G3059,매칭테이블!D:E,2,0)</f>
        <v/>
      </c>
      <c r="J3059" s="39" t="n">
        <v>210101</v>
      </c>
      <c r="L3059" s="36">
        <f>VLOOKUP($P3059,매칭테이블!$G:$J,2,0)*H3059</f>
        <v/>
      </c>
      <c r="M3059" s="36">
        <f>L3059-L3059*VLOOKUP($P3059,매칭테이블!$G:$J,3,0)</f>
        <v/>
      </c>
      <c r="N3059" s="36">
        <f>VLOOKUP($P3059,매칭테이블!$G:$J,4,0)*H3059</f>
        <v/>
      </c>
      <c r="O3059" s="52">
        <f>L3059/1.1</f>
        <v/>
      </c>
      <c r="P3059" s="36">
        <f>F3059&amp;E3059&amp;G3059&amp;J3059</f>
        <v/>
      </c>
    </row>
    <row r="3060">
      <c r="B3060" s="51" t="n">
        <v>44224</v>
      </c>
      <c r="C3060" s="36">
        <f>TEXT(B3060,"aaa")</f>
        <v/>
      </c>
      <c r="E3060" s="36">
        <f>INDEX(매칭테이블!C:C,MATCH(RD!G3060,매칭테이블!D:D,0))</f>
        <v/>
      </c>
      <c r="F3060" s="39" t="inlineStr">
        <is>
          <t>카페24</t>
        </is>
      </c>
      <c r="G3060" s="39" t="inlineStr">
        <is>
          <t>솔리드퍼퓸 스테이포에버 002제품선택=스테이포에버 1개</t>
        </is>
      </c>
      <c r="H3060" s="39" t="n">
        <v>181</v>
      </c>
      <c r="I3060" s="36">
        <f>VLOOKUP(G3060,매칭테이블!D:E,2,0)</f>
        <v/>
      </c>
      <c r="J3060" s="39" t="n">
        <v>210101</v>
      </c>
      <c r="L3060" s="36">
        <f>VLOOKUP($P3060,매칭테이블!$G:$J,2,0)*H3060</f>
        <v/>
      </c>
      <c r="M3060" s="36">
        <f>L3060-L3060*VLOOKUP($P3060,매칭테이블!$G:$J,3,0)</f>
        <v/>
      </c>
      <c r="N3060" s="36">
        <f>VLOOKUP($P3060,매칭테이블!$G:$J,4,0)*H3060</f>
        <v/>
      </c>
      <c r="O3060" s="52">
        <f>L3060/1.1</f>
        <v/>
      </c>
      <c r="P3060" s="36">
        <f>F3060&amp;E3060&amp;G3060&amp;J3060</f>
        <v/>
      </c>
    </row>
    <row r="3061">
      <c r="B3061" s="51" t="n">
        <v>44224</v>
      </c>
      <c r="C3061" s="36">
        <f>TEXT(B3061,"aaa")</f>
        <v/>
      </c>
      <c r="E3061" s="36">
        <f>INDEX(매칭테이블!C:C,MATCH(RD!G3061,매칭테이블!D:D,0))</f>
        <v/>
      </c>
      <c r="F3061" s="39" t="inlineStr">
        <is>
          <t>카페24</t>
        </is>
      </c>
      <c r="G3061" s="39" t="inlineStr">
        <is>
          <t>솔리드퍼퓸 스테이포에버 002제품선택=best스테이포에버 2개[28% 할인]</t>
        </is>
      </c>
      <c r="H3061" s="39" t="n">
        <v>79</v>
      </c>
      <c r="I3061" s="36">
        <f>VLOOKUP(G3061,매칭테이블!D:E,2,0)</f>
        <v/>
      </c>
      <c r="J3061" s="39" t="n">
        <v>210101</v>
      </c>
      <c r="L3061" s="36">
        <f>VLOOKUP($P3061,매칭테이블!$G:$J,2,0)*H3061</f>
        <v/>
      </c>
      <c r="M3061" s="36">
        <f>L3061-L3061*VLOOKUP($P3061,매칭테이블!$G:$J,3,0)</f>
        <v/>
      </c>
      <c r="N3061" s="36">
        <f>VLOOKUP($P3061,매칭테이블!$G:$J,4,0)*H3061</f>
        <v/>
      </c>
      <c r="O3061" s="52">
        <f>L3061/1.1</f>
        <v/>
      </c>
      <c r="P3061" s="36">
        <f>F3061&amp;E3061&amp;G3061&amp;J3061</f>
        <v/>
      </c>
    </row>
    <row r="3062">
      <c r="B3062" s="51" t="n">
        <v>44224</v>
      </c>
      <c r="C3062" s="36">
        <f>TEXT(B3062,"aaa")</f>
        <v/>
      </c>
      <c r="E3062" s="36">
        <f>INDEX(매칭테이블!C:C,MATCH(RD!G3062,매칭테이블!D:D,0))</f>
        <v/>
      </c>
      <c r="F3062" s="39" t="inlineStr">
        <is>
          <t>카페24</t>
        </is>
      </c>
      <c r="G3062" s="39" t="inlineStr">
        <is>
          <t>솔리드퍼퓸 스테이포에버 002제품선택=커플추천스테이포에버 + 이그나이트 세트</t>
        </is>
      </c>
      <c r="H3062" s="39" t="n">
        <v>16</v>
      </c>
      <c r="I3062" s="36">
        <f>VLOOKUP(G3062,매칭테이블!D:E,2,0)</f>
        <v/>
      </c>
      <c r="J3062" s="39" t="n">
        <v>210101</v>
      </c>
      <c r="L3062" s="36">
        <f>VLOOKUP($P3062,매칭테이블!$G:$J,2,0)*H3062</f>
        <v/>
      </c>
      <c r="M3062" s="36">
        <f>L3062-L3062*VLOOKUP($P3062,매칭테이블!$G:$J,3,0)</f>
        <v/>
      </c>
      <c r="N3062" s="36">
        <f>VLOOKUP($P3062,매칭테이블!$G:$J,4,0)*H3062</f>
        <v/>
      </c>
      <c r="O3062" s="52">
        <f>L3062/1.1</f>
        <v/>
      </c>
      <c r="P3062" s="36">
        <f>F3062&amp;E3062&amp;G3062&amp;J3062</f>
        <v/>
      </c>
    </row>
    <row r="3063">
      <c r="B3063" s="51" t="n">
        <v>44224</v>
      </c>
      <c r="C3063" s="36">
        <f>TEXT(B3063,"aaa")</f>
        <v/>
      </c>
      <c r="E3063" s="36">
        <f>INDEX(매칭테이블!C:C,MATCH(RD!G3063,매칭테이블!D:D,0))</f>
        <v/>
      </c>
      <c r="F3063" s="39" t="inlineStr">
        <is>
          <t>카페24</t>
        </is>
      </c>
      <c r="G3063" s="39" t="inlineStr">
        <is>
          <t>솔리드퍼퓸 스테이포에버 002쇼핑백=선물용 쇼핑백</t>
        </is>
      </c>
      <c r="H3063" s="39" t="n">
        <v>7</v>
      </c>
      <c r="I3063" s="36">
        <f>VLOOKUP(G3063,매칭테이블!D:E,2,0)</f>
        <v/>
      </c>
      <c r="J3063" s="39" t="n">
        <v>210101</v>
      </c>
      <c r="L3063" s="36">
        <f>VLOOKUP($P3063,매칭테이블!$G:$J,2,0)*H3063</f>
        <v/>
      </c>
      <c r="M3063" s="36">
        <f>L3063-L3063*VLOOKUP($P3063,매칭테이블!$G:$J,3,0)</f>
        <v/>
      </c>
      <c r="N3063" s="36">
        <f>VLOOKUP($P3063,매칭테이블!$G:$J,4,0)*H3063</f>
        <v/>
      </c>
      <c r="O3063" s="52">
        <f>L3063/1.1</f>
        <v/>
      </c>
      <c r="P3063" s="36">
        <f>F3063&amp;E3063&amp;G3063&amp;J3063</f>
        <v/>
      </c>
    </row>
    <row r="3064">
      <c r="B3064" s="51" t="n">
        <v>44224</v>
      </c>
      <c r="C3064" s="36">
        <f>TEXT(B3064,"aaa")</f>
        <v/>
      </c>
      <c r="E3064" s="36">
        <f>INDEX(매칭테이블!C:C,MATCH(RD!G3064,매칭테이블!D:D,0))</f>
        <v/>
      </c>
      <c r="F3064" s="39" t="inlineStr">
        <is>
          <t>카페24</t>
        </is>
      </c>
      <c r="G3064" s="39" t="inlineStr">
        <is>
          <t>솔리드퍼퓸 스테이포에버 002 30ml</t>
        </is>
      </c>
      <c r="H3064" s="39" t="n">
        <v>1</v>
      </c>
      <c r="I3064" s="36">
        <f>VLOOKUP(G3064,매칭테이블!D:E,2,0)</f>
        <v/>
      </c>
      <c r="J3064" s="39" t="n">
        <v>210101</v>
      </c>
      <c r="L3064" s="36">
        <f>VLOOKUP($P3064,매칭테이블!$G:$J,2,0)*H3064</f>
        <v/>
      </c>
      <c r="M3064" s="36">
        <f>L3064-L3064*VLOOKUP($P3064,매칭테이블!$G:$J,3,0)</f>
        <v/>
      </c>
      <c r="N3064" s="36">
        <f>VLOOKUP($P3064,매칭테이블!$G:$J,4,0)*H3064</f>
        <v/>
      </c>
      <c r="O3064" s="52">
        <f>L3064/1.1</f>
        <v/>
      </c>
      <c r="P3064" s="36">
        <f>F3064&amp;E3064&amp;G3064&amp;J3064</f>
        <v/>
      </c>
    </row>
    <row r="3065">
      <c r="B3065" s="51" t="n">
        <v>44224</v>
      </c>
      <c r="C3065" s="36">
        <f>TEXT(B3065,"aaa")</f>
        <v/>
      </c>
      <c r="E3065" s="36">
        <f>INDEX(매칭테이블!C:C,MATCH(RD!G3065,매칭테이블!D:D,0))</f>
        <v/>
      </c>
      <c r="F3065" s="39" t="inlineStr">
        <is>
          <t>카페24</t>
        </is>
      </c>
      <c r="G3065" s="39" t="inlineStr">
        <is>
          <t>솔리드퍼퓸 이그나이트 001제품선택=이그나이트 솔리드퍼퓸 - 30ml</t>
        </is>
      </c>
      <c r="H3065" s="39" t="n">
        <v>1</v>
      </c>
      <c r="I3065" s="36">
        <f>VLOOKUP(G3065,매칭테이블!D:E,2,0)</f>
        <v/>
      </c>
      <c r="J3065" s="39" t="n">
        <v>210101</v>
      </c>
      <c r="L3065" s="36">
        <f>VLOOKUP($P3065,매칭테이블!$G:$J,2,0)*H3065</f>
        <v/>
      </c>
      <c r="M3065" s="36">
        <f>L3065-L3065*VLOOKUP($P3065,매칭테이블!$G:$J,3,0)</f>
        <v/>
      </c>
      <c r="N3065" s="36">
        <f>VLOOKUP($P3065,매칭테이블!$G:$J,4,0)*H3065</f>
        <v/>
      </c>
      <c r="O3065" s="52">
        <f>L3065/1.1</f>
        <v/>
      </c>
      <c r="P3065" s="36">
        <f>F3065&amp;E3065&amp;G3065&amp;J3065</f>
        <v/>
      </c>
    </row>
    <row r="3066">
      <c r="B3066" s="51" t="n">
        <v>44224</v>
      </c>
      <c r="C3066" s="36">
        <f>TEXT(B3066,"aaa")</f>
        <v/>
      </c>
      <c r="E3066" s="36">
        <f>INDEX(매칭테이블!C:C,MATCH(RD!G3066,매칭테이블!D:D,0))</f>
        <v/>
      </c>
      <c r="F3066" s="39" t="inlineStr">
        <is>
          <t>카페24</t>
        </is>
      </c>
      <c r="G3066" s="39" t="inlineStr">
        <is>
          <t>유즈 솔리드퍼퓸 - 30ml향=스테이포에버 002 SOLID PERFUME, 세트 선택=1개</t>
        </is>
      </c>
      <c r="H3066" s="39" t="n">
        <v>6</v>
      </c>
      <c r="I3066" s="36">
        <f>VLOOKUP(G3066,매칭테이블!D:E,2,0)</f>
        <v/>
      </c>
      <c r="J3066" s="39" t="n">
        <v>210101</v>
      </c>
      <c r="L3066" s="36">
        <f>VLOOKUP($P3066,매칭테이블!$G:$J,2,0)*H3066</f>
        <v/>
      </c>
      <c r="M3066" s="36">
        <f>L3066-L3066*VLOOKUP($P3066,매칭테이블!$G:$J,3,0)</f>
        <v/>
      </c>
      <c r="N3066" s="36">
        <f>VLOOKUP($P3066,매칭테이블!$G:$J,4,0)*H3066</f>
        <v/>
      </c>
      <c r="O3066" s="52">
        <f>L3066/1.1</f>
        <v/>
      </c>
      <c r="P3066" s="36">
        <f>F3066&amp;E3066&amp;G3066&amp;J3066</f>
        <v/>
      </c>
    </row>
    <row r="3067">
      <c r="B3067" s="51" t="n">
        <v>44224</v>
      </c>
      <c r="C3067" s="36">
        <f>TEXT(B3067,"aaa")</f>
        <v/>
      </c>
      <c r="E3067" s="36">
        <f>INDEX(매칭테이블!C:C,MATCH(RD!G3067,매칭테이블!D:D,0))</f>
        <v/>
      </c>
      <c r="F3067" s="39" t="inlineStr">
        <is>
          <t>카페24</t>
        </is>
      </c>
      <c r="G3067" s="39" t="inlineStr">
        <is>
          <t>유즈 솔리드퍼퓸 - 30ml향=커플세트(이그나이트 + 스테이포에버), 세트 선택=1 SET</t>
        </is>
      </c>
      <c r="H3067" s="39" t="n">
        <v>2</v>
      </c>
      <c r="I3067" s="36">
        <f>VLOOKUP(G3067,매칭테이블!D:E,2,0)</f>
        <v/>
      </c>
      <c r="J3067" s="39" t="n">
        <v>210101</v>
      </c>
      <c r="L3067" s="36">
        <f>VLOOKUP($P3067,매칭테이블!$G:$J,2,0)*H3067</f>
        <v/>
      </c>
      <c r="M3067" s="36">
        <f>L3067-L3067*VLOOKUP($P3067,매칭테이블!$G:$J,3,0)</f>
        <v/>
      </c>
      <c r="N3067" s="36">
        <f>VLOOKUP($P3067,매칭테이블!$G:$J,4,0)*H3067</f>
        <v/>
      </c>
      <c r="O3067" s="52">
        <f>L3067/1.1</f>
        <v/>
      </c>
      <c r="P3067" s="36">
        <f>F3067&amp;E3067&amp;G3067&amp;J3067</f>
        <v/>
      </c>
    </row>
    <row r="3068">
      <c r="B3068" s="51" t="n">
        <v>44224</v>
      </c>
      <c r="C3068" s="36">
        <f>TEXT(B3068,"aaa")</f>
        <v/>
      </c>
      <c r="E3068" s="36">
        <f>INDEX(매칭테이블!C:C,MATCH(RD!G3068,매칭테이블!D:D,0))</f>
        <v/>
      </c>
      <c r="F3068" s="39" t="inlineStr">
        <is>
          <t>카페24</t>
        </is>
      </c>
      <c r="G3068" s="39" t="inlineStr">
        <is>
          <t>유즈 솔리드퍼퓸 - 스테이포에버 002제품선택=스테이포에버 1개</t>
        </is>
      </c>
      <c r="H3068" s="39" t="n">
        <v>75</v>
      </c>
      <c r="I3068" s="36">
        <f>VLOOKUP(G3068,매칭테이블!D:E,2,0)</f>
        <v/>
      </c>
      <c r="J3068" s="39" t="n">
        <v>210101</v>
      </c>
      <c r="L3068" s="36">
        <f>VLOOKUP($P3068,매칭테이블!$G:$J,2,0)*H3068</f>
        <v/>
      </c>
      <c r="M3068" s="36">
        <f>L3068-L3068*VLOOKUP($P3068,매칭테이블!$G:$J,3,0)</f>
        <v/>
      </c>
      <c r="N3068" s="36">
        <f>VLOOKUP($P3068,매칭테이블!$G:$J,4,0)*H3068</f>
        <v/>
      </c>
      <c r="O3068" s="52">
        <f>L3068/1.1</f>
        <v/>
      </c>
      <c r="P3068" s="36">
        <f>F3068&amp;E3068&amp;G3068&amp;J3068</f>
        <v/>
      </c>
    </row>
    <row r="3069">
      <c r="B3069" s="51" t="n">
        <v>44224</v>
      </c>
      <c r="C3069" s="36">
        <f>TEXT(B3069,"aaa")</f>
        <v/>
      </c>
      <c r="E3069" s="36">
        <f>INDEX(매칭테이블!C:C,MATCH(RD!G3069,매칭테이블!D:D,0))</f>
        <v/>
      </c>
      <c r="F3069" s="39" t="inlineStr">
        <is>
          <t>카페24</t>
        </is>
      </c>
      <c r="G3069" s="39" t="inlineStr">
        <is>
          <t>유즈 솔리드퍼퓸 - 스테이포에버 002제품선택=best스테이포에버 2개[28% 할인]</t>
        </is>
      </c>
      <c r="H3069" s="39" t="n">
        <v>28</v>
      </c>
      <c r="I3069" s="36">
        <f>VLOOKUP(G3069,매칭테이블!D:E,2,0)</f>
        <v/>
      </c>
      <c r="J3069" s="39" t="n">
        <v>210101</v>
      </c>
      <c r="L3069" s="36">
        <f>VLOOKUP($P3069,매칭테이블!$G:$J,2,0)*H3069</f>
        <v/>
      </c>
      <c r="M3069" s="36">
        <f>L3069-L3069*VLOOKUP($P3069,매칭테이블!$G:$J,3,0)</f>
        <v/>
      </c>
      <c r="N3069" s="36">
        <f>VLOOKUP($P3069,매칭테이블!$G:$J,4,0)*H3069</f>
        <v/>
      </c>
      <c r="O3069" s="52">
        <f>L3069/1.1</f>
        <v/>
      </c>
      <c r="P3069" s="36">
        <f>F3069&amp;E3069&amp;G3069&amp;J3069</f>
        <v/>
      </c>
    </row>
    <row r="3070">
      <c r="B3070" s="51" t="n">
        <v>44224</v>
      </c>
      <c r="C3070" s="36">
        <f>TEXT(B3070,"aaa")</f>
        <v/>
      </c>
      <c r="E3070" s="36">
        <f>INDEX(매칭테이블!C:C,MATCH(RD!G3070,매칭테이블!D:D,0))</f>
        <v/>
      </c>
      <c r="F3070" s="39" t="inlineStr">
        <is>
          <t>카페24</t>
        </is>
      </c>
      <c r="G3070" s="39" t="inlineStr">
        <is>
          <t>유즈 솔리드퍼퓸 - 스테이포에버 002제품선택=커플추천스테이포에버 + 이그나이트 세트</t>
        </is>
      </c>
      <c r="H3070" s="39" t="n">
        <v>7</v>
      </c>
      <c r="I3070" s="36">
        <f>VLOOKUP(G3070,매칭테이블!D:E,2,0)</f>
        <v/>
      </c>
      <c r="J3070" s="39" t="n">
        <v>210101</v>
      </c>
      <c r="L3070" s="36">
        <f>VLOOKUP($P3070,매칭테이블!$G:$J,2,0)*H3070</f>
        <v/>
      </c>
      <c r="M3070" s="36">
        <f>L3070-L3070*VLOOKUP($P3070,매칭테이블!$G:$J,3,0)</f>
        <v/>
      </c>
      <c r="N3070" s="36">
        <f>VLOOKUP($P3070,매칭테이블!$G:$J,4,0)*H3070</f>
        <v/>
      </c>
      <c r="O3070" s="52">
        <f>L3070/1.1</f>
        <v/>
      </c>
      <c r="P3070" s="36">
        <f>F3070&amp;E3070&amp;G3070&amp;J3070</f>
        <v/>
      </c>
    </row>
    <row r="3071">
      <c r="B3071" s="51" t="n">
        <v>44224</v>
      </c>
      <c r="C3071" s="36">
        <f>TEXT(B3071,"aaa")</f>
        <v/>
      </c>
      <c r="E3071" s="36">
        <f>INDEX(매칭테이블!C:C,MATCH(RD!G3071,매칭테이블!D:D,0))</f>
        <v/>
      </c>
      <c r="F3071" s="39" t="inlineStr">
        <is>
          <t>카페24</t>
        </is>
      </c>
      <c r="G3071" s="39" t="inlineStr">
        <is>
          <t>유즈 솔리드퍼퓸 - 스테이포에버 002쇼핑백=선물용 쇼핑백</t>
        </is>
      </c>
      <c r="H3071" s="39" t="n">
        <v>1</v>
      </c>
      <c r="I3071" s="36">
        <f>VLOOKUP(G3071,매칭테이블!D:E,2,0)</f>
        <v/>
      </c>
      <c r="J3071" s="39" t="n">
        <v>210101</v>
      </c>
      <c r="L3071" s="36">
        <f>VLOOKUP($P3071,매칭테이블!$G:$J,2,0)*H3071</f>
        <v/>
      </c>
      <c r="M3071" s="36">
        <f>L3071-L3071*VLOOKUP($P3071,매칭테이블!$G:$J,3,0)</f>
        <v/>
      </c>
      <c r="N3071" s="36">
        <f>VLOOKUP($P3071,매칭테이블!$G:$J,4,0)*H3071</f>
        <v/>
      </c>
      <c r="O3071" s="52">
        <f>L3071/1.1</f>
        <v/>
      </c>
      <c r="P3071" s="36">
        <f>F3071&amp;E3071&amp;G3071&amp;J3071</f>
        <v/>
      </c>
    </row>
    <row r="3072">
      <c r="B3072" s="51" t="n">
        <v>44224</v>
      </c>
      <c r="C3072" s="36">
        <f>TEXT(B3072,"aaa")</f>
        <v/>
      </c>
      <c r="E3072" s="36">
        <f>INDEX(매칭테이블!C:C,MATCH(RD!G3072,매칭테이블!D:D,0))</f>
        <v/>
      </c>
      <c r="F3072" s="39" t="inlineStr">
        <is>
          <t>카페24</t>
        </is>
      </c>
      <c r="G3072" s="39" t="inlineStr">
        <is>
          <t>유즈 솔리드퍼퓸 - 이그나이트 001제품선택=이그나이트 솔리드퍼퓸 - 30ml</t>
        </is>
      </c>
      <c r="H3072" s="39" t="n">
        <v>1</v>
      </c>
      <c r="I3072" s="36">
        <f>VLOOKUP(G3072,매칭테이블!D:E,2,0)</f>
        <v/>
      </c>
      <c r="J3072" s="39" t="n">
        <v>210101</v>
      </c>
      <c r="L3072" s="36">
        <f>VLOOKUP($P3072,매칭테이블!$G:$J,2,0)*H3072</f>
        <v/>
      </c>
      <c r="M3072" s="36">
        <f>L3072-L3072*VLOOKUP($P3072,매칭테이블!$G:$J,3,0)</f>
        <v/>
      </c>
      <c r="N3072" s="36">
        <f>VLOOKUP($P3072,매칭테이블!$G:$J,4,0)*H3072</f>
        <v/>
      </c>
      <c r="O3072" s="52">
        <f>L3072/1.1</f>
        <v/>
      </c>
      <c r="P3072" s="36">
        <f>F3072&amp;E3072&amp;G3072&amp;J3072</f>
        <v/>
      </c>
    </row>
    <row r="3073">
      <c r="B3073" s="51" t="n">
        <v>44224</v>
      </c>
      <c r="C3073" s="36">
        <f>TEXT(B3073,"aaa")</f>
        <v/>
      </c>
      <c r="E3073" s="36">
        <f>INDEX(매칭테이블!C:C,MATCH(RD!G3073,매칭테이블!D:D,0))</f>
        <v/>
      </c>
      <c r="F3073" s="39" t="inlineStr">
        <is>
          <t>카페24</t>
        </is>
      </c>
      <c r="G3073" s="39" t="inlineStr">
        <is>
          <t>유즈 솔리드퍼퓸 - 이그나이트 001제품선택=이그나이트 2개 세트</t>
        </is>
      </c>
      <c r="H3073" s="39" t="n">
        <v>1</v>
      </c>
      <c r="I3073" s="36">
        <f>VLOOKUP(G3073,매칭테이블!D:E,2,0)</f>
        <v/>
      </c>
      <c r="J3073" s="39" t="n">
        <v>210101</v>
      </c>
      <c r="L3073" s="36">
        <f>VLOOKUP($P3073,매칭테이블!$G:$J,2,0)*H3073</f>
        <v/>
      </c>
      <c r="M3073" s="36">
        <f>L3073-L3073*VLOOKUP($P3073,매칭테이블!$G:$J,3,0)</f>
        <v/>
      </c>
      <c r="N3073" s="36">
        <f>VLOOKUP($P3073,매칭테이블!$G:$J,4,0)*H3073</f>
        <v/>
      </c>
      <c r="O3073" s="52">
        <f>L3073/1.1</f>
        <v/>
      </c>
      <c r="P3073" s="36">
        <f>F3073&amp;E3073&amp;G3073&amp;J3073</f>
        <v/>
      </c>
    </row>
    <row r="3074">
      <c r="B3074" s="51" t="n">
        <v>44225</v>
      </c>
      <c r="C3074" s="36">
        <f>TEXT(B3074,"aaa")</f>
        <v/>
      </c>
      <c r="E3074" s="36">
        <f>INDEX(매칭테이블!C:C,MATCH(RD!G3074,매칭테이블!D:D,0))</f>
        <v/>
      </c>
      <c r="F3074" s="39" t="inlineStr">
        <is>
          <t>유즈 CS</t>
        </is>
      </c>
      <c r="G3074" s="39" t="inlineStr">
        <is>
          <t>솔리드퍼퓸 스테이포에버 002 30ml</t>
        </is>
      </c>
      <c r="H3074" s="39" t="n">
        <v>1</v>
      </c>
      <c r="I3074" s="36">
        <f>VLOOKUP(G3074,매칭테이블!D:E,2,0)</f>
        <v/>
      </c>
      <c r="J3074" s="39" t="n">
        <v>210101</v>
      </c>
      <c r="L3074" s="36">
        <f>VLOOKUP($P3074,매칭테이블!$G:$J,2,0)*H3074</f>
        <v/>
      </c>
      <c r="M3074" s="36">
        <f>L3074-L3074*VLOOKUP($P3074,매칭테이블!$G:$J,3,0)</f>
        <v/>
      </c>
      <c r="N3074" s="36">
        <f>VLOOKUP($P3074,매칭테이블!$G:$J,4,0)*H3074</f>
        <v/>
      </c>
      <c r="O3074" s="52">
        <f>L3074/1.1</f>
        <v/>
      </c>
      <c r="P3074" s="36">
        <f>F3074&amp;E3074&amp;G3074&amp;J3074</f>
        <v/>
      </c>
    </row>
    <row r="3075">
      <c r="B3075" s="51" t="n">
        <v>44225</v>
      </c>
      <c r="C3075" s="36">
        <f>TEXT(B3075,"aaa")</f>
        <v/>
      </c>
      <c r="E3075" s="36">
        <f>INDEX(매칭테이블!C:C,MATCH(RD!G3075,매칭테이블!D:D,0))</f>
        <v/>
      </c>
      <c r="F3075" s="39" t="inlineStr">
        <is>
          <t>카페24</t>
        </is>
      </c>
      <c r="G3075" s="39" t="inlineStr">
        <is>
          <t>솔리드퍼퓸 세트향=이그나이트 001 SOLID PERFUME, 세트 선택=1개</t>
        </is>
      </c>
      <c r="H3075" s="39" t="n">
        <v>3</v>
      </c>
      <c r="I3075" s="36">
        <f>VLOOKUP(G3075,매칭테이블!D:E,2,0)</f>
        <v/>
      </c>
      <c r="J3075" s="39" t="n">
        <v>210101</v>
      </c>
      <c r="L3075" s="36">
        <f>VLOOKUP($P3075,매칭테이블!$G:$J,2,0)*H3075</f>
        <v/>
      </c>
      <c r="M3075" s="36">
        <f>L3075-L3075*VLOOKUP($P3075,매칭테이블!$G:$J,3,0)</f>
        <v/>
      </c>
      <c r="N3075" s="36">
        <f>VLOOKUP($P3075,매칭테이블!$G:$J,4,0)*H3075</f>
        <v/>
      </c>
      <c r="O3075" s="52">
        <f>L3075/1.1</f>
        <v/>
      </c>
      <c r="P3075" s="36">
        <f>F3075&amp;E3075&amp;G3075&amp;J3075</f>
        <v/>
      </c>
    </row>
    <row r="3076">
      <c r="B3076" s="51" t="n">
        <v>44225</v>
      </c>
      <c r="C3076" s="36">
        <f>TEXT(B3076,"aaa")</f>
        <v/>
      </c>
      <c r="E3076" s="36">
        <f>INDEX(매칭테이블!C:C,MATCH(RD!G3076,매칭테이블!D:D,0))</f>
        <v/>
      </c>
      <c r="F3076" s="39" t="inlineStr">
        <is>
          <t>카페24</t>
        </is>
      </c>
      <c r="G3076" s="39" t="inlineStr">
        <is>
          <t>솔리드퍼퓸 세트향=스테이포에버 002 SOLID PERFUME, 세트 선택=1개</t>
        </is>
      </c>
      <c r="H3076" s="39" t="n">
        <v>12</v>
      </c>
      <c r="I3076" s="36">
        <f>VLOOKUP(G3076,매칭테이블!D:E,2,0)</f>
        <v/>
      </c>
      <c r="J3076" s="39" t="n">
        <v>210101</v>
      </c>
      <c r="L3076" s="36">
        <f>VLOOKUP($P3076,매칭테이블!$G:$J,2,0)*H3076</f>
        <v/>
      </c>
      <c r="M3076" s="36">
        <f>L3076-L3076*VLOOKUP($P3076,매칭테이블!$G:$J,3,0)</f>
        <v/>
      </c>
      <c r="N3076" s="36">
        <f>VLOOKUP($P3076,매칭테이블!$G:$J,4,0)*H3076</f>
        <v/>
      </c>
      <c r="O3076" s="52">
        <f>L3076/1.1</f>
        <v/>
      </c>
      <c r="P3076" s="36">
        <f>F3076&amp;E3076&amp;G3076&amp;J3076</f>
        <v/>
      </c>
    </row>
    <row r="3077">
      <c r="B3077" s="51" t="n">
        <v>44225</v>
      </c>
      <c r="C3077" s="36">
        <f>TEXT(B3077,"aaa")</f>
        <v/>
      </c>
      <c r="E3077" s="36">
        <f>INDEX(매칭테이블!C:C,MATCH(RD!G3077,매칭테이블!D:D,0))</f>
        <v/>
      </c>
      <c r="F3077" s="39" t="inlineStr">
        <is>
          <t>카페24</t>
        </is>
      </c>
      <c r="G3077" s="39" t="inlineStr">
        <is>
          <t>솔리드퍼퓸 세트향=스테이포에버 002 SOLID PERFUME, 세트 선택=best 2개 (28% 할인)</t>
        </is>
      </c>
      <c r="H3077" s="39" t="n">
        <v>4</v>
      </c>
      <c r="I3077" s="36">
        <f>VLOOKUP(G3077,매칭테이블!D:E,2,0)</f>
        <v/>
      </c>
      <c r="J3077" s="39" t="n">
        <v>210101</v>
      </c>
      <c r="L3077" s="36">
        <f>VLOOKUP($P3077,매칭테이블!$G:$J,2,0)*H3077</f>
        <v/>
      </c>
      <c r="M3077" s="36">
        <f>L3077-L3077*VLOOKUP($P3077,매칭테이블!$G:$J,3,0)</f>
        <v/>
      </c>
      <c r="N3077" s="36">
        <f>VLOOKUP($P3077,매칭테이블!$G:$J,4,0)*H3077</f>
        <v/>
      </c>
      <c r="O3077" s="52">
        <f>L3077/1.1</f>
        <v/>
      </c>
      <c r="P3077" s="36">
        <f>F3077&amp;E3077&amp;G3077&amp;J3077</f>
        <v/>
      </c>
    </row>
    <row r="3078">
      <c r="B3078" s="51" t="n">
        <v>44225</v>
      </c>
      <c r="C3078" s="36">
        <f>TEXT(B3078,"aaa")</f>
        <v/>
      </c>
      <c r="E3078" s="36">
        <f>INDEX(매칭테이블!C:C,MATCH(RD!G3078,매칭테이블!D:D,0))</f>
        <v/>
      </c>
      <c r="F3078" s="39" t="inlineStr">
        <is>
          <t>카페24</t>
        </is>
      </c>
      <c r="G3078" s="39" t="inlineStr">
        <is>
          <t>솔리드퍼퓸 세트향=커플세트(이그나이트 + 스테이포에버), 세트 선택=1 SET</t>
        </is>
      </c>
      <c r="H3078" s="39" t="n">
        <v>8</v>
      </c>
      <c r="I3078" s="36">
        <f>VLOOKUP(G3078,매칭테이블!D:E,2,0)</f>
        <v/>
      </c>
      <c r="J3078" s="39" t="n">
        <v>210101</v>
      </c>
      <c r="L3078" s="36">
        <f>VLOOKUP($P3078,매칭테이블!$G:$J,2,0)*H3078</f>
        <v/>
      </c>
      <c r="M3078" s="36">
        <f>L3078-L3078*VLOOKUP($P3078,매칭테이블!$G:$J,3,0)</f>
        <v/>
      </c>
      <c r="N3078" s="36">
        <f>VLOOKUP($P3078,매칭테이블!$G:$J,4,0)*H3078</f>
        <v/>
      </c>
      <c r="O3078" s="52">
        <f>L3078/1.1</f>
        <v/>
      </c>
      <c r="P3078" s="36">
        <f>F3078&amp;E3078&amp;G3078&amp;J3078</f>
        <v/>
      </c>
    </row>
    <row r="3079">
      <c r="B3079" s="51" t="n">
        <v>44225</v>
      </c>
      <c r="C3079" s="36">
        <f>TEXT(B3079,"aaa")</f>
        <v/>
      </c>
      <c r="E3079" s="36">
        <f>INDEX(매칭테이블!C:C,MATCH(RD!G3079,매칭테이블!D:D,0))</f>
        <v/>
      </c>
      <c r="F3079" s="39" t="inlineStr">
        <is>
          <t>카페24</t>
        </is>
      </c>
      <c r="G3079" s="39" t="inlineStr">
        <is>
          <t>솔리드퍼퓸 스테이포에버 002제품선택=스테이포에버 1개</t>
        </is>
      </c>
      <c r="H3079" s="39" t="n">
        <v>214</v>
      </c>
      <c r="I3079" s="36">
        <f>VLOOKUP(G3079,매칭테이블!D:E,2,0)</f>
        <v/>
      </c>
      <c r="J3079" s="39" t="n">
        <v>210101</v>
      </c>
      <c r="L3079" s="36">
        <f>VLOOKUP($P3079,매칭테이블!$G:$J,2,0)*H3079</f>
        <v/>
      </c>
      <c r="M3079" s="36">
        <f>L3079-L3079*VLOOKUP($P3079,매칭테이블!$G:$J,3,0)</f>
        <v/>
      </c>
      <c r="N3079" s="36">
        <f>VLOOKUP($P3079,매칭테이블!$G:$J,4,0)*H3079</f>
        <v/>
      </c>
      <c r="O3079" s="52">
        <f>L3079/1.1</f>
        <v/>
      </c>
      <c r="P3079" s="36">
        <f>F3079&amp;E3079&amp;G3079&amp;J3079</f>
        <v/>
      </c>
    </row>
    <row r="3080">
      <c r="B3080" s="51" t="n">
        <v>44225</v>
      </c>
      <c r="C3080" s="36">
        <f>TEXT(B3080,"aaa")</f>
        <v/>
      </c>
      <c r="E3080" s="36">
        <f>INDEX(매칭테이블!C:C,MATCH(RD!G3080,매칭테이블!D:D,0))</f>
        <v/>
      </c>
      <c r="F3080" s="39" t="inlineStr">
        <is>
          <t>카페24</t>
        </is>
      </c>
      <c r="G3080" s="39" t="inlineStr">
        <is>
          <t>솔리드퍼퓸 스테이포에버 002제품선택=best스테이포에버 2개[28% 할인]</t>
        </is>
      </c>
      <c r="H3080" s="39" t="n">
        <v>121</v>
      </c>
      <c r="I3080" s="36">
        <f>VLOOKUP(G3080,매칭테이블!D:E,2,0)</f>
        <v/>
      </c>
      <c r="J3080" s="39" t="n">
        <v>210101</v>
      </c>
      <c r="L3080" s="36">
        <f>VLOOKUP($P3080,매칭테이블!$G:$J,2,0)*H3080</f>
        <v/>
      </c>
      <c r="M3080" s="36">
        <f>L3080-L3080*VLOOKUP($P3080,매칭테이블!$G:$J,3,0)</f>
        <v/>
      </c>
      <c r="N3080" s="36">
        <f>VLOOKUP($P3080,매칭테이블!$G:$J,4,0)*H3080</f>
        <v/>
      </c>
      <c r="O3080" s="52">
        <f>L3080/1.1</f>
        <v/>
      </c>
      <c r="P3080" s="36">
        <f>F3080&amp;E3080&amp;G3080&amp;J3080</f>
        <v/>
      </c>
    </row>
    <row r="3081">
      <c r="B3081" s="51" t="n">
        <v>44225</v>
      </c>
      <c r="C3081" s="36">
        <f>TEXT(B3081,"aaa")</f>
        <v/>
      </c>
      <c r="E3081" s="36">
        <f>INDEX(매칭테이블!C:C,MATCH(RD!G3081,매칭테이블!D:D,0))</f>
        <v/>
      </c>
      <c r="F3081" s="39" t="inlineStr">
        <is>
          <t>카페24</t>
        </is>
      </c>
      <c r="G3081" s="39" t="inlineStr">
        <is>
          <t>솔리드퍼퓸 스테이포에버 002제품선택=커플추천스테이포에버 + 이그나이트 세트</t>
        </is>
      </c>
      <c r="H3081" s="39" t="n">
        <v>14</v>
      </c>
      <c r="I3081" s="36">
        <f>VLOOKUP(G3081,매칭테이블!D:E,2,0)</f>
        <v/>
      </c>
      <c r="J3081" s="39" t="n">
        <v>210101</v>
      </c>
      <c r="L3081" s="36">
        <f>VLOOKUP($P3081,매칭테이블!$G:$J,2,0)*H3081</f>
        <v/>
      </c>
      <c r="M3081" s="36">
        <f>L3081-L3081*VLOOKUP($P3081,매칭테이블!$G:$J,3,0)</f>
        <v/>
      </c>
      <c r="N3081" s="36">
        <f>VLOOKUP($P3081,매칭테이블!$G:$J,4,0)*H3081</f>
        <v/>
      </c>
      <c r="O3081" s="52">
        <f>L3081/1.1</f>
        <v/>
      </c>
      <c r="P3081" s="36">
        <f>F3081&amp;E3081&amp;G3081&amp;J3081</f>
        <v/>
      </c>
    </row>
    <row r="3082">
      <c r="B3082" s="51" t="n">
        <v>44225</v>
      </c>
      <c r="C3082" s="36">
        <f>TEXT(B3082,"aaa")</f>
        <v/>
      </c>
      <c r="E3082" s="36">
        <f>INDEX(매칭테이블!C:C,MATCH(RD!G3082,매칭테이블!D:D,0))</f>
        <v/>
      </c>
      <c r="F3082" s="39" t="inlineStr">
        <is>
          <t>카페24</t>
        </is>
      </c>
      <c r="G3082" s="39" t="inlineStr">
        <is>
          <t>솔리드퍼퓸 스테이포에버 002쇼핑백=선물용 쇼핑백</t>
        </is>
      </c>
      <c r="H3082" s="39" t="n">
        <v>7</v>
      </c>
      <c r="I3082" s="36">
        <f>VLOOKUP(G3082,매칭테이블!D:E,2,0)</f>
        <v/>
      </c>
      <c r="J3082" s="39" t="n">
        <v>210101</v>
      </c>
      <c r="L3082" s="36">
        <f>VLOOKUP($P3082,매칭테이블!$G:$J,2,0)*H3082</f>
        <v/>
      </c>
      <c r="M3082" s="36">
        <f>L3082-L3082*VLOOKUP($P3082,매칭테이블!$G:$J,3,0)</f>
        <v/>
      </c>
      <c r="N3082" s="36">
        <f>VLOOKUP($P3082,매칭테이블!$G:$J,4,0)*H3082</f>
        <v/>
      </c>
      <c r="O3082" s="52">
        <f>L3082/1.1</f>
        <v/>
      </c>
      <c r="P3082" s="36">
        <f>F3082&amp;E3082&amp;G3082&amp;J3082</f>
        <v/>
      </c>
    </row>
    <row r="3083">
      <c r="B3083" s="51" t="n">
        <v>44225</v>
      </c>
      <c r="C3083" s="36">
        <f>TEXT(B3083,"aaa")</f>
        <v/>
      </c>
      <c r="E3083" s="36">
        <f>INDEX(매칭테이블!C:C,MATCH(RD!G3083,매칭테이블!D:D,0))</f>
        <v/>
      </c>
      <c r="F3083" s="39" t="inlineStr">
        <is>
          <t>카페24</t>
        </is>
      </c>
      <c r="G3083" s="39" t="inlineStr">
        <is>
          <t>솔리드퍼퓸 이그나이트 001제품선택=이그나이트 솔리드퍼퓸 - 30ml</t>
        </is>
      </c>
      <c r="H3083" s="39" t="n">
        <v>4</v>
      </c>
      <c r="I3083" s="36">
        <f>VLOOKUP(G3083,매칭테이블!D:E,2,0)</f>
        <v/>
      </c>
      <c r="J3083" s="39" t="n">
        <v>210101</v>
      </c>
      <c r="L3083" s="36">
        <f>VLOOKUP($P3083,매칭테이블!$G:$J,2,0)*H3083</f>
        <v/>
      </c>
      <c r="M3083" s="36">
        <f>L3083-L3083*VLOOKUP($P3083,매칭테이블!$G:$J,3,0)</f>
        <v/>
      </c>
      <c r="N3083" s="36">
        <f>VLOOKUP($P3083,매칭테이블!$G:$J,4,0)*H3083</f>
        <v/>
      </c>
      <c r="O3083" s="52">
        <f>L3083/1.1</f>
        <v/>
      </c>
      <c r="P3083" s="36">
        <f>F3083&amp;E3083&amp;G3083&amp;J3083</f>
        <v/>
      </c>
    </row>
    <row r="3084">
      <c r="B3084" s="51" t="n">
        <v>44225</v>
      </c>
      <c r="C3084" s="36">
        <f>TEXT(B3084,"aaa")</f>
        <v/>
      </c>
      <c r="E3084" s="36">
        <f>INDEX(매칭테이블!C:C,MATCH(RD!G3084,매칭테이블!D:D,0))</f>
        <v/>
      </c>
      <c r="F3084" s="39" t="inlineStr">
        <is>
          <t>카페24</t>
        </is>
      </c>
      <c r="G3084" s="39" t="inlineStr">
        <is>
          <t>솔리드퍼퓸 이그나이트 001제품선택=이그나이트 2개 세트</t>
        </is>
      </c>
      <c r="H3084" s="39" t="n">
        <v>1</v>
      </c>
      <c r="I3084" s="36">
        <f>VLOOKUP(G3084,매칭테이블!D:E,2,0)</f>
        <v/>
      </c>
      <c r="J3084" s="39" t="n">
        <v>210101</v>
      </c>
      <c r="L3084" s="36">
        <f>VLOOKUP($P3084,매칭테이블!$G:$J,2,0)*H3084</f>
        <v/>
      </c>
      <c r="M3084" s="36">
        <f>L3084-L3084*VLOOKUP($P3084,매칭테이블!$G:$J,3,0)</f>
        <v/>
      </c>
      <c r="N3084" s="36">
        <f>VLOOKUP($P3084,매칭테이블!$G:$J,4,0)*H3084</f>
        <v/>
      </c>
      <c r="O3084" s="52">
        <f>L3084/1.1</f>
        <v/>
      </c>
      <c r="P3084" s="36">
        <f>F3084&amp;E3084&amp;G3084&amp;J3084</f>
        <v/>
      </c>
    </row>
    <row r="3085">
      <c r="B3085" s="51" t="n">
        <v>44225</v>
      </c>
      <c r="C3085" s="36">
        <f>TEXT(B3085,"aaa")</f>
        <v/>
      </c>
      <c r="E3085" s="36">
        <f>INDEX(매칭테이블!C:C,MATCH(RD!G3085,매칭테이블!D:D,0))</f>
        <v/>
      </c>
      <c r="F3085" s="39" t="inlineStr">
        <is>
          <t>카페24</t>
        </is>
      </c>
      <c r="G3085" s="39" t="inlineStr">
        <is>
          <t>솔리드퍼퓸 이그나이트 001쇼핑백=선물용 쇼핑백</t>
        </is>
      </c>
      <c r="H3085" s="39" t="n">
        <v>1</v>
      </c>
      <c r="I3085" s="36">
        <f>VLOOKUP(G3085,매칭테이블!D:E,2,0)</f>
        <v/>
      </c>
      <c r="J3085" s="39" t="n">
        <v>210101</v>
      </c>
      <c r="L3085" s="36">
        <f>VLOOKUP($P3085,매칭테이블!$G:$J,2,0)*H3085</f>
        <v/>
      </c>
      <c r="M3085" s="36">
        <f>L3085-L3085*VLOOKUP($P3085,매칭테이블!$G:$J,3,0)</f>
        <v/>
      </c>
      <c r="N3085" s="36">
        <f>VLOOKUP($P3085,매칭테이블!$G:$J,4,0)*H3085</f>
        <v/>
      </c>
      <c r="O3085" s="52">
        <f>L3085/1.1</f>
        <v/>
      </c>
      <c r="P3085" s="36">
        <f>F3085&amp;E3085&amp;G3085&amp;J3085</f>
        <v/>
      </c>
    </row>
    <row r="3086">
      <c r="B3086" s="51" t="n">
        <v>44225</v>
      </c>
      <c r="C3086" s="36">
        <f>TEXT(B3086,"aaa")</f>
        <v/>
      </c>
      <c r="E3086" s="36">
        <f>INDEX(매칭테이블!C:C,MATCH(RD!G3086,매칭테이블!D:D,0))</f>
        <v/>
      </c>
      <c r="F3086" s="39" t="inlineStr">
        <is>
          <t>카페24</t>
        </is>
      </c>
      <c r="G3086" s="39" t="inlineStr">
        <is>
          <t>유즈 솔리드퍼퓸 - 스테이포에버 002제품선택=스테이포에버 1개</t>
        </is>
      </c>
      <c r="H3086" s="39" t="n">
        <v>2</v>
      </c>
      <c r="I3086" s="36">
        <f>VLOOKUP(G3086,매칭테이블!D:E,2,0)</f>
        <v/>
      </c>
      <c r="J3086" s="39" t="n">
        <v>210101</v>
      </c>
      <c r="L3086" s="36">
        <f>VLOOKUP($P3086,매칭테이블!$G:$J,2,0)*H3086</f>
        <v/>
      </c>
      <c r="M3086" s="36">
        <f>L3086-L3086*VLOOKUP($P3086,매칭테이블!$G:$J,3,0)</f>
        <v/>
      </c>
      <c r="N3086" s="36">
        <f>VLOOKUP($P3086,매칭테이블!$G:$J,4,0)*H3086</f>
        <v/>
      </c>
      <c r="O3086" s="52">
        <f>L3086/1.1</f>
        <v/>
      </c>
      <c r="P3086" s="36">
        <f>F3086&amp;E3086&amp;G3086&amp;J3086</f>
        <v/>
      </c>
    </row>
    <row r="3087">
      <c r="B3087" s="51" t="n">
        <v>44225</v>
      </c>
      <c r="C3087" s="36">
        <f>TEXT(B3087,"aaa")</f>
        <v/>
      </c>
      <c r="E3087" s="36">
        <f>INDEX(매칭테이블!C:C,MATCH(RD!G3087,매칭테이블!D:D,0))</f>
        <v/>
      </c>
      <c r="F3087" s="39" t="inlineStr">
        <is>
          <t>카페24</t>
        </is>
      </c>
      <c r="G3087" s="39" t="inlineStr">
        <is>
          <t>유즈 솔리드퍼퓸 - 스테이포에버 002제품선택=best스테이포에버 2개[28% 할인]</t>
        </is>
      </c>
      <c r="H3087" s="39" t="n">
        <v>2</v>
      </c>
      <c r="I3087" s="36">
        <f>VLOOKUP(G3087,매칭테이블!D:E,2,0)</f>
        <v/>
      </c>
      <c r="J3087" s="39" t="n">
        <v>210101</v>
      </c>
      <c r="L3087" s="36">
        <f>VLOOKUP($P3087,매칭테이블!$G:$J,2,0)*H3087</f>
        <v/>
      </c>
      <c r="M3087" s="36">
        <f>L3087-L3087*VLOOKUP($P3087,매칭테이블!$G:$J,3,0)</f>
        <v/>
      </c>
      <c r="N3087" s="36">
        <f>VLOOKUP($P3087,매칭테이블!$G:$J,4,0)*H3087</f>
        <v/>
      </c>
      <c r="O3087" s="52">
        <f>L3087/1.1</f>
        <v/>
      </c>
      <c r="P3087" s="36">
        <f>F3087&amp;E3087&amp;G3087&amp;J3087</f>
        <v/>
      </c>
    </row>
    <row r="3088">
      <c r="B3088" s="51" t="n">
        <v>44226</v>
      </c>
      <c r="C3088" s="36">
        <f>TEXT(B3088,"aaa")</f>
        <v/>
      </c>
      <c r="E3088" s="36">
        <f>INDEX(매칭테이블!C:C,MATCH(RD!G3088,매칭테이블!D:D,0))</f>
        <v/>
      </c>
      <c r="F3088" s="39" t="inlineStr">
        <is>
          <t>카페24</t>
        </is>
      </c>
      <c r="G3088" s="39" t="inlineStr">
        <is>
          <t>솔리드퍼퓸 세트향=이그나이트 001 SOLID PERFUME, 세트 선택=1개</t>
        </is>
      </c>
      <c r="H3088" s="39" t="n">
        <v>1</v>
      </c>
      <c r="I3088" s="36">
        <f>VLOOKUP(G3088,매칭테이블!D:E,2,0)</f>
        <v/>
      </c>
      <c r="J3088" s="39" t="n">
        <v>210101</v>
      </c>
      <c r="L3088" s="36">
        <f>VLOOKUP($P3088,매칭테이블!$G:$J,2,0)*H3088</f>
        <v/>
      </c>
      <c r="M3088" s="36">
        <f>L3088-L3088*VLOOKUP($P3088,매칭테이블!$G:$J,3,0)</f>
        <v/>
      </c>
      <c r="N3088" s="36">
        <f>VLOOKUP($P3088,매칭테이블!$G:$J,4,0)*H3088</f>
        <v/>
      </c>
      <c r="O3088" s="52">
        <f>L3088/1.1</f>
        <v/>
      </c>
      <c r="P3088" s="36">
        <f>F3088&amp;E3088&amp;G3088&amp;J3088</f>
        <v/>
      </c>
    </row>
    <row r="3089">
      <c r="B3089" s="51" t="n">
        <v>44226</v>
      </c>
      <c r="C3089" s="36">
        <f>TEXT(B3089,"aaa")</f>
        <v/>
      </c>
      <c r="E3089" s="36">
        <f>INDEX(매칭테이블!C:C,MATCH(RD!G3089,매칭테이블!D:D,0))</f>
        <v/>
      </c>
      <c r="F3089" s="39" t="inlineStr">
        <is>
          <t>카페24</t>
        </is>
      </c>
      <c r="G3089" s="39" t="inlineStr">
        <is>
          <t>솔리드퍼퓸 세트향=스테이포에버 002 SOLID PERFUME, 세트 선택=1개</t>
        </is>
      </c>
      <c r="H3089" s="39" t="n">
        <v>5</v>
      </c>
      <c r="I3089" s="36">
        <f>VLOOKUP(G3089,매칭테이블!D:E,2,0)</f>
        <v/>
      </c>
      <c r="J3089" s="39" t="n">
        <v>210101</v>
      </c>
      <c r="L3089" s="36">
        <f>VLOOKUP($P3089,매칭테이블!$G:$J,2,0)*H3089</f>
        <v/>
      </c>
      <c r="M3089" s="36">
        <f>L3089-L3089*VLOOKUP($P3089,매칭테이블!$G:$J,3,0)</f>
        <v/>
      </c>
      <c r="N3089" s="36">
        <f>VLOOKUP($P3089,매칭테이블!$G:$J,4,0)*H3089</f>
        <v/>
      </c>
      <c r="O3089" s="52">
        <f>L3089/1.1</f>
        <v/>
      </c>
      <c r="P3089" s="36">
        <f>F3089&amp;E3089&amp;G3089&amp;J3089</f>
        <v/>
      </c>
    </row>
    <row r="3090">
      <c r="B3090" s="51" t="n">
        <v>44226</v>
      </c>
      <c r="C3090" s="36">
        <f>TEXT(B3090,"aaa")</f>
        <v/>
      </c>
      <c r="E3090" s="36">
        <f>INDEX(매칭테이블!C:C,MATCH(RD!G3090,매칭테이블!D:D,0))</f>
        <v/>
      </c>
      <c r="F3090" s="39" t="inlineStr">
        <is>
          <t>카페24</t>
        </is>
      </c>
      <c r="G3090" s="39" t="inlineStr">
        <is>
          <t>솔리드퍼퓸 세트향=스테이포에버 002 SOLID PERFUME, 세트 선택=best 2개 (28% 할인)</t>
        </is>
      </c>
      <c r="H3090" s="39" t="n">
        <v>6</v>
      </c>
      <c r="I3090" s="36">
        <f>VLOOKUP(G3090,매칭테이블!D:E,2,0)</f>
        <v/>
      </c>
      <c r="J3090" s="39" t="n">
        <v>210101</v>
      </c>
      <c r="L3090" s="36">
        <f>VLOOKUP($P3090,매칭테이블!$G:$J,2,0)*H3090</f>
        <v/>
      </c>
      <c r="M3090" s="36">
        <f>L3090-L3090*VLOOKUP($P3090,매칭테이블!$G:$J,3,0)</f>
        <v/>
      </c>
      <c r="N3090" s="36">
        <f>VLOOKUP($P3090,매칭테이블!$G:$J,4,0)*H3090</f>
        <v/>
      </c>
      <c r="O3090" s="52">
        <f>L3090/1.1</f>
        <v/>
      </c>
      <c r="P3090" s="36">
        <f>F3090&amp;E3090&amp;G3090&amp;J3090</f>
        <v/>
      </c>
    </row>
    <row r="3091">
      <c r="B3091" s="51" t="n">
        <v>44226</v>
      </c>
      <c r="C3091" s="36">
        <f>TEXT(B3091,"aaa")</f>
        <v/>
      </c>
      <c r="E3091" s="36">
        <f>INDEX(매칭테이블!C:C,MATCH(RD!G3091,매칭테이블!D:D,0))</f>
        <v/>
      </c>
      <c r="F3091" s="39" t="inlineStr">
        <is>
          <t>카페24</t>
        </is>
      </c>
      <c r="G3091" s="39" t="inlineStr">
        <is>
          <t>솔리드퍼퓸 세트향=커플세트(이그나이트 + 스테이포에버), 세트 선택=1 SET</t>
        </is>
      </c>
      <c r="H3091" s="39" t="n">
        <v>10</v>
      </c>
      <c r="I3091" s="36">
        <f>VLOOKUP(G3091,매칭테이블!D:E,2,0)</f>
        <v/>
      </c>
      <c r="J3091" s="39" t="n">
        <v>210101</v>
      </c>
      <c r="L3091" s="36">
        <f>VLOOKUP($P3091,매칭테이블!$G:$J,2,0)*H3091</f>
        <v/>
      </c>
      <c r="M3091" s="36">
        <f>L3091-L3091*VLOOKUP($P3091,매칭테이블!$G:$J,3,0)</f>
        <v/>
      </c>
      <c r="N3091" s="36">
        <f>VLOOKUP($P3091,매칭테이블!$G:$J,4,0)*H3091</f>
        <v/>
      </c>
      <c r="O3091" s="52">
        <f>L3091/1.1</f>
        <v/>
      </c>
      <c r="P3091" s="36">
        <f>F3091&amp;E3091&amp;G3091&amp;J3091</f>
        <v/>
      </c>
    </row>
    <row r="3092">
      <c r="B3092" s="51" t="n">
        <v>44226</v>
      </c>
      <c r="C3092" s="36">
        <f>TEXT(B3092,"aaa")</f>
        <v/>
      </c>
      <c r="E3092" s="36">
        <f>INDEX(매칭테이블!C:C,MATCH(RD!G3092,매칭테이블!D:D,0))</f>
        <v/>
      </c>
      <c r="F3092" s="39" t="inlineStr">
        <is>
          <t>카페24</t>
        </is>
      </c>
      <c r="G3092" s="39" t="inlineStr">
        <is>
          <t>솔리드퍼퓸 스테이포에버 002제품선택=스테이포에버 1개</t>
        </is>
      </c>
      <c r="H3092" s="39" t="n">
        <v>266</v>
      </c>
      <c r="I3092" s="36">
        <f>VLOOKUP(G3092,매칭테이블!D:E,2,0)</f>
        <v/>
      </c>
      <c r="J3092" s="39" t="n">
        <v>210101</v>
      </c>
      <c r="L3092" s="36">
        <f>VLOOKUP($P3092,매칭테이블!$G:$J,2,0)*H3092</f>
        <v/>
      </c>
      <c r="M3092" s="36">
        <f>L3092-L3092*VLOOKUP($P3092,매칭테이블!$G:$J,3,0)</f>
        <v/>
      </c>
      <c r="N3092" s="36">
        <f>VLOOKUP($P3092,매칭테이블!$G:$J,4,0)*H3092</f>
        <v/>
      </c>
      <c r="O3092" s="52">
        <f>L3092/1.1</f>
        <v/>
      </c>
      <c r="P3092" s="36">
        <f>F3092&amp;E3092&amp;G3092&amp;J3092</f>
        <v/>
      </c>
    </row>
    <row r="3093">
      <c r="B3093" s="51" t="n">
        <v>44226</v>
      </c>
      <c r="C3093" s="36">
        <f>TEXT(B3093,"aaa")</f>
        <v/>
      </c>
      <c r="E3093" s="36">
        <f>INDEX(매칭테이블!C:C,MATCH(RD!G3093,매칭테이블!D:D,0))</f>
        <v/>
      </c>
      <c r="F3093" s="39" t="inlineStr">
        <is>
          <t>카페24</t>
        </is>
      </c>
      <c r="G3093" s="39" t="inlineStr">
        <is>
          <t>솔리드퍼퓸 스테이포에버 002제품선택=best스테이포에버 2개[28% 할인]</t>
        </is>
      </c>
      <c r="H3093" s="39" t="n">
        <v>100</v>
      </c>
      <c r="I3093" s="36">
        <f>VLOOKUP(G3093,매칭테이블!D:E,2,0)</f>
        <v/>
      </c>
      <c r="J3093" s="39" t="n">
        <v>210101</v>
      </c>
      <c r="L3093" s="36">
        <f>VLOOKUP($P3093,매칭테이블!$G:$J,2,0)*H3093</f>
        <v/>
      </c>
      <c r="M3093" s="36">
        <f>L3093-L3093*VLOOKUP($P3093,매칭테이블!$G:$J,3,0)</f>
        <v/>
      </c>
      <c r="N3093" s="36">
        <f>VLOOKUP($P3093,매칭테이블!$G:$J,4,0)*H3093</f>
        <v/>
      </c>
      <c r="O3093" s="52">
        <f>L3093/1.1</f>
        <v/>
      </c>
      <c r="P3093" s="36">
        <f>F3093&amp;E3093&amp;G3093&amp;J3093</f>
        <v/>
      </c>
    </row>
    <row r="3094">
      <c r="B3094" s="51" t="n">
        <v>44226</v>
      </c>
      <c r="C3094" s="36">
        <f>TEXT(B3094,"aaa")</f>
        <v/>
      </c>
      <c r="E3094" s="36">
        <f>INDEX(매칭테이블!C:C,MATCH(RD!G3094,매칭테이블!D:D,0))</f>
        <v/>
      </c>
      <c r="F3094" s="39" t="inlineStr">
        <is>
          <t>카페24</t>
        </is>
      </c>
      <c r="G3094" s="39" t="inlineStr">
        <is>
          <t>솔리드퍼퓸 스테이포에버 002제품선택=커플추천스테이포에버 + 이그나이트 세트</t>
        </is>
      </c>
      <c r="H3094" s="39" t="n">
        <v>13</v>
      </c>
      <c r="I3094" s="36">
        <f>VLOOKUP(G3094,매칭테이블!D:E,2,0)</f>
        <v/>
      </c>
      <c r="J3094" s="39" t="n">
        <v>210101</v>
      </c>
      <c r="L3094" s="36">
        <f>VLOOKUP($P3094,매칭테이블!$G:$J,2,0)*H3094</f>
        <v/>
      </c>
      <c r="M3094" s="36">
        <f>L3094-L3094*VLOOKUP($P3094,매칭테이블!$G:$J,3,0)</f>
        <v/>
      </c>
      <c r="N3094" s="36">
        <f>VLOOKUP($P3094,매칭테이블!$G:$J,4,0)*H3094</f>
        <v/>
      </c>
      <c r="O3094" s="52">
        <f>L3094/1.1</f>
        <v/>
      </c>
      <c r="P3094" s="36">
        <f>F3094&amp;E3094&amp;G3094&amp;J3094</f>
        <v/>
      </c>
    </row>
    <row r="3095">
      <c r="B3095" s="51" t="n">
        <v>44226</v>
      </c>
      <c r="C3095" s="36">
        <f>TEXT(B3095,"aaa")</f>
        <v/>
      </c>
      <c r="E3095" s="36">
        <f>INDEX(매칭테이블!C:C,MATCH(RD!G3095,매칭테이블!D:D,0))</f>
        <v/>
      </c>
      <c r="F3095" s="39" t="inlineStr">
        <is>
          <t>카페24</t>
        </is>
      </c>
      <c r="G3095" s="39" t="inlineStr">
        <is>
          <t>솔리드퍼퓸 스테이포에버 002쇼핑백=선물용 쇼핑백</t>
        </is>
      </c>
      <c r="H3095" s="39" t="n">
        <v>16</v>
      </c>
      <c r="I3095" s="36">
        <f>VLOOKUP(G3095,매칭테이블!D:E,2,0)</f>
        <v/>
      </c>
      <c r="J3095" s="39" t="n">
        <v>210101</v>
      </c>
      <c r="L3095" s="36">
        <f>VLOOKUP($P3095,매칭테이블!$G:$J,2,0)*H3095</f>
        <v/>
      </c>
      <c r="M3095" s="36">
        <f>L3095-L3095*VLOOKUP($P3095,매칭테이블!$G:$J,3,0)</f>
        <v/>
      </c>
      <c r="N3095" s="36">
        <f>VLOOKUP($P3095,매칭테이블!$G:$J,4,0)*H3095</f>
        <v/>
      </c>
      <c r="O3095" s="52">
        <f>L3095/1.1</f>
        <v/>
      </c>
      <c r="P3095" s="36">
        <f>F3095&amp;E3095&amp;G3095&amp;J3095</f>
        <v/>
      </c>
    </row>
    <row r="3096">
      <c r="B3096" s="51" t="n">
        <v>44226</v>
      </c>
      <c r="C3096" s="36">
        <f>TEXT(B3096,"aaa")</f>
        <v/>
      </c>
      <c r="E3096" s="36">
        <f>INDEX(매칭테이블!C:C,MATCH(RD!G3096,매칭테이블!D:D,0))</f>
        <v/>
      </c>
      <c r="F3096" s="39" t="inlineStr">
        <is>
          <t>카페24</t>
        </is>
      </c>
      <c r="G3096" s="39" t="inlineStr">
        <is>
          <t>솔리드퍼퓸 이그나이트 001제품선택=이그나이트 솔리드퍼퓸 - 30ml</t>
        </is>
      </c>
      <c r="H3096" s="39" t="n">
        <v>3</v>
      </c>
      <c r="I3096" s="36">
        <f>VLOOKUP(G3096,매칭테이블!D:E,2,0)</f>
        <v/>
      </c>
      <c r="J3096" s="39" t="n">
        <v>210101</v>
      </c>
      <c r="L3096" s="36">
        <f>VLOOKUP($P3096,매칭테이블!$G:$J,2,0)*H3096</f>
        <v/>
      </c>
      <c r="M3096" s="36">
        <f>L3096-L3096*VLOOKUP($P3096,매칭테이블!$G:$J,3,0)</f>
        <v/>
      </c>
      <c r="N3096" s="36">
        <f>VLOOKUP($P3096,매칭테이블!$G:$J,4,0)*H3096</f>
        <v/>
      </c>
      <c r="O3096" s="52">
        <f>L3096/1.1</f>
        <v/>
      </c>
      <c r="P3096" s="36">
        <f>F3096&amp;E3096&amp;G3096&amp;J3096</f>
        <v/>
      </c>
    </row>
    <row r="3097">
      <c r="B3097" s="51" t="n">
        <v>44226</v>
      </c>
      <c r="C3097" s="36">
        <f>TEXT(B3097,"aaa")</f>
        <v/>
      </c>
      <c r="E3097" s="36">
        <f>INDEX(매칭테이블!C:C,MATCH(RD!G3097,매칭테이블!D:D,0))</f>
        <v/>
      </c>
      <c r="F3097" s="39" t="inlineStr">
        <is>
          <t>카페24</t>
        </is>
      </c>
      <c r="G3097" s="39" t="inlineStr">
        <is>
          <t>솔리드퍼퓸 이그나이트 001제품선택=이그나이트 2개 세트</t>
        </is>
      </c>
      <c r="H3097" s="39" t="n">
        <v>4</v>
      </c>
      <c r="I3097" s="36">
        <f>VLOOKUP(G3097,매칭테이블!D:E,2,0)</f>
        <v/>
      </c>
      <c r="J3097" s="39" t="n">
        <v>210101</v>
      </c>
      <c r="L3097" s="36">
        <f>VLOOKUP($P3097,매칭테이블!$G:$J,2,0)*H3097</f>
        <v/>
      </c>
      <c r="M3097" s="36">
        <f>L3097-L3097*VLOOKUP($P3097,매칭테이블!$G:$J,3,0)</f>
        <v/>
      </c>
      <c r="N3097" s="36">
        <f>VLOOKUP($P3097,매칭테이블!$G:$J,4,0)*H3097</f>
        <v/>
      </c>
      <c r="O3097" s="52">
        <f>L3097/1.1</f>
        <v/>
      </c>
      <c r="P3097" s="36">
        <f>F3097&amp;E3097&amp;G3097&amp;J3097</f>
        <v/>
      </c>
    </row>
    <row r="3098">
      <c r="B3098" s="51" t="n">
        <v>44226</v>
      </c>
      <c r="C3098" s="36">
        <f>TEXT(B3098,"aaa")</f>
        <v/>
      </c>
      <c r="E3098" s="36">
        <f>INDEX(매칭테이블!C:C,MATCH(RD!G3098,매칭테이블!D:D,0))</f>
        <v/>
      </c>
      <c r="F3098" s="39" t="inlineStr">
        <is>
          <t>카페24</t>
        </is>
      </c>
      <c r="G3098" s="39" t="inlineStr">
        <is>
          <t>유즈 솔리드퍼퓸 - 30ml향=이그나이트 001 SOLID PERFUME, 세트 선택=1개</t>
        </is>
      </c>
      <c r="H3098" s="39" t="n">
        <v>1</v>
      </c>
      <c r="I3098" s="36">
        <f>VLOOKUP(G3098,매칭테이블!D:E,2,0)</f>
        <v/>
      </c>
      <c r="J3098" s="39" t="n">
        <v>210101</v>
      </c>
      <c r="L3098" s="36">
        <f>VLOOKUP($P3098,매칭테이블!$G:$J,2,0)*H3098</f>
        <v/>
      </c>
      <c r="M3098" s="36">
        <f>L3098-L3098*VLOOKUP($P3098,매칭테이블!$G:$J,3,0)</f>
        <v/>
      </c>
      <c r="N3098" s="36">
        <f>VLOOKUP($P3098,매칭테이블!$G:$J,4,0)*H3098</f>
        <v/>
      </c>
      <c r="O3098" s="52">
        <f>L3098/1.1</f>
        <v/>
      </c>
      <c r="P3098" s="36">
        <f>F3098&amp;E3098&amp;G3098&amp;J3098</f>
        <v/>
      </c>
    </row>
    <row r="3099">
      <c r="B3099" s="51" t="n">
        <v>44227</v>
      </c>
      <c r="C3099" s="36">
        <f>TEXT(B3099,"aaa")</f>
        <v/>
      </c>
      <c r="E3099" s="36">
        <f>INDEX(매칭테이블!C:C,MATCH(RD!G3099,매칭테이블!D:D,0))</f>
        <v/>
      </c>
      <c r="F3099" s="39" t="inlineStr">
        <is>
          <t>카페24</t>
        </is>
      </c>
      <c r="G3099" s="39" t="inlineStr">
        <is>
          <t>솔리드퍼퓸 세트향=스테이포에버 002 SOLID PERFUME, 세트 선택=1개</t>
        </is>
      </c>
      <c r="H3099" s="39" t="n">
        <v>12</v>
      </c>
      <c r="I3099" s="36">
        <f>VLOOKUP(G3099,매칭테이블!D:E,2,0)</f>
        <v/>
      </c>
      <c r="J3099" s="39" t="n">
        <v>210101</v>
      </c>
      <c r="L3099" s="36">
        <f>VLOOKUP($P3099,매칭테이블!$G:$J,2,0)*H3099</f>
        <v/>
      </c>
      <c r="M3099" s="36">
        <f>L3099-L3099*VLOOKUP($P3099,매칭테이블!$G:$J,3,0)</f>
        <v/>
      </c>
      <c r="N3099" s="36">
        <f>VLOOKUP($P3099,매칭테이블!$G:$J,4,0)*H3099</f>
        <v/>
      </c>
      <c r="O3099" s="52">
        <f>L3099/1.1</f>
        <v/>
      </c>
      <c r="P3099" s="36">
        <f>F3099&amp;E3099&amp;G3099&amp;J3099</f>
        <v/>
      </c>
    </row>
    <row r="3100">
      <c r="B3100" s="51" t="n">
        <v>44227</v>
      </c>
      <c r="C3100" s="36">
        <f>TEXT(B3100,"aaa")</f>
        <v/>
      </c>
      <c r="E3100" s="36">
        <f>INDEX(매칭테이블!C:C,MATCH(RD!G3100,매칭테이블!D:D,0))</f>
        <v/>
      </c>
      <c r="F3100" s="39" t="inlineStr">
        <is>
          <t>카페24</t>
        </is>
      </c>
      <c r="G3100" s="39" t="inlineStr">
        <is>
          <t>솔리드퍼퓸 세트향=스테이포에버 002 SOLID PERFUME, 세트 선택=best 2개 (28% 할인)</t>
        </is>
      </c>
      <c r="H3100" s="39" t="n">
        <v>11</v>
      </c>
      <c r="I3100" s="36">
        <f>VLOOKUP(G3100,매칭테이블!D:E,2,0)</f>
        <v/>
      </c>
      <c r="J3100" s="39" t="n">
        <v>210101</v>
      </c>
      <c r="L3100" s="36">
        <f>VLOOKUP($P3100,매칭테이블!$G:$J,2,0)*H3100</f>
        <v/>
      </c>
      <c r="M3100" s="36">
        <f>L3100-L3100*VLOOKUP($P3100,매칭테이블!$G:$J,3,0)</f>
        <v/>
      </c>
      <c r="N3100" s="36">
        <f>VLOOKUP($P3100,매칭테이블!$G:$J,4,0)*H3100</f>
        <v/>
      </c>
      <c r="O3100" s="52">
        <f>L3100/1.1</f>
        <v/>
      </c>
      <c r="P3100" s="36">
        <f>F3100&amp;E3100&amp;G3100&amp;J3100</f>
        <v/>
      </c>
    </row>
    <row r="3101">
      <c r="B3101" s="51" t="n">
        <v>44227</v>
      </c>
      <c r="C3101" s="36">
        <f>TEXT(B3101,"aaa")</f>
        <v/>
      </c>
      <c r="E3101" s="36">
        <f>INDEX(매칭테이블!C:C,MATCH(RD!G3101,매칭테이블!D:D,0))</f>
        <v/>
      </c>
      <c r="F3101" s="39" t="inlineStr">
        <is>
          <t>카페24</t>
        </is>
      </c>
      <c r="G3101" s="39" t="inlineStr">
        <is>
          <t>솔리드퍼퓸 세트향=커플세트(이그나이트 + 스테이포에버), 세트 선택=1 SET</t>
        </is>
      </c>
      <c r="H3101" s="39" t="n">
        <v>15</v>
      </c>
      <c r="I3101" s="36">
        <f>VLOOKUP(G3101,매칭테이블!D:E,2,0)</f>
        <v/>
      </c>
      <c r="J3101" s="39" t="n">
        <v>210101</v>
      </c>
      <c r="L3101" s="36">
        <f>VLOOKUP($P3101,매칭테이블!$G:$J,2,0)*H3101</f>
        <v/>
      </c>
      <c r="M3101" s="36">
        <f>L3101-L3101*VLOOKUP($P3101,매칭테이블!$G:$J,3,0)</f>
        <v/>
      </c>
      <c r="N3101" s="36">
        <f>VLOOKUP($P3101,매칭테이블!$G:$J,4,0)*H3101</f>
        <v/>
      </c>
      <c r="O3101" s="52">
        <f>L3101/1.1</f>
        <v/>
      </c>
      <c r="P3101" s="36">
        <f>F3101&amp;E3101&amp;G3101&amp;J3101</f>
        <v/>
      </c>
    </row>
    <row r="3102">
      <c r="B3102" s="51" t="n">
        <v>44227</v>
      </c>
      <c r="C3102" s="36">
        <f>TEXT(B3102,"aaa")</f>
        <v/>
      </c>
      <c r="E3102" s="36">
        <f>INDEX(매칭테이블!C:C,MATCH(RD!G3102,매칭테이블!D:D,0))</f>
        <v/>
      </c>
      <c r="F3102" s="39" t="inlineStr">
        <is>
          <t>카페24</t>
        </is>
      </c>
      <c r="G3102" s="39" t="inlineStr">
        <is>
          <t>솔리드퍼퓸 세트향=커플세트(이그나이트 + 스테이포에버), 세트 선택=2 SET (42% 할인)</t>
        </is>
      </c>
      <c r="H3102" s="39" t="n">
        <v>3</v>
      </c>
      <c r="I3102" s="36">
        <f>VLOOKUP(G3102,매칭테이블!D:E,2,0)</f>
        <v/>
      </c>
      <c r="J3102" s="39" t="n">
        <v>210101</v>
      </c>
      <c r="L3102" s="36">
        <f>VLOOKUP($P3102,매칭테이블!$G:$J,2,0)*H3102</f>
        <v/>
      </c>
      <c r="M3102" s="36">
        <f>L3102-L3102*VLOOKUP($P3102,매칭테이블!$G:$J,3,0)</f>
        <v/>
      </c>
      <c r="N3102" s="36">
        <f>VLOOKUP($P3102,매칭테이블!$G:$J,4,0)*H3102</f>
        <v/>
      </c>
      <c r="O3102" s="52">
        <f>L3102/1.1</f>
        <v/>
      </c>
      <c r="P3102" s="36">
        <f>F3102&amp;E3102&amp;G3102&amp;J3102</f>
        <v/>
      </c>
    </row>
    <row r="3103">
      <c r="B3103" s="51" t="n">
        <v>44227</v>
      </c>
      <c r="C3103" s="36">
        <f>TEXT(B3103,"aaa")</f>
        <v/>
      </c>
      <c r="E3103" s="36">
        <f>INDEX(매칭테이블!C:C,MATCH(RD!G3103,매칭테이블!D:D,0))</f>
        <v/>
      </c>
      <c r="F3103" s="39" t="inlineStr">
        <is>
          <t>카페24</t>
        </is>
      </c>
      <c r="G3103" s="39" t="inlineStr">
        <is>
          <t>솔리드퍼퓸 스테이포에버 002제품선택=스테이포에버 1개</t>
        </is>
      </c>
      <c r="H3103" s="39" t="n">
        <v>270</v>
      </c>
      <c r="I3103" s="36">
        <f>VLOOKUP(G3103,매칭테이블!D:E,2,0)</f>
        <v/>
      </c>
      <c r="J3103" s="39" t="n">
        <v>210101</v>
      </c>
      <c r="L3103" s="36">
        <f>VLOOKUP($P3103,매칭테이블!$G:$J,2,0)*H3103</f>
        <v/>
      </c>
      <c r="M3103" s="36">
        <f>L3103-L3103*VLOOKUP($P3103,매칭테이블!$G:$J,3,0)</f>
        <v/>
      </c>
      <c r="N3103" s="36">
        <f>VLOOKUP($P3103,매칭테이블!$G:$J,4,0)*H3103</f>
        <v/>
      </c>
      <c r="O3103" s="52">
        <f>L3103/1.1</f>
        <v/>
      </c>
      <c r="P3103" s="36">
        <f>F3103&amp;E3103&amp;G3103&amp;J3103</f>
        <v/>
      </c>
    </row>
    <row r="3104">
      <c r="B3104" s="51" t="n">
        <v>44227</v>
      </c>
      <c r="C3104" s="36">
        <f>TEXT(B3104,"aaa")</f>
        <v/>
      </c>
      <c r="E3104" s="36">
        <f>INDEX(매칭테이블!C:C,MATCH(RD!G3104,매칭테이블!D:D,0))</f>
        <v/>
      </c>
      <c r="F3104" s="39" t="inlineStr">
        <is>
          <t>카페24</t>
        </is>
      </c>
      <c r="G3104" s="39" t="inlineStr">
        <is>
          <t>솔리드퍼퓸 스테이포에버 002제품선택=best스테이포에버 2개[28% 할인]</t>
        </is>
      </c>
      <c r="H3104" s="39" t="n">
        <v>139</v>
      </c>
      <c r="I3104" s="36">
        <f>VLOOKUP(G3104,매칭테이블!D:E,2,0)</f>
        <v/>
      </c>
      <c r="J3104" s="39" t="n">
        <v>210101</v>
      </c>
      <c r="L3104" s="36">
        <f>VLOOKUP($P3104,매칭테이블!$G:$J,2,0)*H3104</f>
        <v/>
      </c>
      <c r="M3104" s="36">
        <f>L3104-L3104*VLOOKUP($P3104,매칭테이블!$G:$J,3,0)</f>
        <v/>
      </c>
      <c r="N3104" s="36">
        <f>VLOOKUP($P3104,매칭테이블!$G:$J,4,0)*H3104</f>
        <v/>
      </c>
      <c r="O3104" s="52">
        <f>L3104/1.1</f>
        <v/>
      </c>
      <c r="P3104" s="36">
        <f>F3104&amp;E3104&amp;G3104&amp;J3104</f>
        <v/>
      </c>
    </row>
    <row r="3105">
      <c r="B3105" s="51" t="n">
        <v>44227</v>
      </c>
      <c r="C3105" s="36">
        <f>TEXT(B3105,"aaa")</f>
        <v/>
      </c>
      <c r="E3105" s="36">
        <f>INDEX(매칭테이블!C:C,MATCH(RD!G3105,매칭테이블!D:D,0))</f>
        <v/>
      </c>
      <c r="F3105" s="39" t="inlineStr">
        <is>
          <t>카페24</t>
        </is>
      </c>
      <c r="G3105" s="39" t="inlineStr">
        <is>
          <t>솔리드퍼퓸 스테이포에버 002제품선택=커플추천스테이포에버 + 이그나이트 세트</t>
        </is>
      </c>
      <c r="H3105" s="39" t="n">
        <v>18</v>
      </c>
      <c r="I3105" s="36">
        <f>VLOOKUP(G3105,매칭테이블!D:E,2,0)</f>
        <v/>
      </c>
      <c r="J3105" s="39" t="n">
        <v>210101</v>
      </c>
      <c r="L3105" s="36">
        <f>VLOOKUP($P3105,매칭테이블!$G:$J,2,0)*H3105</f>
        <v/>
      </c>
      <c r="M3105" s="36">
        <f>L3105-L3105*VLOOKUP($P3105,매칭테이블!$G:$J,3,0)</f>
        <v/>
      </c>
      <c r="N3105" s="36">
        <f>VLOOKUP($P3105,매칭테이블!$G:$J,4,0)*H3105</f>
        <v/>
      </c>
      <c r="O3105" s="52">
        <f>L3105/1.1</f>
        <v/>
      </c>
      <c r="P3105" s="36">
        <f>F3105&amp;E3105&amp;G3105&amp;J3105</f>
        <v/>
      </c>
    </row>
    <row r="3106">
      <c r="B3106" s="51" t="n">
        <v>44227</v>
      </c>
      <c r="C3106" s="36">
        <f>TEXT(B3106,"aaa")</f>
        <v/>
      </c>
      <c r="E3106" s="36">
        <f>INDEX(매칭테이블!C:C,MATCH(RD!G3106,매칭테이블!D:D,0))</f>
        <v/>
      </c>
      <c r="F3106" s="39" t="inlineStr">
        <is>
          <t>카페24</t>
        </is>
      </c>
      <c r="G3106" s="39" t="inlineStr">
        <is>
          <t>솔리드퍼퓸 스테이포에버 002쇼핑백=선물용 쇼핑백</t>
        </is>
      </c>
      <c r="H3106" s="39" t="n">
        <v>17</v>
      </c>
      <c r="I3106" s="36">
        <f>VLOOKUP(G3106,매칭테이블!D:E,2,0)</f>
        <v/>
      </c>
      <c r="J3106" s="39" t="n">
        <v>210101</v>
      </c>
      <c r="L3106" s="36">
        <f>VLOOKUP($P3106,매칭테이블!$G:$J,2,0)*H3106</f>
        <v/>
      </c>
      <c r="M3106" s="36">
        <f>L3106-L3106*VLOOKUP($P3106,매칭테이블!$G:$J,3,0)</f>
        <v/>
      </c>
      <c r="N3106" s="36">
        <f>VLOOKUP($P3106,매칭테이블!$G:$J,4,0)*H3106</f>
        <v/>
      </c>
      <c r="O3106" s="52">
        <f>L3106/1.1</f>
        <v/>
      </c>
      <c r="P3106" s="36">
        <f>F3106&amp;E3106&amp;G3106&amp;J3106</f>
        <v/>
      </c>
    </row>
    <row r="3107">
      <c r="B3107" s="51" t="n">
        <v>44227</v>
      </c>
      <c r="C3107" s="36">
        <f>TEXT(B3107,"aaa")</f>
        <v/>
      </c>
      <c r="E3107" s="36">
        <f>INDEX(매칭테이블!C:C,MATCH(RD!G3107,매칭테이블!D:D,0))</f>
        <v/>
      </c>
      <c r="F3107" s="39" t="inlineStr">
        <is>
          <t>카페24</t>
        </is>
      </c>
      <c r="G3107" s="39" t="inlineStr">
        <is>
          <t>솔리드퍼퓸 이그나이트 001제품선택=이그나이트 솔리드퍼퓸 - 30ml</t>
        </is>
      </c>
      <c r="H3107" s="39" t="n">
        <v>3</v>
      </c>
      <c r="I3107" s="36">
        <f>VLOOKUP(G3107,매칭테이블!D:E,2,0)</f>
        <v/>
      </c>
      <c r="J3107" s="39" t="n">
        <v>210101</v>
      </c>
      <c r="L3107" s="36">
        <f>VLOOKUP($P3107,매칭테이블!$G:$J,2,0)*H3107</f>
        <v/>
      </c>
      <c r="M3107" s="36">
        <f>L3107-L3107*VLOOKUP($P3107,매칭테이블!$G:$J,3,0)</f>
        <v/>
      </c>
      <c r="N3107" s="36">
        <f>VLOOKUP($P3107,매칭테이블!$G:$J,4,0)*H3107</f>
        <v/>
      </c>
      <c r="O3107" s="52">
        <f>L3107/1.1</f>
        <v/>
      </c>
      <c r="P3107" s="36">
        <f>F3107&amp;E3107&amp;G3107&amp;J3107</f>
        <v/>
      </c>
    </row>
    <row r="3108">
      <c r="B3108" s="51" t="n">
        <v>44227</v>
      </c>
      <c r="C3108" s="36">
        <f>TEXT(B3108,"aaa")</f>
        <v/>
      </c>
      <c r="E3108" s="36">
        <f>INDEX(매칭테이블!C:C,MATCH(RD!G3108,매칭테이블!D:D,0))</f>
        <v/>
      </c>
      <c r="F3108" s="39" t="inlineStr">
        <is>
          <t>카페24</t>
        </is>
      </c>
      <c r="G3108" s="39" t="inlineStr">
        <is>
          <t>솔리드퍼퓸 이그나이트 001제품선택=이그나이트 2개 세트</t>
        </is>
      </c>
      <c r="H3108" s="39" t="n">
        <v>1</v>
      </c>
      <c r="I3108" s="36">
        <f>VLOOKUP(G3108,매칭테이블!D:E,2,0)</f>
        <v/>
      </c>
      <c r="J3108" s="39" t="n">
        <v>210101</v>
      </c>
      <c r="L3108" s="36">
        <f>VLOOKUP($P3108,매칭테이블!$G:$J,2,0)*H3108</f>
        <v/>
      </c>
      <c r="M3108" s="36">
        <f>L3108-L3108*VLOOKUP($P3108,매칭테이블!$G:$J,3,0)</f>
        <v/>
      </c>
      <c r="N3108" s="36">
        <f>VLOOKUP($P3108,매칭테이블!$G:$J,4,0)*H3108</f>
        <v/>
      </c>
      <c r="O3108" s="52">
        <f>L3108/1.1</f>
        <v/>
      </c>
      <c r="P3108" s="36">
        <f>F3108&amp;E3108&amp;G3108&amp;J3108</f>
        <v/>
      </c>
    </row>
    <row r="3109">
      <c r="B3109" s="51" t="n">
        <v>44228</v>
      </c>
      <c r="C3109" s="36">
        <f>TEXT(B3109,"aaa")</f>
        <v/>
      </c>
      <c r="E3109" s="36">
        <f>INDEX(매칭테이블!C:C,MATCH(RD!G3109,매칭테이블!D:D,0))</f>
        <v/>
      </c>
      <c r="F3109" s="39" t="inlineStr">
        <is>
          <t>카페24</t>
        </is>
      </c>
      <c r="G3109" s="39" t="inlineStr">
        <is>
          <t>솔리드퍼퓸 세트향=이그나이트 001 SOLID PERFUME, 세트 선택=1개</t>
        </is>
      </c>
      <c r="H3109" s="39" t="n">
        <v>3</v>
      </c>
      <c r="I3109" s="36">
        <f>VLOOKUP(G3109,매칭테이블!D:E,2,0)</f>
        <v/>
      </c>
      <c r="J3109" s="39" t="n">
        <v>210101</v>
      </c>
      <c r="L3109" s="36">
        <f>VLOOKUP($P3109,매칭테이블!$G:$J,2,0)*H3109</f>
        <v/>
      </c>
      <c r="M3109" s="36">
        <f>L3109-L3109*VLOOKUP($P3109,매칭테이블!$G:$J,3,0)</f>
        <v/>
      </c>
      <c r="N3109" s="36">
        <f>VLOOKUP($P3109,매칭테이블!$G:$J,4,0)*H3109</f>
        <v/>
      </c>
      <c r="O3109" s="52">
        <f>L3109/1.1</f>
        <v/>
      </c>
      <c r="P3109" s="36">
        <f>F3109&amp;E3109&amp;G3109&amp;J3109</f>
        <v/>
      </c>
    </row>
    <row r="3110">
      <c r="B3110" s="51" t="n">
        <v>44228</v>
      </c>
      <c r="C3110" s="36">
        <f>TEXT(B3110,"aaa")</f>
        <v/>
      </c>
      <c r="E3110" s="36">
        <f>INDEX(매칭테이블!C:C,MATCH(RD!G3110,매칭테이블!D:D,0))</f>
        <v/>
      </c>
      <c r="F3110" s="39" t="inlineStr">
        <is>
          <t>카페24</t>
        </is>
      </c>
      <c r="G3110" s="39" t="inlineStr">
        <is>
          <t>솔리드퍼퓸 세트향=이그나이트 001 SOLID PERFUME, 세트 선택=best 2개 (28% 할인)</t>
        </is>
      </c>
      <c r="H3110" s="39" t="n">
        <v>1</v>
      </c>
      <c r="I3110" s="36">
        <f>VLOOKUP(G3110,매칭테이블!D:E,2,0)</f>
        <v/>
      </c>
      <c r="J3110" s="39" t="n">
        <v>210101</v>
      </c>
      <c r="L3110" s="36">
        <f>VLOOKUP($P3110,매칭테이블!$G:$J,2,0)*H3110</f>
        <v/>
      </c>
      <c r="M3110" s="36">
        <f>L3110-L3110*VLOOKUP($P3110,매칭테이블!$G:$J,3,0)</f>
        <v/>
      </c>
      <c r="N3110" s="36">
        <f>VLOOKUP($P3110,매칭테이블!$G:$J,4,0)*H3110</f>
        <v/>
      </c>
      <c r="O3110" s="52">
        <f>L3110/1.1</f>
        <v/>
      </c>
      <c r="P3110" s="36">
        <f>F3110&amp;E3110&amp;G3110&amp;J3110</f>
        <v/>
      </c>
    </row>
    <row r="3111">
      <c r="B3111" s="51" t="n">
        <v>44228</v>
      </c>
      <c r="C3111" s="36">
        <f>TEXT(B3111,"aaa")</f>
        <v/>
      </c>
      <c r="E3111" s="36">
        <f>INDEX(매칭테이블!C:C,MATCH(RD!G3111,매칭테이블!D:D,0))</f>
        <v/>
      </c>
      <c r="F3111" s="39" t="inlineStr">
        <is>
          <t>카페24</t>
        </is>
      </c>
      <c r="G3111" s="39" t="inlineStr">
        <is>
          <t>솔리드퍼퓸 세트향=스테이포에버 002 SOLID PERFUME, 세트 선택=1개</t>
        </is>
      </c>
      <c r="H3111" s="39" t="n">
        <v>12</v>
      </c>
      <c r="I3111" s="36">
        <f>VLOOKUP(G3111,매칭테이블!D:E,2,0)</f>
        <v/>
      </c>
      <c r="J3111" s="39" t="n">
        <v>210101</v>
      </c>
      <c r="L3111" s="36">
        <f>VLOOKUP($P3111,매칭테이블!$G:$J,2,0)*H3111</f>
        <v/>
      </c>
      <c r="M3111" s="36">
        <f>L3111-L3111*VLOOKUP($P3111,매칭테이블!$G:$J,3,0)</f>
        <v/>
      </c>
      <c r="N3111" s="36">
        <f>VLOOKUP($P3111,매칭테이블!$G:$J,4,0)*H3111</f>
        <v/>
      </c>
      <c r="O3111" s="52">
        <f>L3111/1.1</f>
        <v/>
      </c>
      <c r="P3111" s="36">
        <f>F3111&amp;E3111&amp;G3111&amp;J3111</f>
        <v/>
      </c>
    </row>
    <row r="3112">
      <c r="B3112" s="51" t="n">
        <v>44228</v>
      </c>
      <c r="C3112" s="36">
        <f>TEXT(B3112,"aaa")</f>
        <v/>
      </c>
      <c r="E3112" s="36">
        <f>INDEX(매칭테이블!C:C,MATCH(RD!G3112,매칭테이블!D:D,0))</f>
        <v/>
      </c>
      <c r="F3112" s="39" t="inlineStr">
        <is>
          <t>카페24</t>
        </is>
      </c>
      <c r="G3112" s="39" t="inlineStr">
        <is>
          <t>솔리드퍼퓸 세트향=스테이포에버 002 SOLID PERFUME, 세트 선택=best 2개 (28% 할인)</t>
        </is>
      </c>
      <c r="H3112" s="39" t="n">
        <v>4</v>
      </c>
      <c r="I3112" s="36">
        <f>VLOOKUP(G3112,매칭테이블!D:E,2,0)</f>
        <v/>
      </c>
      <c r="J3112" s="39" t="n">
        <v>210101</v>
      </c>
      <c r="L3112" s="36">
        <f>VLOOKUP($P3112,매칭테이블!$G:$J,2,0)*H3112</f>
        <v/>
      </c>
      <c r="M3112" s="36">
        <f>L3112-L3112*VLOOKUP($P3112,매칭테이블!$G:$J,3,0)</f>
        <v/>
      </c>
      <c r="N3112" s="36">
        <f>VLOOKUP($P3112,매칭테이블!$G:$J,4,0)*H3112</f>
        <v/>
      </c>
      <c r="O3112" s="52">
        <f>L3112/1.1</f>
        <v/>
      </c>
      <c r="P3112" s="36">
        <f>F3112&amp;E3112&amp;G3112&amp;J3112</f>
        <v/>
      </c>
    </row>
    <row r="3113">
      <c r="B3113" s="51" t="n">
        <v>44228</v>
      </c>
      <c r="C3113" s="36">
        <f>TEXT(B3113,"aaa")</f>
        <v/>
      </c>
      <c r="E3113" s="36">
        <f>INDEX(매칭테이블!C:C,MATCH(RD!G3113,매칭테이블!D:D,0))</f>
        <v/>
      </c>
      <c r="F3113" s="39" t="inlineStr">
        <is>
          <t>카페24</t>
        </is>
      </c>
      <c r="G3113" s="39" t="inlineStr">
        <is>
          <t>솔리드퍼퓸 세트향=커플세트(이그나이트 + 스테이포에버), 세트 선택=1 SET</t>
        </is>
      </c>
      <c r="H3113" s="39" t="n">
        <v>9</v>
      </c>
      <c r="I3113" s="36">
        <f>VLOOKUP(G3113,매칭테이블!D:E,2,0)</f>
        <v/>
      </c>
      <c r="J3113" s="39" t="n">
        <v>210101</v>
      </c>
      <c r="L3113" s="36">
        <f>VLOOKUP($P3113,매칭테이블!$G:$J,2,0)*H3113</f>
        <v/>
      </c>
      <c r="M3113" s="36">
        <f>L3113-L3113*VLOOKUP($P3113,매칭테이블!$G:$J,3,0)</f>
        <v/>
      </c>
      <c r="N3113" s="36">
        <f>VLOOKUP($P3113,매칭테이블!$G:$J,4,0)*H3113</f>
        <v/>
      </c>
      <c r="O3113" s="52">
        <f>L3113/1.1</f>
        <v/>
      </c>
      <c r="P3113" s="36">
        <f>F3113&amp;E3113&amp;G3113&amp;J3113</f>
        <v/>
      </c>
    </row>
    <row r="3114">
      <c r="B3114" s="51" t="n">
        <v>44228</v>
      </c>
      <c r="C3114" s="36">
        <f>TEXT(B3114,"aaa")</f>
        <v/>
      </c>
      <c r="E3114" s="36">
        <f>INDEX(매칭테이블!C:C,MATCH(RD!G3114,매칭테이블!D:D,0))</f>
        <v/>
      </c>
      <c r="F3114" s="39" t="inlineStr">
        <is>
          <t>카페24</t>
        </is>
      </c>
      <c r="G3114" s="39" t="inlineStr">
        <is>
          <t>솔리드퍼퓸 세트향=커플세트(이그나이트 + 스테이포에버), 세트 선택=2 SET (42% 할인)</t>
        </is>
      </c>
      <c r="H3114" s="39" t="n">
        <v>1</v>
      </c>
      <c r="I3114" s="36">
        <f>VLOOKUP(G3114,매칭테이블!D:E,2,0)</f>
        <v/>
      </c>
      <c r="J3114" s="39" t="n">
        <v>210101</v>
      </c>
      <c r="L3114" s="36">
        <f>VLOOKUP($P3114,매칭테이블!$G:$J,2,0)*H3114</f>
        <v/>
      </c>
      <c r="M3114" s="36">
        <f>L3114-L3114*VLOOKUP($P3114,매칭테이블!$G:$J,3,0)</f>
        <v/>
      </c>
      <c r="N3114" s="36">
        <f>VLOOKUP($P3114,매칭테이블!$G:$J,4,0)*H3114</f>
        <v/>
      </c>
      <c r="O3114" s="52">
        <f>L3114/1.1</f>
        <v/>
      </c>
      <c r="P3114" s="36">
        <f>F3114&amp;E3114&amp;G3114&amp;J3114</f>
        <v/>
      </c>
    </row>
    <row r="3115">
      <c r="B3115" s="51" t="n">
        <v>44228</v>
      </c>
      <c r="C3115" s="36">
        <f>TEXT(B3115,"aaa")</f>
        <v/>
      </c>
      <c r="E3115" s="36">
        <f>INDEX(매칭테이블!C:C,MATCH(RD!G3115,매칭테이블!D:D,0))</f>
        <v/>
      </c>
      <c r="F3115" s="39" t="inlineStr">
        <is>
          <t>카페24</t>
        </is>
      </c>
      <c r="G3115" s="39" t="inlineStr">
        <is>
          <t>솔리드퍼퓸 스테이포에버 002제품선택=스테이포에버 1개</t>
        </is>
      </c>
      <c r="H3115" s="39" t="n">
        <v>291</v>
      </c>
      <c r="I3115" s="36">
        <f>VLOOKUP(G3115,매칭테이블!D:E,2,0)</f>
        <v/>
      </c>
      <c r="J3115" s="39" t="n">
        <v>210101</v>
      </c>
      <c r="L3115" s="36">
        <f>VLOOKUP($P3115,매칭테이블!$G:$J,2,0)*H3115</f>
        <v/>
      </c>
      <c r="M3115" s="36">
        <f>L3115-L3115*VLOOKUP($P3115,매칭테이블!$G:$J,3,0)</f>
        <v/>
      </c>
      <c r="N3115" s="36">
        <f>VLOOKUP($P3115,매칭테이블!$G:$J,4,0)*H3115</f>
        <v/>
      </c>
      <c r="O3115" s="52">
        <f>L3115/1.1</f>
        <v/>
      </c>
      <c r="P3115" s="36">
        <f>F3115&amp;E3115&amp;G3115&amp;J3115</f>
        <v/>
      </c>
    </row>
    <row r="3116">
      <c r="B3116" s="51" t="n">
        <v>44228</v>
      </c>
      <c r="C3116" s="36">
        <f>TEXT(B3116,"aaa")</f>
        <v/>
      </c>
      <c r="E3116" s="36">
        <f>INDEX(매칭테이블!C:C,MATCH(RD!G3116,매칭테이블!D:D,0))</f>
        <v/>
      </c>
      <c r="F3116" s="39" t="inlineStr">
        <is>
          <t>카페24</t>
        </is>
      </c>
      <c r="G3116" s="39" t="inlineStr">
        <is>
          <t>솔리드퍼퓸 스테이포에버 002제품선택=best스테이포에버 2개[28% 할인]</t>
        </is>
      </c>
      <c r="H3116" s="39" t="n">
        <v>123</v>
      </c>
      <c r="I3116" s="36">
        <f>VLOOKUP(G3116,매칭테이블!D:E,2,0)</f>
        <v/>
      </c>
      <c r="J3116" s="39" t="n">
        <v>210101</v>
      </c>
      <c r="L3116" s="36">
        <f>VLOOKUP($P3116,매칭테이블!$G:$J,2,0)*H3116</f>
        <v/>
      </c>
      <c r="M3116" s="36">
        <f>L3116-L3116*VLOOKUP($P3116,매칭테이블!$G:$J,3,0)</f>
        <v/>
      </c>
      <c r="N3116" s="36">
        <f>VLOOKUP($P3116,매칭테이블!$G:$J,4,0)*H3116</f>
        <v/>
      </c>
      <c r="O3116" s="52">
        <f>L3116/1.1</f>
        <v/>
      </c>
      <c r="P3116" s="36">
        <f>F3116&amp;E3116&amp;G3116&amp;J3116</f>
        <v/>
      </c>
    </row>
    <row r="3117">
      <c r="B3117" s="51" t="n">
        <v>44228</v>
      </c>
      <c r="C3117" s="36">
        <f>TEXT(B3117,"aaa")</f>
        <v/>
      </c>
      <c r="E3117" s="36">
        <f>INDEX(매칭테이블!C:C,MATCH(RD!G3117,매칭테이블!D:D,0))</f>
        <v/>
      </c>
      <c r="F3117" s="39" t="inlineStr">
        <is>
          <t>카페24</t>
        </is>
      </c>
      <c r="G3117" s="39" t="inlineStr">
        <is>
          <t>솔리드퍼퓸 스테이포에버 002제품선택=커플추천스테이포에버 + 이그나이트 세트</t>
        </is>
      </c>
      <c r="H3117" s="39" t="n">
        <v>14</v>
      </c>
      <c r="I3117" s="36">
        <f>VLOOKUP(G3117,매칭테이블!D:E,2,0)</f>
        <v/>
      </c>
      <c r="J3117" s="39" t="n">
        <v>210101</v>
      </c>
      <c r="L3117" s="36">
        <f>VLOOKUP($P3117,매칭테이블!$G:$J,2,0)*H3117</f>
        <v/>
      </c>
      <c r="M3117" s="36">
        <f>L3117-L3117*VLOOKUP($P3117,매칭테이블!$G:$J,3,0)</f>
        <v/>
      </c>
      <c r="N3117" s="36">
        <f>VLOOKUP($P3117,매칭테이블!$G:$J,4,0)*H3117</f>
        <v/>
      </c>
      <c r="O3117" s="52">
        <f>L3117/1.1</f>
        <v/>
      </c>
      <c r="P3117" s="36">
        <f>F3117&amp;E3117&amp;G3117&amp;J3117</f>
        <v/>
      </c>
    </row>
    <row r="3118">
      <c r="B3118" s="51" t="n">
        <v>44228</v>
      </c>
      <c r="C3118" s="36">
        <f>TEXT(B3118,"aaa")</f>
        <v/>
      </c>
      <c r="E3118" s="36">
        <f>INDEX(매칭테이블!C:C,MATCH(RD!G3118,매칭테이블!D:D,0))</f>
        <v/>
      </c>
      <c r="F3118" s="39" t="inlineStr">
        <is>
          <t>카페24</t>
        </is>
      </c>
      <c r="G3118" s="39" t="inlineStr">
        <is>
          <t>솔리드퍼퓸 스테이포에버 002쇼핑백=선물용 쇼핑백</t>
        </is>
      </c>
      <c r="H3118" s="39" t="n">
        <v>7</v>
      </c>
      <c r="I3118" s="36">
        <f>VLOOKUP(G3118,매칭테이블!D:E,2,0)</f>
        <v/>
      </c>
      <c r="J3118" s="39" t="n">
        <v>210101</v>
      </c>
      <c r="L3118" s="36">
        <f>VLOOKUP($P3118,매칭테이블!$G:$J,2,0)*H3118</f>
        <v/>
      </c>
      <c r="M3118" s="36">
        <f>L3118-L3118*VLOOKUP($P3118,매칭테이블!$G:$J,3,0)</f>
        <v/>
      </c>
      <c r="N3118" s="36">
        <f>VLOOKUP($P3118,매칭테이블!$G:$J,4,0)*H3118</f>
        <v/>
      </c>
      <c r="O3118" s="52">
        <f>L3118/1.1</f>
        <v/>
      </c>
      <c r="P3118" s="36">
        <f>F3118&amp;E3118&amp;G3118&amp;J3118</f>
        <v/>
      </c>
    </row>
    <row r="3119">
      <c r="B3119" s="51" t="n">
        <v>44228</v>
      </c>
      <c r="C3119" s="36">
        <f>TEXT(B3119,"aaa")</f>
        <v/>
      </c>
      <c r="E3119" s="36">
        <f>INDEX(매칭테이블!C:C,MATCH(RD!G3119,매칭테이블!D:D,0))</f>
        <v/>
      </c>
      <c r="F3119" s="39" t="inlineStr">
        <is>
          <t>카페24</t>
        </is>
      </c>
      <c r="G3119" s="39" t="inlineStr">
        <is>
          <t>솔리드퍼퓸 스테이포에버 002 30ml</t>
        </is>
      </c>
      <c r="H3119" s="39" t="n">
        <v>2</v>
      </c>
      <c r="I3119" s="36">
        <f>VLOOKUP(G3119,매칭테이블!D:E,2,0)</f>
        <v/>
      </c>
      <c r="J3119" s="39" t="n">
        <v>210101</v>
      </c>
      <c r="L3119" s="36">
        <f>VLOOKUP($P3119,매칭테이블!$G:$J,2,0)*H3119</f>
        <v/>
      </c>
      <c r="M3119" s="36">
        <f>L3119-L3119*VLOOKUP($P3119,매칭테이블!$G:$J,3,0)</f>
        <v/>
      </c>
      <c r="N3119" s="36">
        <f>VLOOKUP($P3119,매칭테이블!$G:$J,4,0)*H3119</f>
        <v/>
      </c>
      <c r="O3119" s="52">
        <f>L3119/1.1</f>
        <v/>
      </c>
      <c r="P3119" s="36">
        <f>F3119&amp;E3119&amp;G3119&amp;J3119</f>
        <v/>
      </c>
    </row>
    <row r="3120">
      <c r="B3120" s="51" t="n">
        <v>44228</v>
      </c>
      <c r="C3120" s="36">
        <f>TEXT(B3120,"aaa")</f>
        <v/>
      </c>
      <c r="E3120" s="36">
        <f>INDEX(매칭테이블!C:C,MATCH(RD!G3120,매칭테이블!D:D,0))</f>
        <v/>
      </c>
      <c r="F3120" s="39" t="inlineStr">
        <is>
          <t>카페24</t>
        </is>
      </c>
      <c r="G3120" s="39" t="inlineStr">
        <is>
          <t>솔리드퍼퓸 이그나이트 001제품선택=이그나이트 솔리드퍼퓸 - 30ml</t>
        </is>
      </c>
      <c r="H3120" s="39" t="n">
        <v>2</v>
      </c>
      <c r="I3120" s="36">
        <f>VLOOKUP(G3120,매칭테이블!D:E,2,0)</f>
        <v/>
      </c>
      <c r="J3120" s="39" t="n">
        <v>210101</v>
      </c>
      <c r="L3120" s="36">
        <f>VLOOKUP($P3120,매칭테이블!$G:$J,2,0)*H3120</f>
        <v/>
      </c>
      <c r="M3120" s="36">
        <f>L3120-L3120*VLOOKUP($P3120,매칭테이블!$G:$J,3,0)</f>
        <v/>
      </c>
      <c r="N3120" s="36">
        <f>VLOOKUP($P3120,매칭테이블!$G:$J,4,0)*H3120</f>
        <v/>
      </c>
      <c r="O3120" s="52">
        <f>L3120/1.1</f>
        <v/>
      </c>
      <c r="P3120" s="36">
        <f>F3120&amp;E3120&amp;G3120&amp;J3120</f>
        <v/>
      </c>
    </row>
    <row r="3121">
      <c r="B3121" s="51" t="n">
        <v>44228</v>
      </c>
      <c r="C3121" s="36">
        <f>TEXT(B3121,"aaa")</f>
        <v/>
      </c>
      <c r="E3121" s="36">
        <f>INDEX(매칭테이블!C:C,MATCH(RD!G3121,매칭테이블!D:D,0))</f>
        <v/>
      </c>
      <c r="F3121" s="39" t="inlineStr">
        <is>
          <t>카페24</t>
        </is>
      </c>
      <c r="G3121" s="39" t="inlineStr">
        <is>
          <t>솔리드퍼퓸 이그나이트 001제품선택=이그나이트 2개 세트</t>
        </is>
      </c>
      <c r="H3121" s="39" t="n">
        <v>2</v>
      </c>
      <c r="I3121" s="36">
        <f>VLOOKUP(G3121,매칭테이블!D:E,2,0)</f>
        <v/>
      </c>
      <c r="J3121" s="39" t="n">
        <v>210101</v>
      </c>
      <c r="L3121" s="36">
        <f>VLOOKUP($P3121,매칭테이블!$G:$J,2,0)*H3121</f>
        <v/>
      </c>
      <c r="M3121" s="36">
        <f>L3121-L3121*VLOOKUP($P3121,매칭테이블!$G:$J,3,0)</f>
        <v/>
      </c>
      <c r="N3121" s="36">
        <f>VLOOKUP($P3121,매칭테이블!$G:$J,4,0)*H3121</f>
        <v/>
      </c>
      <c r="O3121" s="52">
        <f>L3121/1.1</f>
        <v/>
      </c>
      <c r="P3121" s="36">
        <f>F3121&amp;E3121&amp;G3121&amp;J3121</f>
        <v/>
      </c>
    </row>
    <row r="3122">
      <c r="B3122" s="51" t="n">
        <v>44228</v>
      </c>
      <c r="C3122" s="36">
        <f>TEXT(B3122,"aaa")</f>
        <v/>
      </c>
      <c r="E3122" s="36">
        <f>INDEX(매칭테이블!C:C,MATCH(RD!G3122,매칭테이블!D:D,0))</f>
        <v/>
      </c>
      <c r="F3122" s="39" t="inlineStr">
        <is>
          <t>카페24</t>
        </is>
      </c>
      <c r="G3122" s="39" t="inlineStr">
        <is>
          <t>솔리드퍼퓸 이그나이트 001 30ml</t>
        </is>
      </c>
      <c r="H3122" s="39" t="n">
        <v>1</v>
      </c>
      <c r="I3122" s="36">
        <f>VLOOKUP(G3122,매칭테이블!D:E,2,0)</f>
        <v/>
      </c>
      <c r="J3122" s="39" t="n">
        <v>210101</v>
      </c>
      <c r="L3122" s="36">
        <f>VLOOKUP($P3122,매칭테이블!$G:$J,2,0)*H3122</f>
        <v/>
      </c>
      <c r="M3122" s="36">
        <f>L3122-L3122*VLOOKUP($P3122,매칭테이블!$G:$J,3,0)</f>
        <v/>
      </c>
      <c r="N3122" s="36">
        <f>VLOOKUP($P3122,매칭테이블!$G:$J,4,0)*H3122</f>
        <v/>
      </c>
      <c r="O3122" s="52">
        <f>L3122/1.1</f>
        <v/>
      </c>
      <c r="P3122" s="36">
        <f>F3122&amp;E3122&amp;G3122&amp;J3122</f>
        <v/>
      </c>
    </row>
    <row r="3123">
      <c r="B3123" s="51" t="n">
        <v>44228</v>
      </c>
      <c r="C3123" s="36">
        <f>TEXT(B3123,"aaa")</f>
        <v/>
      </c>
      <c r="E3123" s="36">
        <f>INDEX(매칭테이블!C:C,MATCH(RD!G3123,매칭테이블!D:D,0))</f>
        <v/>
      </c>
      <c r="F3123" s="39" t="inlineStr">
        <is>
          <t>카페24</t>
        </is>
      </c>
      <c r="G3123" s="39" t="inlineStr">
        <is>
          <t>유즈 솔리드퍼퓸 - 스테이포에버 002제품선택=스테이포에버 1개</t>
        </is>
      </c>
      <c r="H3123" s="39" t="n">
        <v>1</v>
      </c>
      <c r="I3123" s="36">
        <f>VLOOKUP(G3123,매칭테이블!D:E,2,0)</f>
        <v/>
      </c>
      <c r="J3123" s="39" t="n">
        <v>210101</v>
      </c>
      <c r="L3123" s="36">
        <f>VLOOKUP($P3123,매칭테이블!$G:$J,2,0)*H3123</f>
        <v/>
      </c>
      <c r="M3123" s="36">
        <f>L3123-L3123*VLOOKUP($P3123,매칭테이블!$G:$J,3,0)</f>
        <v/>
      </c>
      <c r="N3123" s="36">
        <f>VLOOKUP($P3123,매칭테이블!$G:$J,4,0)*H3123</f>
        <v/>
      </c>
      <c r="O3123" s="52">
        <f>L3123/1.1</f>
        <v/>
      </c>
      <c r="P3123" s="36">
        <f>F3123&amp;E3123&amp;G3123&amp;J3123</f>
        <v/>
      </c>
    </row>
    <row r="3124">
      <c r="B3124" s="51" t="n">
        <v>44229</v>
      </c>
      <c r="C3124" s="36">
        <f>TEXT(B3124,"aaa")</f>
        <v/>
      </c>
      <c r="E3124" s="36">
        <f>INDEX(매칭테이블!C:C,MATCH(RD!G3124,매칭테이블!D:D,0))</f>
        <v/>
      </c>
      <c r="F3124" s="39" t="inlineStr">
        <is>
          <t>유즈 CS</t>
        </is>
      </c>
      <c r="G3124" s="39" t="inlineStr">
        <is>
          <t>솔리드퍼퓸 스테이포에버 002 30ml_CS</t>
        </is>
      </c>
      <c r="H3124" s="39" t="n">
        <v>1</v>
      </c>
      <c r="I3124" s="36">
        <f>VLOOKUP(G3124,매칭테이블!D:E,2,0)</f>
        <v/>
      </c>
      <c r="J3124" s="39" t="n">
        <v>210101</v>
      </c>
      <c r="L3124" s="36">
        <f>VLOOKUP($P3124,매칭테이블!$G:$J,2,0)*H3124</f>
        <v/>
      </c>
      <c r="M3124" s="36">
        <f>L3124-L3124*VLOOKUP($P3124,매칭테이블!$G:$J,3,0)</f>
        <v/>
      </c>
      <c r="N3124" s="36">
        <f>VLOOKUP($P3124,매칭테이블!$G:$J,4,0)*H3124</f>
        <v/>
      </c>
      <c r="O3124" s="52">
        <f>L3124/1.1</f>
        <v/>
      </c>
      <c r="P3124" s="36">
        <f>F3124&amp;E3124&amp;G3124&amp;J3124</f>
        <v/>
      </c>
    </row>
    <row r="3125">
      <c r="B3125" s="51" t="n">
        <v>44229</v>
      </c>
      <c r="C3125" s="36">
        <f>TEXT(B3125,"aaa")</f>
        <v/>
      </c>
      <c r="E3125" s="36">
        <f>INDEX(매칭테이블!C:C,MATCH(RD!G3125,매칭테이블!D:D,0))</f>
        <v/>
      </c>
      <c r="F3125" s="39" t="inlineStr">
        <is>
          <t>카페24</t>
        </is>
      </c>
      <c r="G3125" s="39" t="inlineStr">
        <is>
          <t>선물용 쇼핑백</t>
        </is>
      </c>
      <c r="H3125" s="39" t="n">
        <v>1</v>
      </c>
      <c r="I3125" s="36">
        <f>VLOOKUP(G3125,매칭테이블!D:E,2,0)</f>
        <v/>
      </c>
      <c r="J3125" s="39" t="n">
        <v>210101</v>
      </c>
      <c r="L3125" s="36">
        <f>VLOOKUP($P3125,매칭테이블!$G:$J,2,0)*H3125</f>
        <v/>
      </c>
      <c r="M3125" s="36">
        <f>L3125-L3125*VLOOKUP($P3125,매칭테이블!$G:$J,3,0)</f>
        <v/>
      </c>
      <c r="N3125" s="36">
        <f>VLOOKUP($P3125,매칭테이블!$G:$J,4,0)*H3125</f>
        <v/>
      </c>
      <c r="O3125" s="52">
        <f>L3125/1.1</f>
        <v/>
      </c>
      <c r="P3125" s="36">
        <f>F3125&amp;E3125&amp;G3125&amp;J3125</f>
        <v/>
      </c>
    </row>
    <row r="3126">
      <c r="B3126" s="51" t="n">
        <v>44229</v>
      </c>
      <c r="C3126" s="36">
        <f>TEXT(B3126,"aaa")</f>
        <v/>
      </c>
      <c r="E3126" s="36">
        <f>INDEX(매칭테이블!C:C,MATCH(RD!G3126,매칭테이블!D:D,0))</f>
        <v/>
      </c>
      <c r="F3126" s="39" t="inlineStr">
        <is>
          <t>카페24</t>
        </is>
      </c>
      <c r="G3126" s="39" t="inlineStr">
        <is>
          <t>솔리드퍼퓸 세트향=이그나이트 001 SOLID PERFUME, 세트 선택=1개</t>
        </is>
      </c>
      <c r="H3126" s="39" t="n">
        <v>4</v>
      </c>
      <c r="I3126" s="36">
        <f>VLOOKUP(G3126,매칭테이블!D:E,2,0)</f>
        <v/>
      </c>
      <c r="J3126" s="39" t="n">
        <v>210101</v>
      </c>
      <c r="L3126" s="36">
        <f>VLOOKUP($P3126,매칭테이블!$G:$J,2,0)*H3126</f>
        <v/>
      </c>
      <c r="M3126" s="36">
        <f>L3126-L3126*VLOOKUP($P3126,매칭테이블!$G:$J,3,0)</f>
        <v/>
      </c>
      <c r="N3126" s="36">
        <f>VLOOKUP($P3126,매칭테이블!$G:$J,4,0)*H3126</f>
        <v/>
      </c>
      <c r="O3126" s="52">
        <f>L3126/1.1</f>
        <v/>
      </c>
      <c r="P3126" s="36">
        <f>F3126&amp;E3126&amp;G3126&amp;J3126</f>
        <v/>
      </c>
    </row>
    <row r="3127">
      <c r="B3127" s="51" t="n">
        <v>44229</v>
      </c>
      <c r="C3127" s="36">
        <f>TEXT(B3127,"aaa")</f>
        <v/>
      </c>
      <c r="E3127" s="36">
        <f>INDEX(매칭테이블!C:C,MATCH(RD!G3127,매칭테이블!D:D,0))</f>
        <v/>
      </c>
      <c r="F3127" s="39" t="inlineStr">
        <is>
          <t>카페24</t>
        </is>
      </c>
      <c r="G3127" s="39" t="inlineStr">
        <is>
          <t>솔리드퍼퓸 세트향=스테이포에버 002 SOLID PERFUME, 세트 선택=1개</t>
        </is>
      </c>
      <c r="H3127" s="39" t="n">
        <v>11</v>
      </c>
      <c r="I3127" s="36">
        <f>VLOOKUP(G3127,매칭테이블!D:E,2,0)</f>
        <v/>
      </c>
      <c r="J3127" s="39" t="n">
        <v>210101</v>
      </c>
      <c r="L3127" s="36">
        <f>VLOOKUP($P3127,매칭테이블!$G:$J,2,0)*H3127</f>
        <v/>
      </c>
      <c r="M3127" s="36">
        <f>L3127-L3127*VLOOKUP($P3127,매칭테이블!$G:$J,3,0)</f>
        <v/>
      </c>
      <c r="N3127" s="36">
        <f>VLOOKUP($P3127,매칭테이블!$G:$J,4,0)*H3127</f>
        <v/>
      </c>
      <c r="O3127" s="52">
        <f>L3127/1.1</f>
        <v/>
      </c>
      <c r="P3127" s="36">
        <f>F3127&amp;E3127&amp;G3127&amp;J3127</f>
        <v/>
      </c>
    </row>
    <row r="3128">
      <c r="B3128" s="51" t="n">
        <v>44229</v>
      </c>
      <c r="C3128" s="36">
        <f>TEXT(B3128,"aaa")</f>
        <v/>
      </c>
      <c r="E3128" s="36">
        <f>INDEX(매칭테이블!C:C,MATCH(RD!G3128,매칭테이블!D:D,0))</f>
        <v/>
      </c>
      <c r="F3128" s="39" t="inlineStr">
        <is>
          <t>카페24</t>
        </is>
      </c>
      <c r="G3128" s="39" t="inlineStr">
        <is>
          <t>솔리드퍼퓸 세트향=스테이포에버 002 SOLID PERFUME, 세트 선택=best 2개 (28% 할인)</t>
        </is>
      </c>
      <c r="H3128" s="39" t="n">
        <v>9</v>
      </c>
      <c r="I3128" s="36">
        <f>VLOOKUP(G3128,매칭테이블!D:E,2,0)</f>
        <v/>
      </c>
      <c r="J3128" s="39" t="n">
        <v>210101</v>
      </c>
      <c r="L3128" s="36">
        <f>VLOOKUP($P3128,매칭테이블!$G:$J,2,0)*H3128</f>
        <v/>
      </c>
      <c r="M3128" s="36">
        <f>L3128-L3128*VLOOKUP($P3128,매칭테이블!$G:$J,3,0)</f>
        <v/>
      </c>
      <c r="N3128" s="36">
        <f>VLOOKUP($P3128,매칭테이블!$G:$J,4,0)*H3128</f>
        <v/>
      </c>
      <c r="O3128" s="52">
        <f>L3128/1.1</f>
        <v/>
      </c>
      <c r="P3128" s="36">
        <f>F3128&amp;E3128&amp;G3128&amp;J3128</f>
        <v/>
      </c>
    </row>
    <row r="3129">
      <c r="B3129" s="51" t="n">
        <v>44229</v>
      </c>
      <c r="C3129" s="36">
        <f>TEXT(B3129,"aaa")</f>
        <v/>
      </c>
      <c r="E3129" s="36">
        <f>INDEX(매칭테이블!C:C,MATCH(RD!G3129,매칭테이블!D:D,0))</f>
        <v/>
      </c>
      <c r="F3129" s="39" t="inlineStr">
        <is>
          <t>카페24</t>
        </is>
      </c>
      <c r="G3129" s="39" t="inlineStr">
        <is>
          <t>솔리드퍼퓸 세트향=커플세트(이그나이트 + 스테이포에버), 세트 선택=1 SET</t>
        </is>
      </c>
      <c r="H3129" s="39" t="n">
        <v>5</v>
      </c>
      <c r="I3129" s="36">
        <f>VLOOKUP(G3129,매칭테이블!D:E,2,0)</f>
        <v/>
      </c>
      <c r="J3129" s="39" t="n">
        <v>210101</v>
      </c>
      <c r="L3129" s="36">
        <f>VLOOKUP($P3129,매칭테이블!$G:$J,2,0)*H3129</f>
        <v/>
      </c>
      <c r="M3129" s="36">
        <f>L3129-L3129*VLOOKUP($P3129,매칭테이블!$G:$J,3,0)</f>
        <v/>
      </c>
      <c r="N3129" s="36">
        <f>VLOOKUP($P3129,매칭테이블!$G:$J,4,0)*H3129</f>
        <v/>
      </c>
      <c r="O3129" s="52">
        <f>L3129/1.1</f>
        <v/>
      </c>
      <c r="P3129" s="36">
        <f>F3129&amp;E3129&amp;G3129&amp;J3129</f>
        <v/>
      </c>
    </row>
    <row r="3130">
      <c r="B3130" s="51" t="n">
        <v>44229</v>
      </c>
      <c r="C3130" s="36">
        <f>TEXT(B3130,"aaa")</f>
        <v/>
      </c>
      <c r="E3130" s="36">
        <f>INDEX(매칭테이블!C:C,MATCH(RD!G3130,매칭테이블!D:D,0))</f>
        <v/>
      </c>
      <c r="F3130" s="39" t="inlineStr">
        <is>
          <t>카페24</t>
        </is>
      </c>
      <c r="G3130" s="39" t="inlineStr">
        <is>
          <t>솔리드퍼퓸 세트향=커플세트(이그나이트 + 스테이포에버), 세트 선택=2 SET (42% 할인)</t>
        </is>
      </c>
      <c r="H3130" s="39" t="n">
        <v>1</v>
      </c>
      <c r="I3130" s="36">
        <f>VLOOKUP(G3130,매칭테이블!D:E,2,0)</f>
        <v/>
      </c>
      <c r="J3130" s="39" t="n">
        <v>210101</v>
      </c>
      <c r="L3130" s="36">
        <f>VLOOKUP($P3130,매칭테이블!$G:$J,2,0)*H3130</f>
        <v/>
      </c>
      <c r="M3130" s="36">
        <f>L3130-L3130*VLOOKUP($P3130,매칭테이블!$G:$J,3,0)</f>
        <v/>
      </c>
      <c r="N3130" s="36">
        <f>VLOOKUP($P3130,매칭테이블!$G:$J,4,0)*H3130</f>
        <v/>
      </c>
      <c r="O3130" s="52">
        <f>L3130/1.1</f>
        <v/>
      </c>
      <c r="P3130" s="36">
        <f>F3130&amp;E3130&amp;G3130&amp;J3130</f>
        <v/>
      </c>
    </row>
    <row r="3131">
      <c r="B3131" s="51" t="n">
        <v>44229</v>
      </c>
      <c r="C3131" s="36">
        <f>TEXT(B3131,"aaa")</f>
        <v/>
      </c>
      <c r="E3131" s="36">
        <f>INDEX(매칭테이블!C:C,MATCH(RD!G3131,매칭테이블!D:D,0))</f>
        <v/>
      </c>
      <c r="F3131" s="39" t="inlineStr">
        <is>
          <t>카페24</t>
        </is>
      </c>
      <c r="G3131" s="39" t="inlineStr">
        <is>
          <t>솔리드퍼퓸 스테이포에버 002제품선택=스테이포에버 1개</t>
        </is>
      </c>
      <c r="H3131" s="39" t="n">
        <v>279</v>
      </c>
      <c r="I3131" s="36">
        <f>VLOOKUP(G3131,매칭테이블!D:E,2,0)</f>
        <v/>
      </c>
      <c r="J3131" s="39" t="n">
        <v>210101</v>
      </c>
      <c r="L3131" s="36">
        <f>VLOOKUP($P3131,매칭테이블!$G:$J,2,0)*H3131</f>
        <v/>
      </c>
      <c r="M3131" s="36">
        <f>L3131-L3131*VLOOKUP($P3131,매칭테이블!$G:$J,3,0)</f>
        <v/>
      </c>
      <c r="N3131" s="36">
        <f>VLOOKUP($P3131,매칭테이블!$G:$J,4,0)*H3131</f>
        <v/>
      </c>
      <c r="O3131" s="52">
        <f>L3131/1.1</f>
        <v/>
      </c>
      <c r="P3131" s="36">
        <f>F3131&amp;E3131&amp;G3131&amp;J3131</f>
        <v/>
      </c>
    </row>
    <row r="3132">
      <c r="B3132" s="51" t="n">
        <v>44229</v>
      </c>
      <c r="C3132" s="36">
        <f>TEXT(B3132,"aaa")</f>
        <v/>
      </c>
      <c r="E3132" s="36">
        <f>INDEX(매칭테이블!C:C,MATCH(RD!G3132,매칭테이블!D:D,0))</f>
        <v/>
      </c>
      <c r="F3132" s="39" t="inlineStr">
        <is>
          <t>카페24</t>
        </is>
      </c>
      <c r="G3132" s="39" t="inlineStr">
        <is>
          <t>솔리드퍼퓸 스테이포에버 002제품선택=best스테이포에버 2개[28% 할인]</t>
        </is>
      </c>
      <c r="H3132" s="39" t="n">
        <v>118</v>
      </c>
      <c r="I3132" s="36">
        <f>VLOOKUP(G3132,매칭테이블!D:E,2,0)</f>
        <v/>
      </c>
      <c r="J3132" s="39" t="n">
        <v>210101</v>
      </c>
      <c r="L3132" s="36">
        <f>VLOOKUP($P3132,매칭테이블!$G:$J,2,0)*H3132</f>
        <v/>
      </c>
      <c r="M3132" s="36">
        <f>L3132-L3132*VLOOKUP($P3132,매칭테이블!$G:$J,3,0)</f>
        <v/>
      </c>
      <c r="N3132" s="36">
        <f>VLOOKUP($P3132,매칭테이블!$G:$J,4,0)*H3132</f>
        <v/>
      </c>
      <c r="O3132" s="52">
        <f>L3132/1.1</f>
        <v/>
      </c>
      <c r="P3132" s="36">
        <f>F3132&amp;E3132&amp;G3132&amp;J3132</f>
        <v/>
      </c>
    </row>
    <row r="3133">
      <c r="B3133" s="51" t="n">
        <v>44229</v>
      </c>
      <c r="C3133" s="36">
        <f>TEXT(B3133,"aaa")</f>
        <v/>
      </c>
      <c r="E3133" s="36">
        <f>INDEX(매칭테이블!C:C,MATCH(RD!G3133,매칭테이블!D:D,0))</f>
        <v/>
      </c>
      <c r="F3133" s="39" t="inlineStr">
        <is>
          <t>카페24</t>
        </is>
      </c>
      <c r="G3133" s="39" t="inlineStr">
        <is>
          <t>솔리드퍼퓸 스테이포에버 002제품선택=커플추천스테이포에버 + 이그나이트 세트</t>
        </is>
      </c>
      <c r="H3133" s="39" t="n">
        <v>8</v>
      </c>
      <c r="I3133" s="36">
        <f>VLOOKUP(G3133,매칭테이블!D:E,2,0)</f>
        <v/>
      </c>
      <c r="J3133" s="39" t="n">
        <v>210101</v>
      </c>
      <c r="L3133" s="36">
        <f>VLOOKUP($P3133,매칭테이블!$G:$J,2,0)*H3133</f>
        <v/>
      </c>
      <c r="M3133" s="36">
        <f>L3133-L3133*VLOOKUP($P3133,매칭테이블!$G:$J,3,0)</f>
        <v/>
      </c>
      <c r="N3133" s="36">
        <f>VLOOKUP($P3133,매칭테이블!$G:$J,4,0)*H3133</f>
        <v/>
      </c>
      <c r="O3133" s="52">
        <f>L3133/1.1</f>
        <v/>
      </c>
      <c r="P3133" s="36">
        <f>F3133&amp;E3133&amp;G3133&amp;J3133</f>
        <v/>
      </c>
    </row>
    <row r="3134">
      <c r="B3134" s="51" t="n">
        <v>44229</v>
      </c>
      <c r="C3134" s="36">
        <f>TEXT(B3134,"aaa")</f>
        <v/>
      </c>
      <c r="E3134" s="36">
        <f>INDEX(매칭테이블!C:C,MATCH(RD!G3134,매칭테이블!D:D,0))</f>
        <v/>
      </c>
      <c r="F3134" s="39" t="inlineStr">
        <is>
          <t>카페24</t>
        </is>
      </c>
      <c r="G3134" s="39" t="inlineStr">
        <is>
          <t>솔리드퍼퓸 스테이포에버 002쇼핑백=선물용 쇼핑백</t>
        </is>
      </c>
      <c r="H3134" s="39" t="n">
        <v>6</v>
      </c>
      <c r="I3134" s="36">
        <f>VLOOKUP(G3134,매칭테이블!D:E,2,0)</f>
        <v/>
      </c>
      <c r="J3134" s="39" t="n">
        <v>210101</v>
      </c>
      <c r="L3134" s="36">
        <f>VLOOKUP($P3134,매칭테이블!$G:$J,2,0)*H3134</f>
        <v/>
      </c>
      <c r="M3134" s="36">
        <f>L3134-L3134*VLOOKUP($P3134,매칭테이블!$G:$J,3,0)</f>
        <v/>
      </c>
      <c r="N3134" s="36">
        <f>VLOOKUP($P3134,매칭테이블!$G:$J,4,0)*H3134</f>
        <v/>
      </c>
      <c r="O3134" s="52">
        <f>L3134/1.1</f>
        <v/>
      </c>
      <c r="P3134" s="36">
        <f>F3134&amp;E3134&amp;G3134&amp;J3134</f>
        <v/>
      </c>
    </row>
    <row r="3135">
      <c r="B3135" s="51" t="n">
        <v>44229</v>
      </c>
      <c r="C3135" s="36">
        <f>TEXT(B3135,"aaa")</f>
        <v/>
      </c>
      <c r="E3135" s="36">
        <f>INDEX(매칭테이블!C:C,MATCH(RD!G3135,매칭테이블!D:D,0))</f>
        <v/>
      </c>
      <c r="F3135" s="39" t="inlineStr">
        <is>
          <t>카페24</t>
        </is>
      </c>
      <c r="G3135" s="39" t="inlineStr">
        <is>
          <t>솔리드퍼퓸 이그나이트 001제품선택=이그나이트 솔리드퍼퓸 - 30ml</t>
        </is>
      </c>
      <c r="H3135" s="39" t="n">
        <v>6</v>
      </c>
      <c r="I3135" s="36">
        <f>VLOOKUP(G3135,매칭테이블!D:E,2,0)</f>
        <v/>
      </c>
      <c r="J3135" s="39" t="n">
        <v>210101</v>
      </c>
      <c r="L3135" s="36">
        <f>VLOOKUP($P3135,매칭테이블!$G:$J,2,0)*H3135</f>
        <v/>
      </c>
      <c r="M3135" s="36">
        <f>L3135-L3135*VLOOKUP($P3135,매칭테이블!$G:$J,3,0)</f>
        <v/>
      </c>
      <c r="N3135" s="36">
        <f>VLOOKUP($P3135,매칭테이블!$G:$J,4,0)*H3135</f>
        <v/>
      </c>
      <c r="O3135" s="52">
        <f>L3135/1.1</f>
        <v/>
      </c>
      <c r="P3135" s="36">
        <f>F3135&amp;E3135&amp;G3135&amp;J3135</f>
        <v/>
      </c>
    </row>
    <row r="3136">
      <c r="B3136" s="51" t="n">
        <v>44229</v>
      </c>
      <c r="C3136" s="36">
        <f>TEXT(B3136,"aaa")</f>
        <v/>
      </c>
      <c r="E3136" s="36">
        <f>INDEX(매칭테이블!C:C,MATCH(RD!G3136,매칭테이블!D:D,0))</f>
        <v/>
      </c>
      <c r="F3136" s="39" t="inlineStr">
        <is>
          <t>카페24</t>
        </is>
      </c>
      <c r="G3136" s="39" t="inlineStr">
        <is>
          <t>솔리드퍼퓸 이그나이트 001제품선택=이그나이트 2개 세트</t>
        </is>
      </c>
      <c r="H3136" s="39" t="n">
        <v>2</v>
      </c>
      <c r="I3136" s="36">
        <f>VLOOKUP(G3136,매칭테이블!D:E,2,0)</f>
        <v/>
      </c>
      <c r="J3136" s="39" t="n">
        <v>210101</v>
      </c>
      <c r="L3136" s="36">
        <f>VLOOKUP($P3136,매칭테이블!$G:$J,2,0)*H3136</f>
        <v/>
      </c>
      <c r="M3136" s="36">
        <f>L3136-L3136*VLOOKUP($P3136,매칭테이블!$G:$J,3,0)</f>
        <v/>
      </c>
      <c r="N3136" s="36">
        <f>VLOOKUP($P3136,매칭테이블!$G:$J,4,0)*H3136</f>
        <v/>
      </c>
      <c r="O3136" s="52">
        <f>L3136/1.1</f>
        <v/>
      </c>
      <c r="P3136" s="36">
        <f>F3136&amp;E3136&amp;G3136&amp;J3136</f>
        <v/>
      </c>
    </row>
    <row r="3137">
      <c r="B3137" s="51" t="n">
        <v>44229</v>
      </c>
      <c r="C3137" s="36">
        <f>TEXT(B3137,"aaa")</f>
        <v/>
      </c>
      <c r="E3137" s="36">
        <f>INDEX(매칭테이블!C:C,MATCH(RD!G3137,매칭테이블!D:D,0))</f>
        <v/>
      </c>
      <c r="F3137" s="39" t="inlineStr">
        <is>
          <t>카페24</t>
        </is>
      </c>
      <c r="G3137" s="39" t="inlineStr">
        <is>
          <t>유즈 솔리드퍼퓸 - 스테이포에버 002제품선택=스테이포에버 1개</t>
        </is>
      </c>
      <c r="H3137" s="39" t="n">
        <v>1</v>
      </c>
      <c r="I3137" s="36">
        <f>VLOOKUP(G3137,매칭테이블!D:E,2,0)</f>
        <v/>
      </c>
      <c r="J3137" s="39" t="n">
        <v>210101</v>
      </c>
      <c r="L3137" s="36">
        <f>VLOOKUP($P3137,매칭테이블!$G:$J,2,0)*H3137</f>
        <v/>
      </c>
      <c r="M3137" s="36">
        <f>L3137-L3137*VLOOKUP($P3137,매칭테이블!$G:$J,3,0)</f>
        <v/>
      </c>
      <c r="N3137" s="36">
        <f>VLOOKUP($P3137,매칭테이블!$G:$J,4,0)*H3137</f>
        <v/>
      </c>
      <c r="O3137" s="52">
        <f>L3137/1.1</f>
        <v/>
      </c>
      <c r="P3137" s="36">
        <f>F3137&amp;E3137&amp;G3137&amp;J3137</f>
        <v/>
      </c>
    </row>
    <row r="3138">
      <c r="B3138" s="51" t="n">
        <v>44229</v>
      </c>
      <c r="C3138" s="36">
        <f>TEXT(B3138,"aaa")</f>
        <v/>
      </c>
      <c r="E3138" s="36">
        <f>INDEX(매칭테이블!C:C,MATCH(RD!G3138,매칭테이블!D:D,0))</f>
        <v/>
      </c>
      <c r="F3138" s="39" t="inlineStr">
        <is>
          <t>카페24</t>
        </is>
      </c>
      <c r="G3138" s="39" t="inlineStr">
        <is>
          <t>유즈 솔리드퍼퓸 - 스테이포에버 002제품선택=커플추천스테이포에버 + 이그나이트 세트</t>
        </is>
      </c>
      <c r="H3138" s="39" t="n">
        <v>1</v>
      </c>
      <c r="I3138" s="36">
        <f>VLOOKUP(G3138,매칭테이블!D:E,2,0)</f>
        <v/>
      </c>
      <c r="J3138" s="39" t="n">
        <v>210101</v>
      </c>
      <c r="L3138" s="36">
        <f>VLOOKUP($P3138,매칭테이블!$G:$J,2,0)*H3138</f>
        <v/>
      </c>
      <c r="M3138" s="36">
        <f>L3138-L3138*VLOOKUP($P3138,매칭테이블!$G:$J,3,0)</f>
        <v/>
      </c>
      <c r="N3138" s="36">
        <f>VLOOKUP($P3138,매칭테이블!$G:$J,4,0)*H3138</f>
        <v/>
      </c>
      <c r="O3138" s="52">
        <f>L3138/1.1</f>
        <v/>
      </c>
      <c r="P3138" s="36">
        <f>F3138&amp;E3138&amp;G3138&amp;J3138</f>
        <v/>
      </c>
    </row>
    <row r="3139">
      <c r="B3139" s="51" t="n">
        <v>44230</v>
      </c>
      <c r="C3139" s="36">
        <f>TEXT(B3139,"aaa")</f>
        <v/>
      </c>
      <c r="E3139" s="36">
        <f>INDEX(매칭테이블!C:C,MATCH(RD!G3139,매칭테이블!D:D,0))</f>
        <v/>
      </c>
      <c r="F3139" s="39" t="inlineStr">
        <is>
          <t>유즈 CS</t>
        </is>
      </c>
      <c r="G3139" s="39" t="inlineStr">
        <is>
          <t>솔리드퍼퓸 스테이포에버 002 30ml</t>
        </is>
      </c>
      <c r="H3139" s="39" t="n">
        <v>3</v>
      </c>
      <c r="I3139" s="36">
        <f>VLOOKUP(G3139,매칭테이블!D:E,2,0)</f>
        <v/>
      </c>
      <c r="J3139" s="39" t="n">
        <v>210101</v>
      </c>
      <c r="L3139" s="36">
        <f>VLOOKUP($P3139,매칭테이블!$G:$J,2,0)*H3139</f>
        <v/>
      </c>
      <c r="M3139" s="36">
        <f>L3139-L3139*VLOOKUP($P3139,매칭테이블!$G:$J,3,0)</f>
        <v/>
      </c>
      <c r="N3139" s="36">
        <f>VLOOKUP($P3139,매칭테이블!$G:$J,4,0)*H3139</f>
        <v/>
      </c>
      <c r="O3139" s="52">
        <f>L3139/1.1</f>
        <v/>
      </c>
      <c r="P3139" s="36">
        <f>F3139&amp;E3139&amp;G3139&amp;J3139</f>
        <v/>
      </c>
    </row>
    <row r="3140">
      <c r="B3140" s="51" t="n">
        <v>44230</v>
      </c>
      <c r="C3140" s="36">
        <f>TEXT(B3140,"aaa")</f>
        <v/>
      </c>
      <c r="E3140" s="36">
        <f>INDEX(매칭테이블!C:C,MATCH(RD!G3140,매칭테이블!D:D,0))</f>
        <v/>
      </c>
      <c r="F3140" s="39" t="inlineStr">
        <is>
          <t>유즈 CS</t>
        </is>
      </c>
      <c r="G3140" s="39" t="inlineStr">
        <is>
          <t>솔리드퍼퓸 스테이포에버 002 30ml_CS</t>
        </is>
      </c>
      <c r="H3140" s="39" t="n">
        <v>6</v>
      </c>
      <c r="I3140" s="36">
        <f>VLOOKUP(G3140,매칭테이블!D:E,2,0)</f>
        <v/>
      </c>
      <c r="J3140" s="39" t="n">
        <v>210101</v>
      </c>
      <c r="L3140" s="36">
        <f>VLOOKUP($P3140,매칭테이블!$G:$J,2,0)*H3140</f>
        <v/>
      </c>
      <c r="M3140" s="36">
        <f>L3140-L3140*VLOOKUP($P3140,매칭테이블!$G:$J,3,0)</f>
        <v/>
      </c>
      <c r="N3140" s="36">
        <f>VLOOKUP($P3140,매칭테이블!$G:$J,4,0)*H3140</f>
        <v/>
      </c>
      <c r="O3140" s="52">
        <f>L3140/1.1</f>
        <v/>
      </c>
      <c r="P3140" s="36">
        <f>F3140&amp;E3140&amp;G3140&amp;J3140</f>
        <v/>
      </c>
    </row>
    <row r="3141">
      <c r="B3141" s="51" t="n">
        <v>44230</v>
      </c>
      <c r="C3141" s="36">
        <f>TEXT(B3141,"aaa")</f>
        <v/>
      </c>
      <c r="E3141" s="36">
        <f>INDEX(매칭테이블!C:C,MATCH(RD!G3141,매칭테이블!D:D,0))</f>
        <v/>
      </c>
      <c r="F3141" s="39" t="inlineStr">
        <is>
          <t>카페24</t>
        </is>
      </c>
      <c r="G3141" s="39" t="inlineStr">
        <is>
          <t>선물용 쇼핑백</t>
        </is>
      </c>
      <c r="H3141" s="39" t="n">
        <v>7</v>
      </c>
      <c r="I3141" s="36">
        <f>VLOOKUP(G3141,매칭테이블!D:E,2,0)</f>
        <v/>
      </c>
      <c r="J3141" s="39" t="n">
        <v>210101</v>
      </c>
      <c r="L3141" s="36">
        <f>VLOOKUP($P3141,매칭테이블!$G:$J,2,0)*H3141</f>
        <v/>
      </c>
      <c r="M3141" s="36">
        <f>L3141-L3141*VLOOKUP($P3141,매칭테이블!$G:$J,3,0)</f>
        <v/>
      </c>
      <c r="N3141" s="36">
        <f>VLOOKUP($P3141,매칭테이블!$G:$J,4,0)*H3141</f>
        <v/>
      </c>
      <c r="O3141" s="52">
        <f>L3141/1.1</f>
        <v/>
      </c>
      <c r="P3141" s="36">
        <f>F3141&amp;E3141&amp;G3141&amp;J3141</f>
        <v/>
      </c>
    </row>
    <row r="3142">
      <c r="B3142" s="51" t="n">
        <v>44230</v>
      </c>
      <c r="C3142" s="36">
        <f>TEXT(B3142,"aaa")</f>
        <v/>
      </c>
      <c r="E3142" s="36">
        <f>INDEX(매칭테이블!C:C,MATCH(RD!G3142,매칭테이블!D:D,0))</f>
        <v/>
      </c>
      <c r="F3142" s="39" t="inlineStr">
        <is>
          <t>카페24</t>
        </is>
      </c>
      <c r="G3142" s="39" t="inlineStr">
        <is>
          <t>솔리드퍼퓸 세트향=이그나이트 001 SOLID PERFUME, 세트 선택=1개</t>
        </is>
      </c>
      <c r="H3142" s="39" t="n">
        <v>5</v>
      </c>
      <c r="I3142" s="36">
        <f>VLOOKUP(G3142,매칭테이블!D:E,2,0)</f>
        <v/>
      </c>
      <c r="J3142" s="39" t="n">
        <v>210101</v>
      </c>
      <c r="L3142" s="36">
        <f>VLOOKUP($P3142,매칭테이블!$G:$J,2,0)*H3142</f>
        <v/>
      </c>
      <c r="M3142" s="36">
        <f>L3142-L3142*VLOOKUP($P3142,매칭테이블!$G:$J,3,0)</f>
        <v/>
      </c>
      <c r="N3142" s="36">
        <f>VLOOKUP($P3142,매칭테이블!$G:$J,4,0)*H3142</f>
        <v/>
      </c>
      <c r="O3142" s="52">
        <f>L3142/1.1</f>
        <v/>
      </c>
      <c r="P3142" s="36">
        <f>F3142&amp;E3142&amp;G3142&amp;J3142</f>
        <v/>
      </c>
    </row>
    <row r="3143">
      <c r="B3143" s="51" t="n">
        <v>44230</v>
      </c>
      <c r="C3143" s="36">
        <f>TEXT(B3143,"aaa")</f>
        <v/>
      </c>
      <c r="E3143" s="36">
        <f>INDEX(매칭테이블!C:C,MATCH(RD!G3143,매칭테이블!D:D,0))</f>
        <v/>
      </c>
      <c r="F3143" s="39" t="inlineStr">
        <is>
          <t>카페24</t>
        </is>
      </c>
      <c r="G3143" s="39" t="inlineStr">
        <is>
          <t>솔리드퍼퓸 세트향=이그나이트 001 SOLID PERFUME, 세트 선택=best 2개 (28% 할인)</t>
        </is>
      </c>
      <c r="H3143" s="39" t="n">
        <v>4</v>
      </c>
      <c r="I3143" s="36">
        <f>VLOOKUP(G3143,매칭테이블!D:E,2,0)</f>
        <v/>
      </c>
      <c r="J3143" s="39" t="n">
        <v>210101</v>
      </c>
      <c r="L3143" s="36">
        <f>VLOOKUP($P3143,매칭테이블!$G:$J,2,0)*H3143</f>
        <v/>
      </c>
      <c r="M3143" s="36">
        <f>L3143-L3143*VLOOKUP($P3143,매칭테이블!$G:$J,3,0)</f>
        <v/>
      </c>
      <c r="N3143" s="36">
        <f>VLOOKUP($P3143,매칭테이블!$G:$J,4,0)*H3143</f>
        <v/>
      </c>
      <c r="O3143" s="52">
        <f>L3143/1.1</f>
        <v/>
      </c>
      <c r="P3143" s="36">
        <f>F3143&amp;E3143&amp;G3143&amp;J3143</f>
        <v/>
      </c>
    </row>
    <row r="3144">
      <c r="B3144" s="51" t="n">
        <v>44230</v>
      </c>
      <c r="C3144" s="36">
        <f>TEXT(B3144,"aaa")</f>
        <v/>
      </c>
      <c r="E3144" s="36">
        <f>INDEX(매칭테이블!C:C,MATCH(RD!G3144,매칭테이블!D:D,0))</f>
        <v/>
      </c>
      <c r="F3144" s="39" t="inlineStr">
        <is>
          <t>카페24</t>
        </is>
      </c>
      <c r="G3144" s="39" t="inlineStr">
        <is>
          <t>솔리드퍼퓸 세트향=스테이포에버 002 SOLID PERFUME, 세트 선택=1개</t>
        </is>
      </c>
      <c r="H3144" s="39" t="n">
        <v>51</v>
      </c>
      <c r="I3144" s="36">
        <f>VLOOKUP(G3144,매칭테이블!D:E,2,0)</f>
        <v/>
      </c>
      <c r="J3144" s="39" t="n">
        <v>210101</v>
      </c>
      <c r="L3144" s="36">
        <f>VLOOKUP($P3144,매칭테이블!$G:$J,2,0)*H3144</f>
        <v/>
      </c>
      <c r="M3144" s="36">
        <f>L3144-L3144*VLOOKUP($P3144,매칭테이블!$G:$J,3,0)</f>
        <v/>
      </c>
      <c r="N3144" s="36">
        <f>VLOOKUP($P3144,매칭테이블!$G:$J,4,0)*H3144</f>
        <v/>
      </c>
      <c r="O3144" s="52">
        <f>L3144/1.1</f>
        <v/>
      </c>
      <c r="P3144" s="36">
        <f>F3144&amp;E3144&amp;G3144&amp;J3144</f>
        <v/>
      </c>
    </row>
    <row r="3145">
      <c r="B3145" s="51" t="n">
        <v>44230</v>
      </c>
      <c r="C3145" s="36">
        <f>TEXT(B3145,"aaa")</f>
        <v/>
      </c>
      <c r="E3145" s="36">
        <f>INDEX(매칭테이블!C:C,MATCH(RD!G3145,매칭테이블!D:D,0))</f>
        <v/>
      </c>
      <c r="F3145" s="39" t="inlineStr">
        <is>
          <t>카페24</t>
        </is>
      </c>
      <c r="G3145" s="39" t="inlineStr">
        <is>
          <t>솔리드퍼퓸 세트향=스테이포에버 002 SOLID PERFUME, 세트 선택=best 2개 (28% 할인)</t>
        </is>
      </c>
      <c r="H3145" s="39" t="n">
        <v>66</v>
      </c>
      <c r="I3145" s="36">
        <f>VLOOKUP(G3145,매칭테이블!D:E,2,0)</f>
        <v/>
      </c>
      <c r="J3145" s="39" t="n">
        <v>210101</v>
      </c>
      <c r="L3145" s="36">
        <f>VLOOKUP($P3145,매칭테이블!$G:$J,2,0)*H3145</f>
        <v/>
      </c>
      <c r="M3145" s="36">
        <f>L3145-L3145*VLOOKUP($P3145,매칭테이블!$G:$J,3,0)</f>
        <v/>
      </c>
      <c r="N3145" s="36">
        <f>VLOOKUP($P3145,매칭테이블!$G:$J,4,0)*H3145</f>
        <v/>
      </c>
      <c r="O3145" s="52">
        <f>L3145/1.1</f>
        <v/>
      </c>
      <c r="P3145" s="36">
        <f>F3145&amp;E3145&amp;G3145&amp;J3145</f>
        <v/>
      </c>
    </row>
    <row r="3146">
      <c r="B3146" s="51" t="n">
        <v>44230</v>
      </c>
      <c r="C3146" s="36">
        <f>TEXT(B3146,"aaa")</f>
        <v/>
      </c>
      <c r="E3146" s="36">
        <f>INDEX(매칭테이블!C:C,MATCH(RD!G3146,매칭테이블!D:D,0))</f>
        <v/>
      </c>
      <c r="F3146" s="39" t="inlineStr">
        <is>
          <t>카페24</t>
        </is>
      </c>
      <c r="G3146" s="39" t="inlineStr">
        <is>
          <t>솔리드퍼퓸 세트향=커플세트(이그나이트 + 스테이포에버), 세트 선택=1 SET</t>
        </is>
      </c>
      <c r="H3146" s="39" t="n">
        <v>52</v>
      </c>
      <c r="I3146" s="36">
        <f>VLOOKUP(G3146,매칭테이블!D:E,2,0)</f>
        <v/>
      </c>
      <c r="J3146" s="39" t="n">
        <v>210101</v>
      </c>
      <c r="L3146" s="36">
        <f>VLOOKUP($P3146,매칭테이블!$G:$J,2,0)*H3146</f>
        <v/>
      </c>
      <c r="M3146" s="36">
        <f>L3146-L3146*VLOOKUP($P3146,매칭테이블!$G:$J,3,0)</f>
        <v/>
      </c>
      <c r="N3146" s="36">
        <f>VLOOKUP($P3146,매칭테이블!$G:$J,4,0)*H3146</f>
        <v/>
      </c>
      <c r="O3146" s="52">
        <f>L3146/1.1</f>
        <v/>
      </c>
      <c r="P3146" s="36">
        <f>F3146&amp;E3146&amp;G3146&amp;J3146</f>
        <v/>
      </c>
    </row>
    <row r="3147">
      <c r="B3147" s="51" t="n">
        <v>44230</v>
      </c>
      <c r="C3147" s="36">
        <f>TEXT(B3147,"aaa")</f>
        <v/>
      </c>
      <c r="E3147" s="36">
        <f>INDEX(매칭테이블!C:C,MATCH(RD!G3147,매칭테이블!D:D,0))</f>
        <v/>
      </c>
      <c r="F3147" s="39" t="inlineStr">
        <is>
          <t>카페24</t>
        </is>
      </c>
      <c r="G3147" s="39" t="inlineStr">
        <is>
          <t>솔리드퍼퓸 세트향=커플세트(이그나이트 + 스테이포에버), 세트 선택=2 SET (42% 할인)</t>
        </is>
      </c>
      <c r="H3147" s="39" t="n">
        <v>9</v>
      </c>
      <c r="I3147" s="36">
        <f>VLOOKUP(G3147,매칭테이블!D:E,2,0)</f>
        <v/>
      </c>
      <c r="J3147" s="39" t="n">
        <v>210101</v>
      </c>
      <c r="L3147" s="36">
        <f>VLOOKUP($P3147,매칭테이블!$G:$J,2,0)*H3147</f>
        <v/>
      </c>
      <c r="M3147" s="36">
        <f>L3147-L3147*VLOOKUP($P3147,매칭테이블!$G:$J,3,0)</f>
        <v/>
      </c>
      <c r="N3147" s="36">
        <f>VLOOKUP($P3147,매칭테이블!$G:$J,4,0)*H3147</f>
        <v/>
      </c>
      <c r="O3147" s="52">
        <f>L3147/1.1</f>
        <v/>
      </c>
      <c r="P3147" s="36">
        <f>F3147&amp;E3147&amp;G3147&amp;J3147</f>
        <v/>
      </c>
    </row>
    <row r="3148">
      <c r="B3148" s="51" t="n">
        <v>44230</v>
      </c>
      <c r="C3148" s="36">
        <f>TEXT(B3148,"aaa")</f>
        <v/>
      </c>
      <c r="E3148" s="36">
        <f>INDEX(매칭테이블!C:C,MATCH(RD!G3148,매칭테이블!D:D,0))</f>
        <v/>
      </c>
      <c r="F3148" s="39" t="inlineStr">
        <is>
          <t>카페24</t>
        </is>
      </c>
      <c r="G3148" s="39" t="inlineStr">
        <is>
          <t>솔리드퍼퓸 스테이포에버 002제품선택=스테이포에버 1개</t>
        </is>
      </c>
      <c r="H3148" s="39" t="n">
        <v>279</v>
      </c>
      <c r="I3148" s="36">
        <f>VLOOKUP(G3148,매칭테이블!D:E,2,0)</f>
        <v/>
      </c>
      <c r="J3148" s="39" t="n">
        <v>210101</v>
      </c>
      <c r="L3148" s="36">
        <f>VLOOKUP($P3148,매칭테이블!$G:$J,2,0)*H3148</f>
        <v/>
      </c>
      <c r="M3148" s="36">
        <f>L3148-L3148*VLOOKUP($P3148,매칭테이블!$G:$J,3,0)</f>
        <v/>
      </c>
      <c r="N3148" s="36">
        <f>VLOOKUP($P3148,매칭테이블!$G:$J,4,0)*H3148</f>
        <v/>
      </c>
      <c r="O3148" s="52">
        <f>L3148/1.1</f>
        <v/>
      </c>
      <c r="P3148" s="36">
        <f>F3148&amp;E3148&amp;G3148&amp;J3148</f>
        <v/>
      </c>
    </row>
    <row r="3149">
      <c r="B3149" s="51" t="n">
        <v>44230</v>
      </c>
      <c r="C3149" s="36">
        <f>TEXT(B3149,"aaa")</f>
        <v/>
      </c>
      <c r="E3149" s="36">
        <f>INDEX(매칭테이블!C:C,MATCH(RD!G3149,매칭테이블!D:D,0))</f>
        <v/>
      </c>
      <c r="F3149" s="39" t="inlineStr">
        <is>
          <t>카페24</t>
        </is>
      </c>
      <c r="G3149" s="39" t="inlineStr">
        <is>
          <t>솔리드퍼퓸 스테이포에버 002제품선택=best스테이포에버 2개[28% 할인]</t>
        </is>
      </c>
      <c r="H3149" s="39" t="n">
        <v>162</v>
      </c>
      <c r="I3149" s="36">
        <f>VLOOKUP(G3149,매칭테이블!D:E,2,0)</f>
        <v/>
      </c>
      <c r="J3149" s="39" t="n">
        <v>210101</v>
      </c>
      <c r="L3149" s="36">
        <f>VLOOKUP($P3149,매칭테이블!$G:$J,2,0)*H3149</f>
        <v/>
      </c>
      <c r="M3149" s="36">
        <f>L3149-L3149*VLOOKUP($P3149,매칭테이블!$G:$J,3,0)</f>
        <v/>
      </c>
      <c r="N3149" s="36">
        <f>VLOOKUP($P3149,매칭테이블!$G:$J,4,0)*H3149</f>
        <v/>
      </c>
      <c r="O3149" s="52">
        <f>L3149/1.1</f>
        <v/>
      </c>
      <c r="P3149" s="36">
        <f>F3149&amp;E3149&amp;G3149&amp;J3149</f>
        <v/>
      </c>
    </row>
    <row r="3150">
      <c r="B3150" s="51" t="n">
        <v>44230</v>
      </c>
      <c r="C3150" s="36">
        <f>TEXT(B3150,"aaa")</f>
        <v/>
      </c>
      <c r="E3150" s="36">
        <f>INDEX(매칭테이블!C:C,MATCH(RD!G3150,매칭테이블!D:D,0))</f>
        <v/>
      </c>
      <c r="F3150" s="39" t="inlineStr">
        <is>
          <t>카페24</t>
        </is>
      </c>
      <c r="G3150" s="39" t="inlineStr">
        <is>
          <t>솔리드퍼퓸 스테이포에버 002제품선택=커플추천스테이포에버 + 이그나이트 세트</t>
        </is>
      </c>
      <c r="H3150" s="39" t="n">
        <v>24</v>
      </c>
      <c r="I3150" s="36">
        <f>VLOOKUP(G3150,매칭테이블!D:E,2,0)</f>
        <v/>
      </c>
      <c r="J3150" s="39" t="n">
        <v>210101</v>
      </c>
      <c r="L3150" s="36">
        <f>VLOOKUP($P3150,매칭테이블!$G:$J,2,0)*H3150</f>
        <v/>
      </c>
      <c r="M3150" s="36">
        <f>L3150-L3150*VLOOKUP($P3150,매칭테이블!$G:$J,3,0)</f>
        <v/>
      </c>
      <c r="N3150" s="36">
        <f>VLOOKUP($P3150,매칭테이블!$G:$J,4,0)*H3150</f>
        <v/>
      </c>
      <c r="O3150" s="52">
        <f>L3150/1.1</f>
        <v/>
      </c>
      <c r="P3150" s="36">
        <f>F3150&amp;E3150&amp;G3150&amp;J3150</f>
        <v/>
      </c>
    </row>
    <row r="3151">
      <c r="B3151" s="51" t="n">
        <v>44230</v>
      </c>
      <c r="C3151" s="36">
        <f>TEXT(B3151,"aaa")</f>
        <v/>
      </c>
      <c r="E3151" s="36">
        <f>INDEX(매칭테이블!C:C,MATCH(RD!G3151,매칭테이블!D:D,0))</f>
        <v/>
      </c>
      <c r="F3151" s="39" t="inlineStr">
        <is>
          <t>카페24</t>
        </is>
      </c>
      <c r="G3151" s="39" t="inlineStr">
        <is>
          <t>솔리드퍼퓸 스테이포에버 002쇼핑백=선물용 쇼핑백</t>
        </is>
      </c>
      <c r="H3151" s="39" t="n">
        <v>10</v>
      </c>
      <c r="I3151" s="36">
        <f>VLOOKUP(G3151,매칭테이블!D:E,2,0)</f>
        <v/>
      </c>
      <c r="J3151" s="39" t="n">
        <v>210101</v>
      </c>
      <c r="L3151" s="36">
        <f>VLOOKUP($P3151,매칭테이블!$G:$J,2,0)*H3151</f>
        <v/>
      </c>
      <c r="M3151" s="36">
        <f>L3151-L3151*VLOOKUP($P3151,매칭테이블!$G:$J,3,0)</f>
        <v/>
      </c>
      <c r="N3151" s="36">
        <f>VLOOKUP($P3151,매칭테이블!$G:$J,4,0)*H3151</f>
        <v/>
      </c>
      <c r="O3151" s="52">
        <f>L3151/1.1</f>
        <v/>
      </c>
      <c r="P3151" s="36">
        <f>F3151&amp;E3151&amp;G3151&amp;J3151</f>
        <v/>
      </c>
    </row>
    <row r="3152">
      <c r="B3152" s="51" t="n">
        <v>44230</v>
      </c>
      <c r="C3152" s="36">
        <f>TEXT(B3152,"aaa")</f>
        <v/>
      </c>
      <c r="E3152" s="36">
        <f>INDEX(매칭테이블!C:C,MATCH(RD!G3152,매칭테이블!D:D,0))</f>
        <v/>
      </c>
      <c r="F3152" s="39" t="inlineStr">
        <is>
          <t>카페24</t>
        </is>
      </c>
      <c r="G3152" s="39" t="inlineStr">
        <is>
          <t>솔리드퍼퓸 이그나이트 001제품선택=이그나이트 솔리드퍼퓸 - 30ml</t>
        </is>
      </c>
      <c r="H3152" s="39" t="n">
        <v>4</v>
      </c>
      <c r="I3152" s="36">
        <f>VLOOKUP(G3152,매칭테이블!D:E,2,0)</f>
        <v/>
      </c>
      <c r="J3152" s="39" t="n">
        <v>210101</v>
      </c>
      <c r="L3152" s="36">
        <f>VLOOKUP($P3152,매칭테이블!$G:$J,2,0)*H3152</f>
        <v/>
      </c>
      <c r="M3152" s="36">
        <f>L3152-L3152*VLOOKUP($P3152,매칭테이블!$G:$J,3,0)</f>
        <v/>
      </c>
      <c r="N3152" s="36">
        <f>VLOOKUP($P3152,매칭테이블!$G:$J,4,0)*H3152</f>
        <v/>
      </c>
      <c r="O3152" s="52">
        <f>L3152/1.1</f>
        <v/>
      </c>
      <c r="P3152" s="36">
        <f>F3152&amp;E3152&amp;G3152&amp;J3152</f>
        <v/>
      </c>
    </row>
    <row r="3153">
      <c r="B3153" s="51" t="n">
        <v>44230</v>
      </c>
      <c r="C3153" s="36">
        <f>TEXT(B3153,"aaa")</f>
        <v/>
      </c>
      <c r="E3153" s="36">
        <f>INDEX(매칭테이블!C:C,MATCH(RD!G3153,매칭테이블!D:D,0))</f>
        <v/>
      </c>
      <c r="F3153" s="39" t="inlineStr">
        <is>
          <t>카페24</t>
        </is>
      </c>
      <c r="G3153" s="39" t="inlineStr">
        <is>
          <t>솔리드퍼퓸 이그나이트 001쇼핑백=선물용 쇼핑백</t>
        </is>
      </c>
      <c r="H3153" s="39" t="n">
        <v>2</v>
      </c>
      <c r="I3153" s="36">
        <f>VLOOKUP(G3153,매칭테이블!D:E,2,0)</f>
        <v/>
      </c>
      <c r="J3153" s="39" t="n">
        <v>210101</v>
      </c>
      <c r="L3153" s="36">
        <f>VLOOKUP($P3153,매칭테이블!$G:$J,2,0)*H3153</f>
        <v/>
      </c>
      <c r="M3153" s="36">
        <f>L3153-L3153*VLOOKUP($P3153,매칭테이블!$G:$J,3,0)</f>
        <v/>
      </c>
      <c r="N3153" s="36">
        <f>VLOOKUP($P3153,매칭테이블!$G:$J,4,0)*H3153</f>
        <v/>
      </c>
      <c r="O3153" s="52">
        <f>L3153/1.1</f>
        <v/>
      </c>
      <c r="P3153" s="36">
        <f>F3153&amp;E3153&amp;G3153&amp;J3153</f>
        <v/>
      </c>
    </row>
    <row r="3154">
      <c r="B3154" s="51" t="n">
        <v>44230</v>
      </c>
      <c r="C3154" s="36">
        <f>TEXT(B3154,"aaa")</f>
        <v/>
      </c>
      <c r="E3154" s="36">
        <f>INDEX(매칭테이블!C:C,MATCH(RD!G3154,매칭테이블!D:D,0))</f>
        <v/>
      </c>
      <c r="F3154" s="39" t="inlineStr">
        <is>
          <t>카페24</t>
        </is>
      </c>
      <c r="G3154" s="39" t="inlineStr">
        <is>
          <t>유즈 솔리드퍼퓸 - 스테이포에버 002제품선택=스테이포에버 1개</t>
        </is>
      </c>
      <c r="H3154" s="39" t="n">
        <v>1</v>
      </c>
      <c r="I3154" s="36">
        <f>VLOOKUP(G3154,매칭테이블!D:E,2,0)</f>
        <v/>
      </c>
      <c r="J3154" s="39" t="n">
        <v>210101</v>
      </c>
      <c r="L3154" s="36">
        <f>VLOOKUP($P3154,매칭테이블!$G:$J,2,0)*H3154</f>
        <v/>
      </c>
      <c r="M3154" s="36">
        <f>L3154-L3154*VLOOKUP($P3154,매칭테이블!$G:$J,3,0)</f>
        <v/>
      </c>
      <c r="N3154" s="36">
        <f>VLOOKUP($P3154,매칭테이블!$G:$J,4,0)*H3154</f>
        <v/>
      </c>
      <c r="O3154" s="52">
        <f>L3154/1.1</f>
        <v/>
      </c>
      <c r="P3154" s="36">
        <f>F3154&amp;E3154&amp;G3154&amp;J3154</f>
        <v/>
      </c>
    </row>
    <row r="3155">
      <c r="B3155" s="51" t="n">
        <v>44231</v>
      </c>
      <c r="C3155" s="36">
        <f>TEXT(B3155,"aaa")</f>
        <v/>
      </c>
      <c r="E3155" s="36">
        <f>INDEX(매칭테이블!C:C,MATCH(RD!G3155,매칭테이블!D:D,0))</f>
        <v/>
      </c>
      <c r="F3155" s="39" t="inlineStr">
        <is>
          <t>유즈 CS</t>
        </is>
      </c>
      <c r="G3155" s="39" t="inlineStr">
        <is>
          <t>솔리드퍼퓸 스테이포에버 002 30ml_CS</t>
        </is>
      </c>
      <c r="H3155" s="39" t="n">
        <v>1</v>
      </c>
      <c r="I3155" s="36">
        <f>VLOOKUP(G3155,매칭테이블!D:E,2,0)</f>
        <v/>
      </c>
      <c r="J3155" s="39" t="n">
        <v>210101</v>
      </c>
      <c r="L3155" s="36">
        <f>VLOOKUP($P3155,매칭테이블!$G:$J,2,0)*H3155</f>
        <v/>
      </c>
      <c r="M3155" s="36">
        <f>L3155-L3155*VLOOKUP($P3155,매칭테이블!$G:$J,3,0)</f>
        <v/>
      </c>
      <c r="N3155" s="36">
        <f>VLOOKUP($P3155,매칭테이블!$G:$J,4,0)*H3155</f>
        <v/>
      </c>
      <c r="O3155" s="52">
        <f>L3155/1.1</f>
        <v/>
      </c>
      <c r="P3155" s="36">
        <f>F3155&amp;E3155&amp;G3155&amp;J3155</f>
        <v/>
      </c>
    </row>
    <row r="3156">
      <c r="B3156" s="51" t="n">
        <v>44231</v>
      </c>
      <c r="C3156" s="36">
        <f>TEXT(B3156,"aaa")</f>
        <v/>
      </c>
      <c r="E3156" s="36">
        <f>INDEX(매칭테이블!C:C,MATCH(RD!G3156,매칭테이블!D:D,0))</f>
        <v/>
      </c>
      <c r="F3156" s="39" t="inlineStr">
        <is>
          <t>카페24</t>
        </is>
      </c>
      <c r="G3156" s="39" t="inlineStr">
        <is>
          <t>선물용 쇼핑백</t>
        </is>
      </c>
      <c r="H3156" s="39" t="n">
        <v>1</v>
      </c>
      <c r="I3156" s="36">
        <f>VLOOKUP(G3156,매칭테이블!D:E,2,0)</f>
        <v/>
      </c>
      <c r="J3156" s="39" t="n">
        <v>210101</v>
      </c>
      <c r="L3156" s="36">
        <f>VLOOKUP($P3156,매칭테이블!$G:$J,2,0)*H3156</f>
        <v/>
      </c>
      <c r="M3156" s="36">
        <f>L3156-L3156*VLOOKUP($P3156,매칭테이블!$G:$J,3,0)</f>
        <v/>
      </c>
      <c r="N3156" s="36">
        <f>VLOOKUP($P3156,매칭테이블!$G:$J,4,0)*H3156</f>
        <v/>
      </c>
      <c r="O3156" s="52">
        <f>L3156/1.1</f>
        <v/>
      </c>
      <c r="P3156" s="36">
        <f>F3156&amp;E3156&amp;G3156&amp;J3156</f>
        <v/>
      </c>
    </row>
    <row r="3157">
      <c r="B3157" s="51" t="n">
        <v>44231</v>
      </c>
      <c r="C3157" s="36">
        <f>TEXT(B3157,"aaa")</f>
        <v/>
      </c>
      <c r="E3157" s="36">
        <f>INDEX(매칭테이블!C:C,MATCH(RD!G3157,매칭테이블!D:D,0))</f>
        <v/>
      </c>
      <c r="F3157" s="39" t="inlineStr">
        <is>
          <t>카페24</t>
        </is>
      </c>
      <c r="G3157" s="39" t="inlineStr">
        <is>
          <t>솔리드퍼퓸 세트향=이그나이트 001 SOLID PERFUME, 세트 선택=1개</t>
        </is>
      </c>
      <c r="H3157" s="39" t="n">
        <v>2</v>
      </c>
      <c r="I3157" s="36">
        <f>VLOOKUP(G3157,매칭테이블!D:E,2,0)</f>
        <v/>
      </c>
      <c r="J3157" s="39" t="n">
        <v>210101</v>
      </c>
      <c r="L3157" s="36">
        <f>VLOOKUP($P3157,매칭테이블!$G:$J,2,0)*H3157</f>
        <v/>
      </c>
      <c r="M3157" s="36">
        <f>L3157-L3157*VLOOKUP($P3157,매칭테이블!$G:$J,3,0)</f>
        <v/>
      </c>
      <c r="N3157" s="36">
        <f>VLOOKUP($P3157,매칭테이블!$G:$J,4,0)*H3157</f>
        <v/>
      </c>
      <c r="O3157" s="52">
        <f>L3157/1.1</f>
        <v/>
      </c>
      <c r="P3157" s="36">
        <f>F3157&amp;E3157&amp;G3157&amp;J3157</f>
        <v/>
      </c>
    </row>
    <row r="3158">
      <c r="B3158" s="51" t="n">
        <v>44231</v>
      </c>
      <c r="C3158" s="36">
        <f>TEXT(B3158,"aaa")</f>
        <v/>
      </c>
      <c r="E3158" s="36">
        <f>INDEX(매칭테이블!C:C,MATCH(RD!G3158,매칭테이블!D:D,0))</f>
        <v/>
      </c>
      <c r="F3158" s="39" t="inlineStr">
        <is>
          <t>카페24</t>
        </is>
      </c>
      <c r="G3158" s="39" t="inlineStr">
        <is>
          <t>솔리드퍼퓸 세트향=이그나이트 001 SOLID PERFUME, 세트 선택=best 2개 (28% 할인)</t>
        </is>
      </c>
      <c r="H3158" s="39" t="n">
        <v>1</v>
      </c>
      <c r="I3158" s="36">
        <f>VLOOKUP(G3158,매칭테이블!D:E,2,0)</f>
        <v/>
      </c>
      <c r="J3158" s="39" t="n">
        <v>210101</v>
      </c>
      <c r="L3158" s="36">
        <f>VLOOKUP($P3158,매칭테이블!$G:$J,2,0)*H3158</f>
        <v/>
      </c>
      <c r="M3158" s="36">
        <f>L3158-L3158*VLOOKUP($P3158,매칭테이블!$G:$J,3,0)</f>
        <v/>
      </c>
      <c r="N3158" s="36">
        <f>VLOOKUP($P3158,매칭테이블!$G:$J,4,0)*H3158</f>
        <v/>
      </c>
      <c r="O3158" s="52">
        <f>L3158/1.1</f>
        <v/>
      </c>
      <c r="P3158" s="36">
        <f>F3158&amp;E3158&amp;G3158&amp;J3158</f>
        <v/>
      </c>
    </row>
    <row r="3159">
      <c r="B3159" s="51" t="n">
        <v>44231</v>
      </c>
      <c r="C3159" s="36">
        <f>TEXT(B3159,"aaa")</f>
        <v/>
      </c>
      <c r="E3159" s="36">
        <f>INDEX(매칭테이블!C:C,MATCH(RD!G3159,매칭테이블!D:D,0))</f>
        <v/>
      </c>
      <c r="F3159" s="39" t="inlineStr">
        <is>
          <t>카페24</t>
        </is>
      </c>
      <c r="G3159" s="39" t="inlineStr">
        <is>
          <t>솔리드퍼퓸 세트향=스테이포에버 002 SOLID PERFUME, 세트 선택=1개</t>
        </is>
      </c>
      <c r="H3159" s="39" t="n">
        <v>21</v>
      </c>
      <c r="I3159" s="36">
        <f>VLOOKUP(G3159,매칭테이블!D:E,2,0)</f>
        <v/>
      </c>
      <c r="J3159" s="39" t="n">
        <v>210101</v>
      </c>
      <c r="L3159" s="36">
        <f>VLOOKUP($P3159,매칭테이블!$G:$J,2,0)*H3159</f>
        <v/>
      </c>
      <c r="M3159" s="36">
        <f>L3159-L3159*VLOOKUP($P3159,매칭테이블!$G:$J,3,0)</f>
        <v/>
      </c>
      <c r="N3159" s="36">
        <f>VLOOKUP($P3159,매칭테이블!$G:$J,4,0)*H3159</f>
        <v/>
      </c>
      <c r="O3159" s="52">
        <f>L3159/1.1</f>
        <v/>
      </c>
      <c r="P3159" s="36">
        <f>F3159&amp;E3159&amp;G3159&amp;J3159</f>
        <v/>
      </c>
    </row>
    <row r="3160">
      <c r="B3160" s="51" t="n">
        <v>44231</v>
      </c>
      <c r="C3160" s="36">
        <f>TEXT(B3160,"aaa")</f>
        <v/>
      </c>
      <c r="E3160" s="36">
        <f>INDEX(매칭테이블!C:C,MATCH(RD!G3160,매칭테이블!D:D,0))</f>
        <v/>
      </c>
      <c r="F3160" s="39" t="inlineStr">
        <is>
          <t>카페24</t>
        </is>
      </c>
      <c r="G3160" s="39" t="inlineStr">
        <is>
          <t>솔리드퍼퓸 세트향=스테이포에버 002 SOLID PERFUME, 세트 선택=best 2개 (28% 할인)</t>
        </is>
      </c>
      <c r="H3160" s="39" t="n">
        <v>6</v>
      </c>
      <c r="I3160" s="36">
        <f>VLOOKUP(G3160,매칭테이블!D:E,2,0)</f>
        <v/>
      </c>
      <c r="J3160" s="39" t="n">
        <v>210101</v>
      </c>
      <c r="L3160" s="36">
        <f>VLOOKUP($P3160,매칭테이블!$G:$J,2,0)*H3160</f>
        <v/>
      </c>
      <c r="M3160" s="36">
        <f>L3160-L3160*VLOOKUP($P3160,매칭테이블!$G:$J,3,0)</f>
        <v/>
      </c>
      <c r="N3160" s="36">
        <f>VLOOKUP($P3160,매칭테이블!$G:$J,4,0)*H3160</f>
        <v/>
      </c>
      <c r="O3160" s="52">
        <f>L3160/1.1</f>
        <v/>
      </c>
      <c r="P3160" s="36">
        <f>F3160&amp;E3160&amp;G3160&amp;J3160</f>
        <v/>
      </c>
    </row>
    <row r="3161">
      <c r="B3161" s="51" t="n">
        <v>44231</v>
      </c>
      <c r="C3161" s="36">
        <f>TEXT(B3161,"aaa")</f>
        <v/>
      </c>
      <c r="E3161" s="36">
        <f>INDEX(매칭테이블!C:C,MATCH(RD!G3161,매칭테이블!D:D,0))</f>
        <v/>
      </c>
      <c r="F3161" s="39" t="inlineStr">
        <is>
          <t>카페24</t>
        </is>
      </c>
      <c r="G3161" s="39" t="inlineStr">
        <is>
          <t>솔리드퍼퓸 세트향=커플세트(이그나이트 + 스테이포에버), 세트 선택=1 SET</t>
        </is>
      </c>
      <c r="H3161" s="39" t="n">
        <v>21</v>
      </c>
      <c r="I3161" s="36">
        <f>VLOOKUP(G3161,매칭테이블!D:E,2,0)</f>
        <v/>
      </c>
      <c r="J3161" s="39" t="n">
        <v>210101</v>
      </c>
      <c r="L3161" s="36">
        <f>VLOOKUP($P3161,매칭테이블!$G:$J,2,0)*H3161</f>
        <v/>
      </c>
      <c r="M3161" s="36">
        <f>L3161-L3161*VLOOKUP($P3161,매칭테이블!$G:$J,3,0)</f>
        <v/>
      </c>
      <c r="N3161" s="36">
        <f>VLOOKUP($P3161,매칭테이블!$G:$J,4,0)*H3161</f>
        <v/>
      </c>
      <c r="O3161" s="52">
        <f>L3161/1.1</f>
        <v/>
      </c>
      <c r="P3161" s="36">
        <f>F3161&amp;E3161&amp;G3161&amp;J3161</f>
        <v/>
      </c>
    </row>
    <row r="3162">
      <c r="B3162" s="51" t="n">
        <v>44231</v>
      </c>
      <c r="C3162" s="36">
        <f>TEXT(B3162,"aaa")</f>
        <v/>
      </c>
      <c r="E3162" s="36">
        <f>INDEX(매칭테이블!C:C,MATCH(RD!G3162,매칭테이블!D:D,0))</f>
        <v/>
      </c>
      <c r="F3162" s="39" t="inlineStr">
        <is>
          <t>카페24</t>
        </is>
      </c>
      <c r="G3162" s="39" t="inlineStr">
        <is>
          <t>솔리드퍼퓸 세트향=커플세트(이그나이트 + 스테이포에버), 세트 선택=2 SET (42% 할인)</t>
        </is>
      </c>
      <c r="H3162" s="39" t="n">
        <v>1</v>
      </c>
      <c r="I3162" s="36">
        <f>VLOOKUP(G3162,매칭테이블!D:E,2,0)</f>
        <v/>
      </c>
      <c r="J3162" s="39" t="n">
        <v>210101</v>
      </c>
      <c r="L3162" s="36">
        <f>VLOOKUP($P3162,매칭테이블!$G:$J,2,0)*H3162</f>
        <v/>
      </c>
      <c r="M3162" s="36">
        <f>L3162-L3162*VLOOKUP($P3162,매칭테이블!$G:$J,3,0)</f>
        <v/>
      </c>
      <c r="N3162" s="36">
        <f>VLOOKUP($P3162,매칭테이블!$G:$J,4,0)*H3162</f>
        <v/>
      </c>
      <c r="O3162" s="52">
        <f>L3162/1.1</f>
        <v/>
      </c>
      <c r="P3162" s="36">
        <f>F3162&amp;E3162&amp;G3162&amp;J3162</f>
        <v/>
      </c>
    </row>
    <row r="3163">
      <c r="B3163" s="51" t="n">
        <v>44231</v>
      </c>
      <c r="C3163" s="36">
        <f>TEXT(B3163,"aaa")</f>
        <v/>
      </c>
      <c r="E3163" s="36">
        <f>INDEX(매칭테이블!C:C,MATCH(RD!G3163,매칭테이블!D:D,0))</f>
        <v/>
      </c>
      <c r="F3163" s="39" t="inlineStr">
        <is>
          <t>카페24</t>
        </is>
      </c>
      <c r="G3163" s="39" t="inlineStr">
        <is>
          <t>솔리드퍼퓸 스테이포에버 002제품선택=스테이포에버 1개</t>
        </is>
      </c>
      <c r="H3163" s="39" t="n">
        <v>221</v>
      </c>
      <c r="I3163" s="36">
        <f>VLOOKUP(G3163,매칭테이블!D:E,2,0)</f>
        <v/>
      </c>
      <c r="J3163" s="39" t="n">
        <v>210101</v>
      </c>
      <c r="L3163" s="36">
        <f>VLOOKUP($P3163,매칭테이블!$G:$J,2,0)*H3163</f>
        <v/>
      </c>
      <c r="M3163" s="36">
        <f>L3163-L3163*VLOOKUP($P3163,매칭테이블!$G:$J,3,0)</f>
        <v/>
      </c>
      <c r="N3163" s="36">
        <f>VLOOKUP($P3163,매칭테이블!$G:$J,4,0)*H3163</f>
        <v/>
      </c>
      <c r="O3163" s="52">
        <f>L3163/1.1</f>
        <v/>
      </c>
      <c r="P3163" s="36">
        <f>F3163&amp;E3163&amp;G3163&amp;J3163</f>
        <v/>
      </c>
    </row>
    <row r="3164">
      <c r="B3164" s="51" t="n">
        <v>44231</v>
      </c>
      <c r="C3164" s="36">
        <f>TEXT(B3164,"aaa")</f>
        <v/>
      </c>
      <c r="E3164" s="36">
        <f>INDEX(매칭테이블!C:C,MATCH(RD!G3164,매칭테이블!D:D,0))</f>
        <v/>
      </c>
      <c r="F3164" s="39" t="inlineStr">
        <is>
          <t>카페24</t>
        </is>
      </c>
      <c r="G3164" s="39" t="inlineStr">
        <is>
          <t>솔리드퍼퓸 스테이포에버 002제품선택=best스테이포에버 2개[28% 할인]</t>
        </is>
      </c>
      <c r="H3164" s="39" t="n">
        <v>141</v>
      </c>
      <c r="I3164" s="36">
        <f>VLOOKUP(G3164,매칭테이블!D:E,2,0)</f>
        <v/>
      </c>
      <c r="J3164" s="39" t="n">
        <v>210101</v>
      </c>
      <c r="L3164" s="36">
        <f>VLOOKUP($P3164,매칭테이블!$G:$J,2,0)*H3164</f>
        <v/>
      </c>
      <c r="M3164" s="36">
        <f>L3164-L3164*VLOOKUP($P3164,매칭테이블!$G:$J,3,0)</f>
        <v/>
      </c>
      <c r="N3164" s="36">
        <f>VLOOKUP($P3164,매칭테이블!$G:$J,4,0)*H3164</f>
        <v/>
      </c>
      <c r="O3164" s="52">
        <f>L3164/1.1</f>
        <v/>
      </c>
      <c r="P3164" s="36">
        <f>F3164&amp;E3164&amp;G3164&amp;J3164</f>
        <v/>
      </c>
    </row>
    <row r="3165">
      <c r="B3165" s="51" t="n">
        <v>44231</v>
      </c>
      <c r="C3165" s="36">
        <f>TEXT(B3165,"aaa")</f>
        <v/>
      </c>
      <c r="E3165" s="36">
        <f>INDEX(매칭테이블!C:C,MATCH(RD!G3165,매칭테이블!D:D,0))</f>
        <v/>
      </c>
      <c r="F3165" s="39" t="inlineStr">
        <is>
          <t>카페24</t>
        </is>
      </c>
      <c r="G3165" s="39" t="inlineStr">
        <is>
          <t>솔리드퍼퓸 스테이포에버 002제품선택=커플추천스테이포에버 + 이그나이트 세트</t>
        </is>
      </c>
      <c r="H3165" s="39" t="n">
        <v>17</v>
      </c>
      <c r="I3165" s="36">
        <f>VLOOKUP(G3165,매칭테이블!D:E,2,0)</f>
        <v/>
      </c>
      <c r="J3165" s="39" t="n">
        <v>210101</v>
      </c>
      <c r="L3165" s="36">
        <f>VLOOKUP($P3165,매칭테이블!$G:$J,2,0)*H3165</f>
        <v/>
      </c>
      <c r="M3165" s="36">
        <f>L3165-L3165*VLOOKUP($P3165,매칭테이블!$G:$J,3,0)</f>
        <v/>
      </c>
      <c r="N3165" s="36">
        <f>VLOOKUP($P3165,매칭테이블!$G:$J,4,0)*H3165</f>
        <v/>
      </c>
      <c r="O3165" s="52">
        <f>L3165/1.1</f>
        <v/>
      </c>
      <c r="P3165" s="36">
        <f>F3165&amp;E3165&amp;G3165&amp;J3165</f>
        <v/>
      </c>
    </row>
    <row r="3166">
      <c r="B3166" s="51" t="n">
        <v>44231</v>
      </c>
      <c r="C3166" s="36">
        <f>TEXT(B3166,"aaa")</f>
        <v/>
      </c>
      <c r="E3166" s="36">
        <f>INDEX(매칭테이블!C:C,MATCH(RD!G3166,매칭테이블!D:D,0))</f>
        <v/>
      </c>
      <c r="F3166" s="39" t="inlineStr">
        <is>
          <t>카페24</t>
        </is>
      </c>
      <c r="G3166" s="39" t="inlineStr">
        <is>
          <t>솔리드퍼퓸 스테이포에버 002쇼핑백=선물용 쇼핑백</t>
        </is>
      </c>
      <c r="H3166" s="39" t="n">
        <v>9</v>
      </c>
      <c r="I3166" s="36">
        <f>VLOOKUP(G3166,매칭테이블!D:E,2,0)</f>
        <v/>
      </c>
      <c r="J3166" s="39" t="n">
        <v>210101</v>
      </c>
      <c r="L3166" s="36">
        <f>VLOOKUP($P3166,매칭테이블!$G:$J,2,0)*H3166</f>
        <v/>
      </c>
      <c r="M3166" s="36">
        <f>L3166-L3166*VLOOKUP($P3166,매칭테이블!$G:$J,3,0)</f>
        <v/>
      </c>
      <c r="N3166" s="36">
        <f>VLOOKUP($P3166,매칭테이블!$G:$J,4,0)*H3166</f>
        <v/>
      </c>
      <c r="O3166" s="52">
        <f>L3166/1.1</f>
        <v/>
      </c>
      <c r="P3166" s="36">
        <f>F3166&amp;E3166&amp;G3166&amp;J3166</f>
        <v/>
      </c>
    </row>
    <row r="3167">
      <c r="B3167" s="51" t="n">
        <v>44231</v>
      </c>
      <c r="C3167" s="36">
        <f>TEXT(B3167,"aaa")</f>
        <v/>
      </c>
      <c r="E3167" s="36">
        <f>INDEX(매칭테이블!C:C,MATCH(RD!G3167,매칭테이블!D:D,0))</f>
        <v/>
      </c>
      <c r="F3167" s="39" t="inlineStr">
        <is>
          <t>카페24</t>
        </is>
      </c>
      <c r="G3167" s="39" t="inlineStr">
        <is>
          <t>솔리드퍼퓸 스테이포에버 002 30ml</t>
        </is>
      </c>
      <c r="H3167" s="39" t="n">
        <v>4</v>
      </c>
      <c r="I3167" s="36">
        <f>VLOOKUP(G3167,매칭테이블!D:E,2,0)</f>
        <v/>
      </c>
      <c r="J3167" s="39" t="n">
        <v>210101</v>
      </c>
      <c r="L3167" s="36">
        <f>VLOOKUP($P3167,매칭테이블!$G:$J,2,0)*H3167</f>
        <v/>
      </c>
      <c r="M3167" s="36">
        <f>L3167-L3167*VLOOKUP($P3167,매칭테이블!$G:$J,3,0)</f>
        <v/>
      </c>
      <c r="N3167" s="36">
        <f>VLOOKUP($P3167,매칭테이블!$G:$J,4,0)*H3167</f>
        <v/>
      </c>
      <c r="O3167" s="52">
        <f>L3167/1.1</f>
        <v/>
      </c>
      <c r="P3167" s="36">
        <f>F3167&amp;E3167&amp;G3167&amp;J3167</f>
        <v/>
      </c>
    </row>
    <row r="3168">
      <c r="B3168" s="51" t="n">
        <v>44231</v>
      </c>
      <c r="C3168" s="36">
        <f>TEXT(B3168,"aaa")</f>
        <v/>
      </c>
      <c r="E3168" s="36">
        <f>INDEX(매칭테이블!C:C,MATCH(RD!G3168,매칭테이블!D:D,0))</f>
        <v/>
      </c>
      <c r="F3168" s="39" t="inlineStr">
        <is>
          <t>카페24</t>
        </is>
      </c>
      <c r="G3168" s="39" t="inlineStr">
        <is>
          <t>솔리드퍼퓸 이그나이트 001제품선택=이그나이트 솔리드퍼퓸 - 30ml</t>
        </is>
      </c>
      <c r="H3168" s="39" t="n">
        <v>5</v>
      </c>
      <c r="I3168" s="36">
        <f>VLOOKUP(G3168,매칭테이블!D:E,2,0)</f>
        <v/>
      </c>
      <c r="J3168" s="39" t="n">
        <v>210101</v>
      </c>
      <c r="L3168" s="36">
        <f>VLOOKUP($P3168,매칭테이블!$G:$J,2,0)*H3168</f>
        <v/>
      </c>
      <c r="M3168" s="36">
        <f>L3168-L3168*VLOOKUP($P3168,매칭테이블!$G:$J,3,0)</f>
        <v/>
      </c>
      <c r="N3168" s="36">
        <f>VLOOKUP($P3168,매칭테이블!$G:$J,4,0)*H3168</f>
        <v/>
      </c>
      <c r="O3168" s="52">
        <f>L3168/1.1</f>
        <v/>
      </c>
      <c r="P3168" s="36">
        <f>F3168&amp;E3168&amp;G3168&amp;J3168</f>
        <v/>
      </c>
    </row>
    <row r="3169">
      <c r="B3169" s="51" t="n">
        <v>44231</v>
      </c>
      <c r="C3169" s="36">
        <f>TEXT(B3169,"aaa")</f>
        <v/>
      </c>
      <c r="E3169" s="36">
        <f>INDEX(매칭테이블!C:C,MATCH(RD!G3169,매칭테이블!D:D,0))</f>
        <v/>
      </c>
      <c r="F3169" s="39" t="inlineStr">
        <is>
          <t>카페24</t>
        </is>
      </c>
      <c r="G3169" s="39" t="inlineStr">
        <is>
          <t>솔리드퍼퓸 이그나이트 001제품선택=이그나이트 2개 세트</t>
        </is>
      </c>
      <c r="H3169" s="39" t="n">
        <v>1</v>
      </c>
      <c r="I3169" s="36">
        <f>VLOOKUP(G3169,매칭테이블!D:E,2,0)</f>
        <v/>
      </c>
      <c r="J3169" s="39" t="n">
        <v>210101</v>
      </c>
      <c r="L3169" s="36">
        <f>VLOOKUP($P3169,매칭테이블!$G:$J,2,0)*H3169</f>
        <v/>
      </c>
      <c r="M3169" s="36">
        <f>L3169-L3169*VLOOKUP($P3169,매칭테이블!$G:$J,3,0)</f>
        <v/>
      </c>
      <c r="N3169" s="36">
        <f>VLOOKUP($P3169,매칭테이블!$G:$J,4,0)*H3169</f>
        <v/>
      </c>
      <c r="O3169" s="52">
        <f>L3169/1.1</f>
        <v/>
      </c>
      <c r="P3169" s="36">
        <f>F3169&amp;E3169&amp;G3169&amp;J3169</f>
        <v/>
      </c>
    </row>
    <row r="3170">
      <c r="B3170" s="51" t="n">
        <v>44231</v>
      </c>
      <c r="C3170" s="36">
        <f>TEXT(B3170,"aaa")</f>
        <v/>
      </c>
      <c r="E3170" s="36">
        <f>INDEX(매칭테이블!C:C,MATCH(RD!G3170,매칭테이블!D:D,0))</f>
        <v/>
      </c>
      <c r="F3170" s="39" t="inlineStr">
        <is>
          <t>카페24</t>
        </is>
      </c>
      <c r="G3170" s="39" t="inlineStr">
        <is>
          <t>솔리드퍼퓸 이그나이트 001쇼핑백=선물용 쇼핑백</t>
        </is>
      </c>
      <c r="H3170" s="39" t="n">
        <v>3</v>
      </c>
      <c r="I3170" s="36">
        <f>VLOOKUP(G3170,매칭테이블!D:E,2,0)</f>
        <v/>
      </c>
      <c r="J3170" s="39" t="n">
        <v>210101</v>
      </c>
      <c r="L3170" s="36">
        <f>VLOOKUP($P3170,매칭테이블!$G:$J,2,0)*H3170</f>
        <v/>
      </c>
      <c r="M3170" s="36">
        <f>L3170-L3170*VLOOKUP($P3170,매칭테이블!$G:$J,3,0)</f>
        <v/>
      </c>
      <c r="N3170" s="36">
        <f>VLOOKUP($P3170,매칭테이블!$G:$J,4,0)*H3170</f>
        <v/>
      </c>
      <c r="O3170" s="52">
        <f>L3170/1.1</f>
        <v/>
      </c>
      <c r="P3170" s="36">
        <f>F3170&amp;E3170&amp;G3170&amp;J3170</f>
        <v/>
      </c>
    </row>
    <row r="3171">
      <c r="B3171" s="51" t="n">
        <v>44232</v>
      </c>
      <c r="C3171" s="36">
        <f>TEXT(B3171,"aaa")</f>
        <v/>
      </c>
      <c r="E3171" s="36">
        <f>INDEX(매칭테이블!C:C,MATCH(RD!G3171,매칭테이블!D:D,0))</f>
        <v/>
      </c>
      <c r="F3171" s="39" t="inlineStr">
        <is>
          <t>카페24</t>
        </is>
      </c>
      <c r="G3171" s="39" t="inlineStr">
        <is>
          <t>선물용 쇼핑백</t>
        </is>
      </c>
      <c r="H3171" s="39" t="n">
        <v>1</v>
      </c>
      <c r="I3171" s="36">
        <f>VLOOKUP(G3171,매칭테이블!D:E,2,0)</f>
        <v/>
      </c>
      <c r="J3171" s="39" t="n">
        <v>210101</v>
      </c>
      <c r="L3171" s="36">
        <f>VLOOKUP($P3171,매칭테이블!$G:$J,2,0)*H3171</f>
        <v/>
      </c>
      <c r="M3171" s="36">
        <f>L3171-L3171*VLOOKUP($P3171,매칭테이블!$G:$J,3,0)</f>
        <v/>
      </c>
      <c r="N3171" s="36">
        <f>VLOOKUP($P3171,매칭테이블!$G:$J,4,0)*H3171</f>
        <v/>
      </c>
      <c r="O3171" s="52">
        <f>L3171/1.1</f>
        <v/>
      </c>
      <c r="P3171" s="36">
        <f>F3171&amp;E3171&amp;G3171&amp;J3171</f>
        <v/>
      </c>
    </row>
    <row r="3172">
      <c r="B3172" s="51" t="n">
        <v>44232</v>
      </c>
      <c r="C3172" s="36">
        <f>TEXT(B3172,"aaa")</f>
        <v/>
      </c>
      <c r="E3172" s="36">
        <f>INDEX(매칭테이블!C:C,MATCH(RD!G3172,매칭테이블!D:D,0))</f>
        <v/>
      </c>
      <c r="F3172" s="39" t="inlineStr">
        <is>
          <t>카페24</t>
        </is>
      </c>
      <c r="G3172" s="39" t="inlineStr">
        <is>
          <t>솔리드퍼퓸 세트향=이그나이트 001 SOLID PERFUME, 세트 선택=1개</t>
        </is>
      </c>
      <c r="H3172" s="39" t="n">
        <v>3</v>
      </c>
      <c r="I3172" s="36">
        <f>VLOOKUP(G3172,매칭테이블!D:E,2,0)</f>
        <v/>
      </c>
      <c r="J3172" s="39" t="n">
        <v>210101</v>
      </c>
      <c r="L3172" s="36">
        <f>VLOOKUP($P3172,매칭테이블!$G:$J,2,0)*H3172</f>
        <v/>
      </c>
      <c r="M3172" s="36">
        <f>L3172-L3172*VLOOKUP($P3172,매칭테이블!$G:$J,3,0)</f>
        <v/>
      </c>
      <c r="N3172" s="36">
        <f>VLOOKUP($P3172,매칭테이블!$G:$J,4,0)*H3172</f>
        <v/>
      </c>
      <c r="O3172" s="52">
        <f>L3172/1.1</f>
        <v/>
      </c>
      <c r="P3172" s="36">
        <f>F3172&amp;E3172&amp;G3172&amp;J3172</f>
        <v/>
      </c>
    </row>
    <row r="3173">
      <c r="B3173" s="51" t="n">
        <v>44232</v>
      </c>
      <c r="C3173" s="36">
        <f>TEXT(B3173,"aaa")</f>
        <v/>
      </c>
      <c r="E3173" s="36">
        <f>INDEX(매칭테이블!C:C,MATCH(RD!G3173,매칭테이블!D:D,0))</f>
        <v/>
      </c>
      <c r="F3173" s="39" t="inlineStr">
        <is>
          <t>카페24</t>
        </is>
      </c>
      <c r="G3173" s="39" t="inlineStr">
        <is>
          <t>솔리드퍼퓸 세트향=이그나이트 001 SOLID PERFUME, 세트 선택=best 2개 (28% 할인)</t>
        </is>
      </c>
      <c r="H3173" s="39" t="n">
        <v>5</v>
      </c>
      <c r="I3173" s="36">
        <f>VLOOKUP(G3173,매칭테이블!D:E,2,0)</f>
        <v/>
      </c>
      <c r="J3173" s="39" t="n">
        <v>210101</v>
      </c>
      <c r="L3173" s="36">
        <f>VLOOKUP($P3173,매칭테이블!$G:$J,2,0)*H3173</f>
        <v/>
      </c>
      <c r="M3173" s="36">
        <f>L3173-L3173*VLOOKUP($P3173,매칭테이블!$G:$J,3,0)</f>
        <v/>
      </c>
      <c r="N3173" s="36">
        <f>VLOOKUP($P3173,매칭테이블!$G:$J,4,0)*H3173</f>
        <v/>
      </c>
      <c r="O3173" s="52">
        <f>L3173/1.1</f>
        <v/>
      </c>
      <c r="P3173" s="36">
        <f>F3173&amp;E3173&amp;G3173&amp;J3173</f>
        <v/>
      </c>
    </row>
    <row r="3174">
      <c r="B3174" s="51" t="n">
        <v>44232</v>
      </c>
      <c r="C3174" s="36">
        <f>TEXT(B3174,"aaa")</f>
        <v/>
      </c>
      <c r="E3174" s="36">
        <f>INDEX(매칭테이블!C:C,MATCH(RD!G3174,매칭테이블!D:D,0))</f>
        <v/>
      </c>
      <c r="F3174" s="39" t="inlineStr">
        <is>
          <t>카페24</t>
        </is>
      </c>
      <c r="G3174" s="39" t="inlineStr">
        <is>
          <t>솔리드퍼퓸 세트향=스테이포에버 002 SOLID PERFUME, 세트 선택=1개</t>
        </is>
      </c>
      <c r="H3174" s="39" t="n">
        <v>11</v>
      </c>
      <c r="I3174" s="36">
        <f>VLOOKUP(G3174,매칭테이블!D:E,2,0)</f>
        <v/>
      </c>
      <c r="J3174" s="39" t="n">
        <v>210101</v>
      </c>
      <c r="L3174" s="36">
        <f>VLOOKUP($P3174,매칭테이블!$G:$J,2,0)*H3174</f>
        <v/>
      </c>
      <c r="M3174" s="36">
        <f>L3174-L3174*VLOOKUP($P3174,매칭테이블!$G:$J,3,0)</f>
        <v/>
      </c>
      <c r="N3174" s="36">
        <f>VLOOKUP($P3174,매칭테이블!$G:$J,4,0)*H3174</f>
        <v/>
      </c>
      <c r="O3174" s="52">
        <f>L3174/1.1</f>
        <v/>
      </c>
      <c r="P3174" s="36">
        <f>F3174&amp;E3174&amp;G3174&amp;J3174</f>
        <v/>
      </c>
    </row>
    <row r="3175">
      <c r="B3175" s="51" t="n">
        <v>44232</v>
      </c>
      <c r="C3175" s="36">
        <f>TEXT(B3175,"aaa")</f>
        <v/>
      </c>
      <c r="E3175" s="36">
        <f>INDEX(매칭테이블!C:C,MATCH(RD!G3175,매칭테이블!D:D,0))</f>
        <v/>
      </c>
      <c r="F3175" s="39" t="inlineStr">
        <is>
          <t>카페24</t>
        </is>
      </c>
      <c r="G3175" s="39" t="inlineStr">
        <is>
          <t>솔리드퍼퓸 세트향=스테이포에버 002 SOLID PERFUME, 세트 선택=best 2개 (28% 할인)</t>
        </is>
      </c>
      <c r="H3175" s="39" t="n">
        <v>13</v>
      </c>
      <c r="I3175" s="36">
        <f>VLOOKUP(G3175,매칭테이블!D:E,2,0)</f>
        <v/>
      </c>
      <c r="J3175" s="39" t="n">
        <v>210101</v>
      </c>
      <c r="L3175" s="36">
        <f>VLOOKUP($P3175,매칭테이블!$G:$J,2,0)*H3175</f>
        <v/>
      </c>
      <c r="M3175" s="36">
        <f>L3175-L3175*VLOOKUP($P3175,매칭테이블!$G:$J,3,0)</f>
        <v/>
      </c>
      <c r="N3175" s="36">
        <f>VLOOKUP($P3175,매칭테이블!$G:$J,4,0)*H3175</f>
        <v/>
      </c>
      <c r="O3175" s="52">
        <f>L3175/1.1</f>
        <v/>
      </c>
      <c r="P3175" s="36">
        <f>F3175&amp;E3175&amp;G3175&amp;J3175</f>
        <v/>
      </c>
    </row>
    <row r="3176">
      <c r="B3176" s="51" t="n">
        <v>44232</v>
      </c>
      <c r="C3176" s="36">
        <f>TEXT(B3176,"aaa")</f>
        <v/>
      </c>
      <c r="E3176" s="36">
        <f>INDEX(매칭테이블!C:C,MATCH(RD!G3176,매칭테이블!D:D,0))</f>
        <v/>
      </c>
      <c r="F3176" s="39" t="inlineStr">
        <is>
          <t>카페24</t>
        </is>
      </c>
      <c r="G3176" s="39" t="inlineStr">
        <is>
          <t>솔리드퍼퓸 세트향=커플세트(이그나이트 + 스테이포에버), 세트 선택=1 SET</t>
        </is>
      </c>
      <c r="H3176" s="39" t="n">
        <v>15</v>
      </c>
      <c r="I3176" s="36">
        <f>VLOOKUP(G3176,매칭테이블!D:E,2,0)</f>
        <v/>
      </c>
      <c r="J3176" s="39" t="n">
        <v>210101</v>
      </c>
      <c r="L3176" s="36">
        <f>VLOOKUP($P3176,매칭테이블!$G:$J,2,0)*H3176</f>
        <v/>
      </c>
      <c r="M3176" s="36">
        <f>L3176-L3176*VLOOKUP($P3176,매칭테이블!$G:$J,3,0)</f>
        <v/>
      </c>
      <c r="N3176" s="36">
        <f>VLOOKUP($P3176,매칭테이블!$G:$J,4,0)*H3176</f>
        <v/>
      </c>
      <c r="O3176" s="52">
        <f>L3176/1.1</f>
        <v/>
      </c>
      <c r="P3176" s="36">
        <f>F3176&amp;E3176&amp;G3176&amp;J3176</f>
        <v/>
      </c>
    </row>
    <row r="3177">
      <c r="B3177" s="51" t="n">
        <v>44232</v>
      </c>
      <c r="C3177" s="36">
        <f>TEXT(B3177,"aaa")</f>
        <v/>
      </c>
      <c r="E3177" s="36">
        <f>INDEX(매칭테이블!C:C,MATCH(RD!G3177,매칭테이블!D:D,0))</f>
        <v/>
      </c>
      <c r="F3177" s="39" t="inlineStr">
        <is>
          <t>카페24</t>
        </is>
      </c>
      <c r="G3177" s="39" t="inlineStr">
        <is>
          <t>솔리드퍼퓸 세트향=커플세트(이그나이트 + 스테이포에버), 세트 선택=2 SET (42% 할인)</t>
        </is>
      </c>
      <c r="H3177" s="39" t="n">
        <v>1</v>
      </c>
      <c r="I3177" s="36">
        <f>VLOOKUP(G3177,매칭테이블!D:E,2,0)</f>
        <v/>
      </c>
      <c r="J3177" s="39" t="n">
        <v>210101</v>
      </c>
      <c r="L3177" s="36">
        <f>VLOOKUP($P3177,매칭테이블!$G:$J,2,0)*H3177</f>
        <v/>
      </c>
      <c r="M3177" s="36">
        <f>L3177-L3177*VLOOKUP($P3177,매칭테이블!$G:$J,3,0)</f>
        <v/>
      </c>
      <c r="N3177" s="36">
        <f>VLOOKUP($P3177,매칭테이블!$G:$J,4,0)*H3177</f>
        <v/>
      </c>
      <c r="O3177" s="52">
        <f>L3177/1.1</f>
        <v/>
      </c>
      <c r="P3177" s="36">
        <f>F3177&amp;E3177&amp;G3177&amp;J3177</f>
        <v/>
      </c>
    </row>
    <row r="3178">
      <c r="B3178" s="51" t="n">
        <v>44232</v>
      </c>
      <c r="C3178" s="36">
        <f>TEXT(B3178,"aaa")</f>
        <v/>
      </c>
      <c r="E3178" s="36">
        <f>INDEX(매칭테이블!C:C,MATCH(RD!G3178,매칭테이블!D:D,0))</f>
        <v/>
      </c>
      <c r="F3178" s="39" t="inlineStr">
        <is>
          <t>카페24</t>
        </is>
      </c>
      <c r="G3178" s="39" t="inlineStr">
        <is>
          <t>솔리드퍼퓸 스테이포에버 002제품선택=스테이포에버 1개</t>
        </is>
      </c>
      <c r="H3178" s="39" t="n">
        <v>174</v>
      </c>
      <c r="I3178" s="36">
        <f>VLOOKUP(G3178,매칭테이블!D:E,2,0)</f>
        <v/>
      </c>
      <c r="J3178" s="39" t="n">
        <v>210101</v>
      </c>
      <c r="L3178" s="36">
        <f>VLOOKUP($P3178,매칭테이블!$G:$J,2,0)*H3178</f>
        <v/>
      </c>
      <c r="M3178" s="36">
        <f>L3178-L3178*VLOOKUP($P3178,매칭테이블!$G:$J,3,0)</f>
        <v/>
      </c>
      <c r="N3178" s="36">
        <f>VLOOKUP($P3178,매칭테이블!$G:$J,4,0)*H3178</f>
        <v/>
      </c>
      <c r="O3178" s="52">
        <f>L3178/1.1</f>
        <v/>
      </c>
      <c r="P3178" s="36">
        <f>F3178&amp;E3178&amp;G3178&amp;J3178</f>
        <v/>
      </c>
    </row>
    <row r="3179">
      <c r="B3179" s="51" t="n">
        <v>44232</v>
      </c>
      <c r="C3179" s="36">
        <f>TEXT(B3179,"aaa")</f>
        <v/>
      </c>
      <c r="E3179" s="36">
        <f>INDEX(매칭테이블!C:C,MATCH(RD!G3179,매칭테이블!D:D,0))</f>
        <v/>
      </c>
      <c r="F3179" s="39" t="inlineStr">
        <is>
          <t>카페24</t>
        </is>
      </c>
      <c r="G3179" s="39" t="inlineStr">
        <is>
          <t>솔리드퍼퓸 스테이포에버 002제품선택=best스테이포에버 2개[28% 할인]</t>
        </is>
      </c>
      <c r="H3179" s="39" t="n">
        <v>117</v>
      </c>
      <c r="I3179" s="36">
        <f>VLOOKUP(G3179,매칭테이블!D:E,2,0)</f>
        <v/>
      </c>
      <c r="J3179" s="39" t="n">
        <v>210101</v>
      </c>
      <c r="L3179" s="36">
        <f>VLOOKUP($P3179,매칭테이블!$G:$J,2,0)*H3179</f>
        <v/>
      </c>
      <c r="M3179" s="36">
        <f>L3179-L3179*VLOOKUP($P3179,매칭테이블!$G:$J,3,0)</f>
        <v/>
      </c>
      <c r="N3179" s="36">
        <f>VLOOKUP($P3179,매칭테이블!$G:$J,4,0)*H3179</f>
        <v/>
      </c>
      <c r="O3179" s="52">
        <f>L3179/1.1</f>
        <v/>
      </c>
      <c r="P3179" s="36">
        <f>F3179&amp;E3179&amp;G3179&amp;J3179</f>
        <v/>
      </c>
    </row>
    <row r="3180">
      <c r="B3180" s="51" t="n">
        <v>44232</v>
      </c>
      <c r="C3180" s="36">
        <f>TEXT(B3180,"aaa")</f>
        <v/>
      </c>
      <c r="E3180" s="36">
        <f>INDEX(매칭테이블!C:C,MATCH(RD!G3180,매칭테이블!D:D,0))</f>
        <v/>
      </c>
      <c r="F3180" s="39" t="inlineStr">
        <is>
          <t>카페24</t>
        </is>
      </c>
      <c r="G3180" s="39" t="inlineStr">
        <is>
          <t>솔리드퍼퓸 스테이포에버 002제품선택=커플추천스테이포에버 + 이그나이트 세트</t>
        </is>
      </c>
      <c r="H3180" s="39" t="n">
        <v>16</v>
      </c>
      <c r="I3180" s="36">
        <f>VLOOKUP(G3180,매칭테이블!D:E,2,0)</f>
        <v/>
      </c>
      <c r="J3180" s="39" t="n">
        <v>210101</v>
      </c>
      <c r="L3180" s="36">
        <f>VLOOKUP($P3180,매칭테이블!$G:$J,2,0)*H3180</f>
        <v/>
      </c>
      <c r="M3180" s="36">
        <f>L3180-L3180*VLOOKUP($P3180,매칭테이블!$G:$J,3,0)</f>
        <v/>
      </c>
      <c r="N3180" s="36">
        <f>VLOOKUP($P3180,매칭테이블!$G:$J,4,0)*H3180</f>
        <v/>
      </c>
      <c r="O3180" s="52">
        <f>L3180/1.1</f>
        <v/>
      </c>
      <c r="P3180" s="36">
        <f>F3180&amp;E3180&amp;G3180&amp;J3180</f>
        <v/>
      </c>
    </row>
    <row r="3181">
      <c r="B3181" s="51" t="n">
        <v>44232</v>
      </c>
      <c r="C3181" s="36">
        <f>TEXT(B3181,"aaa")</f>
        <v/>
      </c>
      <c r="E3181" s="36">
        <f>INDEX(매칭테이블!C:C,MATCH(RD!G3181,매칭테이블!D:D,0))</f>
        <v/>
      </c>
      <c r="F3181" s="39" t="inlineStr">
        <is>
          <t>카페24</t>
        </is>
      </c>
      <c r="G3181" s="39" t="inlineStr">
        <is>
          <t>솔리드퍼퓸 스테이포에버 002쇼핑백=선물용 쇼핑백</t>
        </is>
      </c>
      <c r="H3181" s="39" t="n">
        <v>8</v>
      </c>
      <c r="I3181" s="36">
        <f>VLOOKUP(G3181,매칭테이블!D:E,2,0)</f>
        <v/>
      </c>
      <c r="J3181" s="39" t="n">
        <v>210101</v>
      </c>
      <c r="L3181" s="36">
        <f>VLOOKUP($P3181,매칭테이블!$G:$J,2,0)*H3181</f>
        <v/>
      </c>
      <c r="M3181" s="36">
        <f>L3181-L3181*VLOOKUP($P3181,매칭테이블!$G:$J,3,0)</f>
        <v/>
      </c>
      <c r="N3181" s="36">
        <f>VLOOKUP($P3181,매칭테이블!$G:$J,4,0)*H3181</f>
        <v/>
      </c>
      <c r="O3181" s="52">
        <f>L3181/1.1</f>
        <v/>
      </c>
      <c r="P3181" s="36">
        <f>F3181&amp;E3181&amp;G3181&amp;J3181</f>
        <v/>
      </c>
    </row>
    <row r="3182">
      <c r="B3182" s="51" t="n">
        <v>44232</v>
      </c>
      <c r="C3182" s="36">
        <f>TEXT(B3182,"aaa")</f>
        <v/>
      </c>
      <c r="E3182" s="36">
        <f>INDEX(매칭테이블!C:C,MATCH(RD!G3182,매칭테이블!D:D,0))</f>
        <v/>
      </c>
      <c r="F3182" s="39" t="inlineStr">
        <is>
          <t>카페24</t>
        </is>
      </c>
      <c r="G3182" s="39" t="inlineStr">
        <is>
          <t>솔리드퍼퓸 이그나이트 001제품선택=이그나이트 2개 세트</t>
        </is>
      </c>
      <c r="H3182" s="39" t="n">
        <v>1</v>
      </c>
      <c r="I3182" s="36">
        <f>VLOOKUP(G3182,매칭테이블!D:E,2,0)</f>
        <v/>
      </c>
      <c r="J3182" s="39" t="n">
        <v>210101</v>
      </c>
      <c r="L3182" s="36">
        <f>VLOOKUP($P3182,매칭테이블!$G:$J,2,0)*H3182</f>
        <v/>
      </c>
      <c r="M3182" s="36">
        <f>L3182-L3182*VLOOKUP($P3182,매칭테이블!$G:$J,3,0)</f>
        <v/>
      </c>
      <c r="N3182" s="36">
        <f>VLOOKUP($P3182,매칭테이블!$G:$J,4,0)*H3182</f>
        <v/>
      </c>
      <c r="O3182" s="52">
        <f>L3182/1.1</f>
        <v/>
      </c>
      <c r="P3182" s="36">
        <f>F3182&amp;E3182&amp;G3182&amp;J3182</f>
        <v/>
      </c>
    </row>
    <row r="3183">
      <c r="B3183" s="51" t="n">
        <v>44233</v>
      </c>
      <c r="C3183" s="36">
        <f>TEXT(B3183,"aaa")</f>
        <v/>
      </c>
      <c r="E3183" s="36">
        <f>INDEX(매칭테이블!C:C,MATCH(RD!G3183,매칭테이블!D:D,0))</f>
        <v/>
      </c>
      <c r="F3183" s="39" t="inlineStr">
        <is>
          <t>카페24</t>
        </is>
      </c>
      <c r="G3183" s="39" t="inlineStr">
        <is>
          <t>솔리드퍼퓸 세트향=이그나이트 001 SOLID PERFUME, 세트 선택=1개</t>
        </is>
      </c>
      <c r="H3183" s="39" t="n">
        <v>5</v>
      </c>
      <c r="I3183" s="36">
        <f>VLOOKUP(G3183,매칭테이블!D:E,2,0)</f>
        <v/>
      </c>
      <c r="J3183" s="39" t="n">
        <v>210101</v>
      </c>
      <c r="L3183" s="36">
        <f>VLOOKUP($P3183,매칭테이블!$G:$J,2,0)*H3183</f>
        <v/>
      </c>
      <c r="M3183" s="36">
        <f>L3183-L3183*VLOOKUP($P3183,매칭테이블!$G:$J,3,0)</f>
        <v/>
      </c>
      <c r="N3183" s="36">
        <f>VLOOKUP($P3183,매칭테이블!$G:$J,4,0)*H3183</f>
        <v/>
      </c>
      <c r="O3183" s="52">
        <f>L3183/1.1</f>
        <v/>
      </c>
      <c r="P3183" s="36">
        <f>F3183&amp;E3183&amp;G3183&amp;J3183</f>
        <v/>
      </c>
    </row>
    <row r="3184">
      <c r="B3184" s="51" t="n">
        <v>44233</v>
      </c>
      <c r="C3184" s="36">
        <f>TEXT(B3184,"aaa")</f>
        <v/>
      </c>
      <c r="E3184" s="36">
        <f>INDEX(매칭테이블!C:C,MATCH(RD!G3184,매칭테이블!D:D,0))</f>
        <v/>
      </c>
      <c r="F3184" s="39" t="inlineStr">
        <is>
          <t>카페24</t>
        </is>
      </c>
      <c r="G3184" s="39" t="inlineStr">
        <is>
          <t>솔리드퍼퓸 세트향=스테이포에버 002 SOLID PERFUME, 세트 선택=1개</t>
        </is>
      </c>
      <c r="H3184" s="39" t="n">
        <v>12</v>
      </c>
      <c r="I3184" s="36">
        <f>VLOOKUP(G3184,매칭테이블!D:E,2,0)</f>
        <v/>
      </c>
      <c r="J3184" s="39" t="n">
        <v>210101</v>
      </c>
      <c r="L3184" s="36">
        <f>VLOOKUP($P3184,매칭테이블!$G:$J,2,0)*H3184</f>
        <v/>
      </c>
      <c r="M3184" s="36">
        <f>L3184-L3184*VLOOKUP($P3184,매칭테이블!$G:$J,3,0)</f>
        <v/>
      </c>
      <c r="N3184" s="36">
        <f>VLOOKUP($P3184,매칭테이블!$G:$J,4,0)*H3184</f>
        <v/>
      </c>
      <c r="O3184" s="52">
        <f>L3184/1.1</f>
        <v/>
      </c>
      <c r="P3184" s="36">
        <f>F3184&amp;E3184&amp;G3184&amp;J3184</f>
        <v/>
      </c>
    </row>
    <row r="3185">
      <c r="B3185" s="51" t="n">
        <v>44233</v>
      </c>
      <c r="C3185" s="36">
        <f>TEXT(B3185,"aaa")</f>
        <v/>
      </c>
      <c r="E3185" s="36">
        <f>INDEX(매칭테이블!C:C,MATCH(RD!G3185,매칭테이블!D:D,0))</f>
        <v/>
      </c>
      <c r="F3185" s="39" t="inlineStr">
        <is>
          <t>카페24</t>
        </is>
      </c>
      <c r="G3185" s="39" t="inlineStr">
        <is>
          <t>솔리드퍼퓸 세트향=스테이포에버 002 SOLID PERFUME, 세트 선택=best 2개 (28% 할인)</t>
        </is>
      </c>
      <c r="H3185" s="39" t="n">
        <v>11</v>
      </c>
      <c r="I3185" s="36">
        <f>VLOOKUP(G3185,매칭테이블!D:E,2,0)</f>
        <v/>
      </c>
      <c r="J3185" s="39" t="n">
        <v>210101</v>
      </c>
      <c r="L3185" s="36">
        <f>VLOOKUP($P3185,매칭테이블!$G:$J,2,0)*H3185</f>
        <v/>
      </c>
      <c r="M3185" s="36">
        <f>L3185-L3185*VLOOKUP($P3185,매칭테이블!$G:$J,3,0)</f>
        <v/>
      </c>
      <c r="N3185" s="36">
        <f>VLOOKUP($P3185,매칭테이블!$G:$J,4,0)*H3185</f>
        <v/>
      </c>
      <c r="O3185" s="52">
        <f>L3185/1.1</f>
        <v/>
      </c>
      <c r="P3185" s="36">
        <f>F3185&amp;E3185&amp;G3185&amp;J3185</f>
        <v/>
      </c>
    </row>
    <row r="3186">
      <c r="B3186" s="51" t="n">
        <v>44233</v>
      </c>
      <c r="C3186" s="36">
        <f>TEXT(B3186,"aaa")</f>
        <v/>
      </c>
      <c r="E3186" s="36">
        <f>INDEX(매칭테이블!C:C,MATCH(RD!G3186,매칭테이블!D:D,0))</f>
        <v/>
      </c>
      <c r="F3186" s="39" t="inlineStr">
        <is>
          <t>카페24</t>
        </is>
      </c>
      <c r="G3186" s="39" t="inlineStr">
        <is>
          <t>솔리드퍼퓸 세트향=커플세트(이그나이트 + 스테이포에버), 세트 선택=1 SET</t>
        </is>
      </c>
      <c r="H3186" s="39" t="n">
        <v>25</v>
      </c>
      <c r="I3186" s="36">
        <f>VLOOKUP(G3186,매칭테이블!D:E,2,0)</f>
        <v/>
      </c>
      <c r="J3186" s="39" t="n">
        <v>210101</v>
      </c>
      <c r="L3186" s="36">
        <f>VLOOKUP($P3186,매칭테이블!$G:$J,2,0)*H3186</f>
        <v/>
      </c>
      <c r="M3186" s="36">
        <f>L3186-L3186*VLOOKUP($P3186,매칭테이블!$G:$J,3,0)</f>
        <v/>
      </c>
      <c r="N3186" s="36">
        <f>VLOOKUP($P3186,매칭테이블!$G:$J,4,0)*H3186</f>
        <v/>
      </c>
      <c r="O3186" s="52">
        <f>L3186/1.1</f>
        <v/>
      </c>
      <c r="P3186" s="36">
        <f>F3186&amp;E3186&amp;G3186&amp;J3186</f>
        <v/>
      </c>
    </row>
    <row r="3187">
      <c r="B3187" s="51" t="n">
        <v>44233</v>
      </c>
      <c r="C3187" s="36">
        <f>TEXT(B3187,"aaa")</f>
        <v/>
      </c>
      <c r="E3187" s="36">
        <f>INDEX(매칭테이블!C:C,MATCH(RD!G3187,매칭테이블!D:D,0))</f>
        <v/>
      </c>
      <c r="F3187" s="39" t="inlineStr">
        <is>
          <t>카페24</t>
        </is>
      </c>
      <c r="G3187" s="39" t="inlineStr">
        <is>
          <t>솔리드퍼퓸 세트향=커플세트(이그나이트 + 스테이포에버), 세트 선택=2 SET (42% 할인)</t>
        </is>
      </c>
      <c r="H3187" s="39" t="n">
        <v>2</v>
      </c>
      <c r="I3187" s="36">
        <f>VLOOKUP(G3187,매칭테이블!D:E,2,0)</f>
        <v/>
      </c>
      <c r="J3187" s="39" t="n">
        <v>210101</v>
      </c>
      <c r="L3187" s="36">
        <f>VLOOKUP($P3187,매칭테이블!$G:$J,2,0)*H3187</f>
        <v/>
      </c>
      <c r="M3187" s="36">
        <f>L3187-L3187*VLOOKUP($P3187,매칭테이블!$G:$J,3,0)</f>
        <v/>
      </c>
      <c r="N3187" s="36">
        <f>VLOOKUP($P3187,매칭테이블!$G:$J,4,0)*H3187</f>
        <v/>
      </c>
      <c r="O3187" s="52">
        <f>L3187/1.1</f>
        <v/>
      </c>
      <c r="P3187" s="36">
        <f>F3187&amp;E3187&amp;G3187&amp;J3187</f>
        <v/>
      </c>
    </row>
    <row r="3188">
      <c r="B3188" s="51" t="n">
        <v>44233</v>
      </c>
      <c r="C3188" s="36">
        <f>TEXT(B3188,"aaa")</f>
        <v/>
      </c>
      <c r="E3188" s="36">
        <f>INDEX(매칭테이블!C:C,MATCH(RD!G3188,매칭테이블!D:D,0))</f>
        <v/>
      </c>
      <c r="F3188" s="39" t="inlineStr">
        <is>
          <t>카페24</t>
        </is>
      </c>
      <c r="G3188" s="39" t="inlineStr">
        <is>
          <t>솔리드퍼퓸 스테이포에버 002제품선택=스테이포에버 1개</t>
        </is>
      </c>
      <c r="H3188" s="39" t="n">
        <v>187</v>
      </c>
      <c r="I3188" s="36">
        <f>VLOOKUP(G3188,매칭테이블!D:E,2,0)</f>
        <v/>
      </c>
      <c r="J3188" s="39" t="n">
        <v>210101</v>
      </c>
      <c r="L3188" s="36">
        <f>VLOOKUP($P3188,매칭테이블!$G:$J,2,0)*H3188</f>
        <v/>
      </c>
      <c r="M3188" s="36">
        <f>L3188-L3188*VLOOKUP($P3188,매칭테이블!$G:$J,3,0)</f>
        <v/>
      </c>
      <c r="N3188" s="36">
        <f>VLOOKUP($P3188,매칭테이블!$G:$J,4,0)*H3188</f>
        <v/>
      </c>
      <c r="O3188" s="52">
        <f>L3188/1.1</f>
        <v/>
      </c>
      <c r="P3188" s="36">
        <f>F3188&amp;E3188&amp;G3188&amp;J3188</f>
        <v/>
      </c>
    </row>
    <row r="3189">
      <c r="B3189" s="51" t="n">
        <v>44233</v>
      </c>
      <c r="C3189" s="36">
        <f>TEXT(B3189,"aaa")</f>
        <v/>
      </c>
      <c r="E3189" s="36">
        <f>INDEX(매칭테이블!C:C,MATCH(RD!G3189,매칭테이블!D:D,0))</f>
        <v/>
      </c>
      <c r="F3189" s="39" t="inlineStr">
        <is>
          <t>카페24</t>
        </is>
      </c>
      <c r="G3189" s="39" t="inlineStr">
        <is>
          <t>솔리드퍼퓸 스테이포에버 002제품선택=best스테이포에버 2개[28% 할인]</t>
        </is>
      </c>
      <c r="H3189" s="39" t="n">
        <v>134</v>
      </c>
      <c r="I3189" s="36">
        <f>VLOOKUP(G3189,매칭테이블!D:E,2,0)</f>
        <v/>
      </c>
      <c r="J3189" s="39" t="n">
        <v>210101</v>
      </c>
      <c r="L3189" s="36">
        <f>VLOOKUP($P3189,매칭테이블!$G:$J,2,0)*H3189</f>
        <v/>
      </c>
      <c r="M3189" s="36">
        <f>L3189-L3189*VLOOKUP($P3189,매칭테이블!$G:$J,3,0)</f>
        <v/>
      </c>
      <c r="N3189" s="36">
        <f>VLOOKUP($P3189,매칭테이블!$G:$J,4,0)*H3189</f>
        <v/>
      </c>
      <c r="O3189" s="52">
        <f>L3189/1.1</f>
        <v/>
      </c>
      <c r="P3189" s="36">
        <f>F3189&amp;E3189&amp;G3189&amp;J3189</f>
        <v/>
      </c>
    </row>
    <row r="3190">
      <c r="B3190" s="51" t="n">
        <v>44233</v>
      </c>
      <c r="C3190" s="36">
        <f>TEXT(B3190,"aaa")</f>
        <v/>
      </c>
      <c r="E3190" s="36">
        <f>INDEX(매칭테이블!C:C,MATCH(RD!G3190,매칭테이블!D:D,0))</f>
        <v/>
      </c>
      <c r="F3190" s="39" t="inlineStr">
        <is>
          <t>카페24</t>
        </is>
      </c>
      <c r="G3190" s="39" t="inlineStr">
        <is>
          <t>솔리드퍼퓸 스테이포에버 002제품선택=커플추천스테이포에버 + 이그나이트 세트</t>
        </is>
      </c>
      <c r="H3190" s="39" t="n">
        <v>15</v>
      </c>
      <c r="I3190" s="36">
        <f>VLOOKUP(G3190,매칭테이블!D:E,2,0)</f>
        <v/>
      </c>
      <c r="J3190" s="39" t="n">
        <v>210101</v>
      </c>
      <c r="L3190" s="36">
        <f>VLOOKUP($P3190,매칭테이블!$G:$J,2,0)*H3190</f>
        <v/>
      </c>
      <c r="M3190" s="36">
        <f>L3190-L3190*VLOOKUP($P3190,매칭테이블!$G:$J,3,0)</f>
        <v/>
      </c>
      <c r="N3190" s="36">
        <f>VLOOKUP($P3190,매칭테이블!$G:$J,4,0)*H3190</f>
        <v/>
      </c>
      <c r="O3190" s="52">
        <f>L3190/1.1</f>
        <v/>
      </c>
      <c r="P3190" s="36">
        <f>F3190&amp;E3190&amp;G3190&amp;J3190</f>
        <v/>
      </c>
    </row>
    <row r="3191">
      <c r="B3191" s="51" t="n">
        <v>44233</v>
      </c>
      <c r="C3191" s="36">
        <f>TEXT(B3191,"aaa")</f>
        <v/>
      </c>
      <c r="E3191" s="36">
        <f>INDEX(매칭테이블!C:C,MATCH(RD!G3191,매칭테이블!D:D,0))</f>
        <v/>
      </c>
      <c r="F3191" s="39" t="inlineStr">
        <is>
          <t>카페24</t>
        </is>
      </c>
      <c r="G3191" s="39" t="inlineStr">
        <is>
          <t>솔리드퍼퓸 스테이포에버 002쇼핑백=선물용 쇼핑백</t>
        </is>
      </c>
      <c r="H3191" s="39" t="n">
        <v>5</v>
      </c>
      <c r="I3191" s="36">
        <f>VLOOKUP(G3191,매칭테이블!D:E,2,0)</f>
        <v/>
      </c>
      <c r="J3191" s="39" t="n">
        <v>210101</v>
      </c>
      <c r="L3191" s="36">
        <f>VLOOKUP($P3191,매칭테이블!$G:$J,2,0)*H3191</f>
        <v/>
      </c>
      <c r="M3191" s="36">
        <f>L3191-L3191*VLOOKUP($P3191,매칭테이블!$G:$J,3,0)</f>
        <v/>
      </c>
      <c r="N3191" s="36">
        <f>VLOOKUP($P3191,매칭테이블!$G:$J,4,0)*H3191</f>
        <v/>
      </c>
      <c r="O3191" s="52">
        <f>L3191/1.1</f>
        <v/>
      </c>
      <c r="P3191" s="36">
        <f>F3191&amp;E3191&amp;G3191&amp;J3191</f>
        <v/>
      </c>
    </row>
    <row r="3192">
      <c r="B3192" s="51" t="n">
        <v>44233</v>
      </c>
      <c r="C3192" s="36">
        <f>TEXT(B3192,"aaa")</f>
        <v/>
      </c>
      <c r="E3192" s="36">
        <f>INDEX(매칭테이블!C:C,MATCH(RD!G3192,매칭테이블!D:D,0))</f>
        <v/>
      </c>
      <c r="F3192" s="39" t="inlineStr">
        <is>
          <t>카페24</t>
        </is>
      </c>
      <c r="G3192" s="39" t="inlineStr">
        <is>
          <t>솔리드퍼퓸 이그나이트 001제품선택=이그나이트 2개 세트</t>
        </is>
      </c>
      <c r="H3192" s="39" t="n">
        <v>2</v>
      </c>
      <c r="I3192" s="36">
        <f>VLOOKUP(G3192,매칭테이블!D:E,2,0)</f>
        <v/>
      </c>
      <c r="J3192" s="39" t="n">
        <v>210101</v>
      </c>
      <c r="L3192" s="36">
        <f>VLOOKUP($P3192,매칭테이블!$G:$J,2,0)*H3192</f>
        <v/>
      </c>
      <c r="M3192" s="36">
        <f>L3192-L3192*VLOOKUP($P3192,매칭테이블!$G:$J,3,0)</f>
        <v/>
      </c>
      <c r="N3192" s="36">
        <f>VLOOKUP($P3192,매칭테이블!$G:$J,4,0)*H3192</f>
        <v/>
      </c>
      <c r="O3192" s="52">
        <f>L3192/1.1</f>
        <v/>
      </c>
      <c r="P3192" s="36">
        <f>F3192&amp;E3192&amp;G3192&amp;J3192</f>
        <v/>
      </c>
    </row>
    <row r="3193">
      <c r="B3193" s="51" t="n">
        <v>44234</v>
      </c>
      <c r="C3193" s="36">
        <f>TEXT(B3193,"aaa")</f>
        <v/>
      </c>
      <c r="E3193" s="36">
        <f>INDEX(매칭테이블!C:C,MATCH(RD!G3193,매칭테이블!D:D,0))</f>
        <v/>
      </c>
      <c r="F3193" s="39" t="inlineStr">
        <is>
          <t>카페24</t>
        </is>
      </c>
      <c r="G3193" s="39" t="inlineStr">
        <is>
          <t>솔리드퍼퓸 세트향=이그나이트 001 SOLID PERFUME, 세트 선택=1개</t>
        </is>
      </c>
      <c r="H3193" s="39" t="n">
        <v>2</v>
      </c>
      <c r="I3193" s="36">
        <f>VLOOKUP(G3193,매칭테이블!D:E,2,0)</f>
        <v/>
      </c>
      <c r="J3193" s="39" t="n">
        <v>210101</v>
      </c>
      <c r="L3193" s="36">
        <f>VLOOKUP($P3193,매칭테이블!$G:$J,2,0)*H3193</f>
        <v/>
      </c>
      <c r="M3193" s="36">
        <f>L3193-L3193*VLOOKUP($P3193,매칭테이블!$G:$J,3,0)</f>
        <v/>
      </c>
      <c r="N3193" s="36">
        <f>VLOOKUP($P3193,매칭테이블!$G:$J,4,0)*H3193</f>
        <v/>
      </c>
      <c r="O3193" s="52">
        <f>L3193/1.1</f>
        <v/>
      </c>
      <c r="P3193" s="36">
        <f>F3193&amp;E3193&amp;G3193&amp;J3193</f>
        <v/>
      </c>
    </row>
    <row r="3194">
      <c r="B3194" s="51" t="n">
        <v>44234</v>
      </c>
      <c r="C3194" s="36">
        <f>TEXT(B3194,"aaa")</f>
        <v/>
      </c>
      <c r="E3194" s="36">
        <f>INDEX(매칭테이블!C:C,MATCH(RD!G3194,매칭테이블!D:D,0))</f>
        <v/>
      </c>
      <c r="F3194" s="39" t="inlineStr">
        <is>
          <t>카페24</t>
        </is>
      </c>
      <c r="G3194" s="39" t="inlineStr">
        <is>
          <t>솔리드퍼퓸 세트향=스테이포에버 002 SOLID PERFUME, 세트 선택=1개</t>
        </is>
      </c>
      <c r="H3194" s="39" t="n">
        <v>15</v>
      </c>
      <c r="I3194" s="36">
        <f>VLOOKUP(G3194,매칭테이블!D:E,2,0)</f>
        <v/>
      </c>
      <c r="J3194" s="39" t="n">
        <v>210101</v>
      </c>
      <c r="L3194" s="36">
        <f>VLOOKUP($P3194,매칭테이블!$G:$J,2,0)*H3194</f>
        <v/>
      </c>
      <c r="M3194" s="36">
        <f>L3194-L3194*VLOOKUP($P3194,매칭테이블!$G:$J,3,0)</f>
        <v/>
      </c>
      <c r="N3194" s="36">
        <f>VLOOKUP($P3194,매칭테이블!$G:$J,4,0)*H3194</f>
        <v/>
      </c>
      <c r="O3194" s="52">
        <f>L3194/1.1</f>
        <v/>
      </c>
      <c r="P3194" s="36">
        <f>F3194&amp;E3194&amp;G3194&amp;J3194</f>
        <v/>
      </c>
    </row>
    <row r="3195">
      <c r="B3195" s="51" t="n">
        <v>44234</v>
      </c>
      <c r="C3195" s="36">
        <f>TEXT(B3195,"aaa")</f>
        <v/>
      </c>
      <c r="E3195" s="36">
        <f>INDEX(매칭테이블!C:C,MATCH(RD!G3195,매칭테이블!D:D,0))</f>
        <v/>
      </c>
      <c r="F3195" s="39" t="inlineStr">
        <is>
          <t>카페24</t>
        </is>
      </c>
      <c r="G3195" s="39" t="inlineStr">
        <is>
          <t>솔리드퍼퓸 세트향=스테이포에버 002 SOLID PERFUME, 세트 선택=best 2개 (28% 할인)</t>
        </is>
      </c>
      <c r="H3195" s="39" t="n">
        <v>9</v>
      </c>
      <c r="I3195" s="36">
        <f>VLOOKUP(G3195,매칭테이블!D:E,2,0)</f>
        <v/>
      </c>
      <c r="J3195" s="39" t="n">
        <v>210101</v>
      </c>
      <c r="L3195" s="36">
        <f>VLOOKUP($P3195,매칭테이블!$G:$J,2,0)*H3195</f>
        <v/>
      </c>
      <c r="M3195" s="36">
        <f>L3195-L3195*VLOOKUP($P3195,매칭테이블!$G:$J,3,0)</f>
        <v/>
      </c>
      <c r="N3195" s="36">
        <f>VLOOKUP($P3195,매칭테이블!$G:$J,4,0)*H3195</f>
        <v/>
      </c>
      <c r="O3195" s="52">
        <f>L3195/1.1</f>
        <v/>
      </c>
      <c r="P3195" s="36">
        <f>F3195&amp;E3195&amp;G3195&amp;J3195</f>
        <v/>
      </c>
    </row>
    <row r="3196">
      <c r="B3196" s="51" t="n">
        <v>44234</v>
      </c>
      <c r="C3196" s="36">
        <f>TEXT(B3196,"aaa")</f>
        <v/>
      </c>
      <c r="E3196" s="36">
        <f>INDEX(매칭테이블!C:C,MATCH(RD!G3196,매칭테이블!D:D,0))</f>
        <v/>
      </c>
      <c r="F3196" s="39" t="inlineStr">
        <is>
          <t>카페24</t>
        </is>
      </c>
      <c r="G3196" s="39" t="inlineStr">
        <is>
          <t>솔리드퍼퓸 세트향=커플세트(이그나이트 + 스테이포에버), 세트 선택=1 SET</t>
        </is>
      </c>
      <c r="H3196" s="39" t="n">
        <v>19</v>
      </c>
      <c r="I3196" s="36">
        <f>VLOOKUP(G3196,매칭테이블!D:E,2,0)</f>
        <v/>
      </c>
      <c r="J3196" s="39" t="n">
        <v>210101</v>
      </c>
      <c r="L3196" s="36">
        <f>VLOOKUP($P3196,매칭테이블!$G:$J,2,0)*H3196</f>
        <v/>
      </c>
      <c r="M3196" s="36">
        <f>L3196-L3196*VLOOKUP($P3196,매칭테이블!$G:$J,3,0)</f>
        <v/>
      </c>
      <c r="N3196" s="36">
        <f>VLOOKUP($P3196,매칭테이블!$G:$J,4,0)*H3196</f>
        <v/>
      </c>
      <c r="O3196" s="52">
        <f>L3196/1.1</f>
        <v/>
      </c>
      <c r="P3196" s="36">
        <f>F3196&amp;E3196&amp;G3196&amp;J3196</f>
        <v/>
      </c>
    </row>
    <row r="3197">
      <c r="B3197" s="51" t="n">
        <v>44234</v>
      </c>
      <c r="C3197" s="36">
        <f>TEXT(B3197,"aaa")</f>
        <v/>
      </c>
      <c r="E3197" s="36">
        <f>INDEX(매칭테이블!C:C,MATCH(RD!G3197,매칭테이블!D:D,0))</f>
        <v/>
      </c>
      <c r="F3197" s="39" t="inlineStr">
        <is>
          <t>카페24</t>
        </is>
      </c>
      <c r="G3197" s="39" t="inlineStr">
        <is>
          <t>솔리드퍼퓸 세트향=커플세트(이그나이트 + 스테이포에버), 세트 선택=2 SET (42% 할인)</t>
        </is>
      </c>
      <c r="H3197" s="39" t="n">
        <v>1</v>
      </c>
      <c r="I3197" s="36">
        <f>VLOOKUP(G3197,매칭테이블!D:E,2,0)</f>
        <v/>
      </c>
      <c r="J3197" s="39" t="n">
        <v>210101</v>
      </c>
      <c r="L3197" s="36">
        <f>VLOOKUP($P3197,매칭테이블!$G:$J,2,0)*H3197</f>
        <v/>
      </c>
      <c r="M3197" s="36">
        <f>L3197-L3197*VLOOKUP($P3197,매칭테이블!$G:$J,3,0)</f>
        <v/>
      </c>
      <c r="N3197" s="36">
        <f>VLOOKUP($P3197,매칭테이블!$G:$J,4,0)*H3197</f>
        <v/>
      </c>
      <c r="O3197" s="52">
        <f>L3197/1.1</f>
        <v/>
      </c>
      <c r="P3197" s="36">
        <f>F3197&amp;E3197&amp;G3197&amp;J3197</f>
        <v/>
      </c>
    </row>
    <row r="3198">
      <c r="B3198" s="51" t="n">
        <v>44234</v>
      </c>
      <c r="C3198" s="36">
        <f>TEXT(B3198,"aaa")</f>
        <v/>
      </c>
      <c r="E3198" s="36">
        <f>INDEX(매칭테이블!C:C,MATCH(RD!G3198,매칭테이블!D:D,0))</f>
        <v/>
      </c>
      <c r="F3198" s="39" t="inlineStr">
        <is>
          <t>카페24</t>
        </is>
      </c>
      <c r="G3198" s="39" t="inlineStr">
        <is>
          <t>솔리드퍼퓸 스테이포에버 002제품선택=스테이포에버 1개</t>
        </is>
      </c>
      <c r="H3198" s="39" t="n">
        <v>236</v>
      </c>
      <c r="I3198" s="36">
        <f>VLOOKUP(G3198,매칭테이블!D:E,2,0)</f>
        <v/>
      </c>
      <c r="J3198" s="39" t="n">
        <v>210101</v>
      </c>
      <c r="L3198" s="36">
        <f>VLOOKUP($P3198,매칭테이블!$G:$J,2,0)*H3198</f>
        <v/>
      </c>
      <c r="M3198" s="36">
        <f>L3198-L3198*VLOOKUP($P3198,매칭테이블!$G:$J,3,0)</f>
        <v/>
      </c>
      <c r="N3198" s="36">
        <f>VLOOKUP($P3198,매칭테이블!$G:$J,4,0)*H3198</f>
        <v/>
      </c>
      <c r="O3198" s="52">
        <f>L3198/1.1</f>
        <v/>
      </c>
      <c r="P3198" s="36">
        <f>F3198&amp;E3198&amp;G3198&amp;J3198</f>
        <v/>
      </c>
    </row>
    <row r="3199">
      <c r="B3199" s="51" t="n">
        <v>44234</v>
      </c>
      <c r="C3199" s="36">
        <f>TEXT(B3199,"aaa")</f>
        <v/>
      </c>
      <c r="E3199" s="36">
        <f>INDEX(매칭테이블!C:C,MATCH(RD!G3199,매칭테이블!D:D,0))</f>
        <v/>
      </c>
      <c r="F3199" s="39" t="inlineStr">
        <is>
          <t>카페24</t>
        </is>
      </c>
      <c r="G3199" s="39" t="inlineStr">
        <is>
          <t>솔리드퍼퓸 스테이포에버 002제품선택=best스테이포에버 2개[28% 할인]</t>
        </is>
      </c>
      <c r="H3199" s="39" t="n">
        <v>150</v>
      </c>
      <c r="I3199" s="36">
        <f>VLOOKUP(G3199,매칭테이블!D:E,2,0)</f>
        <v/>
      </c>
      <c r="J3199" s="39" t="n">
        <v>210101</v>
      </c>
      <c r="L3199" s="36">
        <f>VLOOKUP($P3199,매칭테이블!$G:$J,2,0)*H3199</f>
        <v/>
      </c>
      <c r="M3199" s="36">
        <f>L3199-L3199*VLOOKUP($P3199,매칭테이블!$G:$J,3,0)</f>
        <v/>
      </c>
      <c r="N3199" s="36">
        <f>VLOOKUP($P3199,매칭테이블!$G:$J,4,0)*H3199</f>
        <v/>
      </c>
      <c r="O3199" s="52">
        <f>L3199/1.1</f>
        <v/>
      </c>
      <c r="P3199" s="36">
        <f>F3199&amp;E3199&amp;G3199&amp;J3199</f>
        <v/>
      </c>
    </row>
    <row r="3200">
      <c r="B3200" s="51" t="n">
        <v>44234</v>
      </c>
      <c r="C3200" s="36">
        <f>TEXT(B3200,"aaa")</f>
        <v/>
      </c>
      <c r="E3200" s="36">
        <f>INDEX(매칭테이블!C:C,MATCH(RD!G3200,매칭테이블!D:D,0))</f>
        <v/>
      </c>
      <c r="F3200" s="39" t="inlineStr">
        <is>
          <t>카페24</t>
        </is>
      </c>
      <c r="G3200" s="39" t="inlineStr">
        <is>
          <t>솔리드퍼퓸 스테이포에버 002제품선택=커플추천스테이포에버 + 이그나이트 세트</t>
        </is>
      </c>
      <c r="H3200" s="39" t="n">
        <v>18</v>
      </c>
      <c r="I3200" s="36">
        <f>VLOOKUP(G3200,매칭테이블!D:E,2,0)</f>
        <v/>
      </c>
      <c r="J3200" s="39" t="n">
        <v>210101</v>
      </c>
      <c r="L3200" s="36">
        <f>VLOOKUP($P3200,매칭테이블!$G:$J,2,0)*H3200</f>
        <v/>
      </c>
      <c r="M3200" s="36">
        <f>L3200-L3200*VLOOKUP($P3200,매칭테이블!$G:$J,3,0)</f>
        <v/>
      </c>
      <c r="N3200" s="36">
        <f>VLOOKUP($P3200,매칭테이블!$G:$J,4,0)*H3200</f>
        <v/>
      </c>
      <c r="O3200" s="52">
        <f>L3200/1.1</f>
        <v/>
      </c>
      <c r="P3200" s="36">
        <f>F3200&amp;E3200&amp;G3200&amp;J3200</f>
        <v/>
      </c>
    </row>
    <row r="3201">
      <c r="B3201" s="51" t="n">
        <v>44234</v>
      </c>
      <c r="C3201" s="36">
        <f>TEXT(B3201,"aaa")</f>
        <v/>
      </c>
      <c r="E3201" s="36">
        <f>INDEX(매칭테이블!C:C,MATCH(RD!G3201,매칭테이블!D:D,0))</f>
        <v/>
      </c>
      <c r="F3201" s="39" t="inlineStr">
        <is>
          <t>카페24</t>
        </is>
      </c>
      <c r="G3201" s="39" t="inlineStr">
        <is>
          <t>솔리드퍼퓸 스테이포에버 002쇼핑백=선물용 쇼핑백</t>
        </is>
      </c>
      <c r="H3201" s="39" t="n">
        <v>13</v>
      </c>
      <c r="I3201" s="36">
        <f>VLOOKUP(G3201,매칭테이블!D:E,2,0)</f>
        <v/>
      </c>
      <c r="J3201" s="39" t="n">
        <v>210101</v>
      </c>
      <c r="L3201" s="36">
        <f>VLOOKUP($P3201,매칭테이블!$G:$J,2,0)*H3201</f>
        <v/>
      </c>
      <c r="M3201" s="36">
        <f>L3201-L3201*VLOOKUP($P3201,매칭테이블!$G:$J,3,0)</f>
        <v/>
      </c>
      <c r="N3201" s="36">
        <f>VLOOKUP($P3201,매칭테이블!$G:$J,4,0)*H3201</f>
        <v/>
      </c>
      <c r="O3201" s="52">
        <f>L3201/1.1</f>
        <v/>
      </c>
      <c r="P3201" s="36">
        <f>F3201&amp;E3201&amp;G3201&amp;J3201</f>
        <v/>
      </c>
    </row>
    <row r="3202">
      <c r="B3202" s="51" t="n">
        <v>44235</v>
      </c>
      <c r="C3202" s="36">
        <f>TEXT(B3202,"aaa")</f>
        <v/>
      </c>
      <c r="E3202" s="36">
        <f>INDEX(매칭테이블!C:C,MATCH(RD!G3202,매칭테이블!D:D,0))</f>
        <v/>
      </c>
      <c r="F3202" s="39" t="inlineStr">
        <is>
          <t>유즈 CS</t>
        </is>
      </c>
      <c r="G3202" s="39" t="inlineStr">
        <is>
          <t>솔리드퍼퓸 스테이포에버 002 30ml_CS</t>
        </is>
      </c>
      <c r="H3202" s="39" t="n">
        <v>1</v>
      </c>
      <c r="I3202" s="36">
        <f>VLOOKUP(G3202,매칭테이블!D:E,2,0)</f>
        <v/>
      </c>
      <c r="J3202" s="39" t="n">
        <v>210101</v>
      </c>
      <c r="L3202" s="36">
        <f>VLOOKUP($P3202,매칭테이블!$G:$J,2,0)*H3202</f>
        <v/>
      </c>
      <c r="M3202" s="36">
        <f>L3202-L3202*VLOOKUP($P3202,매칭테이블!$G:$J,3,0)</f>
        <v/>
      </c>
      <c r="N3202" s="36">
        <f>VLOOKUP($P3202,매칭테이블!$G:$J,4,0)*H3202</f>
        <v/>
      </c>
      <c r="O3202" s="52">
        <f>L3202/1.1</f>
        <v/>
      </c>
      <c r="P3202" s="36">
        <f>F3202&amp;E3202&amp;G3202&amp;J3202</f>
        <v/>
      </c>
    </row>
    <row r="3203">
      <c r="B3203" s="51" t="n">
        <v>44235</v>
      </c>
      <c r="C3203" s="36">
        <f>TEXT(B3203,"aaa")</f>
        <v/>
      </c>
      <c r="E3203" s="36">
        <f>INDEX(매칭테이블!C:C,MATCH(RD!G3203,매칭테이블!D:D,0))</f>
        <v/>
      </c>
      <c r="F3203" s="39" t="inlineStr">
        <is>
          <t>카페24</t>
        </is>
      </c>
      <c r="G3203" s="39" t="inlineStr">
        <is>
          <t>솔리드퍼퓸 세트향=이그나이트 001 SOLID PERFUME, 세트 선택=best 2개 (28% 할인)</t>
        </is>
      </c>
      <c r="H3203" s="39" t="n">
        <v>2</v>
      </c>
      <c r="I3203" s="36">
        <f>VLOOKUP(G3203,매칭테이블!D:E,2,0)</f>
        <v/>
      </c>
      <c r="J3203" s="39" t="n">
        <v>210101</v>
      </c>
      <c r="L3203" s="36">
        <f>VLOOKUP($P3203,매칭테이블!$G:$J,2,0)*H3203</f>
        <v/>
      </c>
      <c r="M3203" s="36">
        <f>L3203-L3203*VLOOKUP($P3203,매칭테이블!$G:$J,3,0)</f>
        <v/>
      </c>
      <c r="N3203" s="36">
        <f>VLOOKUP($P3203,매칭테이블!$G:$J,4,0)*H3203</f>
        <v/>
      </c>
      <c r="O3203" s="52">
        <f>L3203/1.1</f>
        <v/>
      </c>
      <c r="P3203" s="36">
        <f>F3203&amp;E3203&amp;G3203&amp;J3203</f>
        <v/>
      </c>
    </row>
    <row r="3204">
      <c r="B3204" s="51" t="n">
        <v>44235</v>
      </c>
      <c r="C3204" s="36">
        <f>TEXT(B3204,"aaa")</f>
        <v/>
      </c>
      <c r="E3204" s="36">
        <f>INDEX(매칭테이블!C:C,MATCH(RD!G3204,매칭테이블!D:D,0))</f>
        <v/>
      </c>
      <c r="F3204" s="39" t="inlineStr">
        <is>
          <t>카페24</t>
        </is>
      </c>
      <c r="G3204" s="39" t="inlineStr">
        <is>
          <t>솔리드퍼퓸 세트향=스테이포에버 002 SOLID PERFUME, 세트 선택=1개</t>
        </is>
      </c>
      <c r="H3204" s="39" t="n">
        <v>4</v>
      </c>
      <c r="I3204" s="36">
        <f>VLOOKUP(G3204,매칭테이블!D:E,2,0)</f>
        <v/>
      </c>
      <c r="J3204" s="39" t="n">
        <v>210101</v>
      </c>
      <c r="L3204" s="36">
        <f>VLOOKUP($P3204,매칭테이블!$G:$J,2,0)*H3204</f>
        <v/>
      </c>
      <c r="M3204" s="36">
        <f>L3204-L3204*VLOOKUP($P3204,매칭테이블!$G:$J,3,0)</f>
        <v/>
      </c>
      <c r="N3204" s="36">
        <f>VLOOKUP($P3204,매칭테이블!$G:$J,4,0)*H3204</f>
        <v/>
      </c>
      <c r="O3204" s="52">
        <f>L3204/1.1</f>
        <v/>
      </c>
      <c r="P3204" s="36">
        <f>F3204&amp;E3204&amp;G3204&amp;J3204</f>
        <v/>
      </c>
    </row>
    <row r="3205">
      <c r="B3205" s="51" t="n">
        <v>44235</v>
      </c>
      <c r="C3205" s="36">
        <f>TEXT(B3205,"aaa")</f>
        <v/>
      </c>
      <c r="E3205" s="36">
        <f>INDEX(매칭테이블!C:C,MATCH(RD!G3205,매칭테이블!D:D,0))</f>
        <v/>
      </c>
      <c r="F3205" s="39" t="inlineStr">
        <is>
          <t>카페24</t>
        </is>
      </c>
      <c r="G3205" s="39" t="inlineStr">
        <is>
          <t>솔리드퍼퓸 세트향=스테이포에버 002 SOLID PERFUME, 세트 선택=best 2개 (28% 할인)</t>
        </is>
      </c>
      <c r="H3205" s="39" t="n">
        <v>8</v>
      </c>
      <c r="I3205" s="36">
        <f>VLOOKUP(G3205,매칭테이블!D:E,2,0)</f>
        <v/>
      </c>
      <c r="J3205" s="39" t="n">
        <v>210101</v>
      </c>
      <c r="L3205" s="36">
        <f>VLOOKUP($P3205,매칭테이블!$G:$J,2,0)*H3205</f>
        <v/>
      </c>
      <c r="M3205" s="36">
        <f>L3205-L3205*VLOOKUP($P3205,매칭테이블!$G:$J,3,0)</f>
        <v/>
      </c>
      <c r="N3205" s="36">
        <f>VLOOKUP($P3205,매칭테이블!$G:$J,4,0)*H3205</f>
        <v/>
      </c>
      <c r="O3205" s="52">
        <f>L3205/1.1</f>
        <v/>
      </c>
      <c r="P3205" s="36">
        <f>F3205&amp;E3205&amp;G3205&amp;J3205</f>
        <v/>
      </c>
    </row>
    <row r="3206">
      <c r="B3206" s="51" t="n">
        <v>44235</v>
      </c>
      <c r="C3206" s="36">
        <f>TEXT(B3206,"aaa")</f>
        <v/>
      </c>
      <c r="E3206" s="36">
        <f>INDEX(매칭테이블!C:C,MATCH(RD!G3206,매칭테이블!D:D,0))</f>
        <v/>
      </c>
      <c r="F3206" s="39" t="inlineStr">
        <is>
          <t>카페24</t>
        </is>
      </c>
      <c r="G3206" s="39" t="inlineStr">
        <is>
          <t>솔리드퍼퓸 세트향=커플세트(이그나이트 + 스테이포에버), 세트 선택=1 SET</t>
        </is>
      </c>
      <c r="H3206" s="39" t="n">
        <v>13</v>
      </c>
      <c r="I3206" s="36">
        <f>VLOOKUP(G3206,매칭테이블!D:E,2,0)</f>
        <v/>
      </c>
      <c r="J3206" s="39" t="n">
        <v>210101</v>
      </c>
      <c r="L3206" s="36">
        <f>VLOOKUP($P3206,매칭테이블!$G:$J,2,0)*H3206</f>
        <v/>
      </c>
      <c r="M3206" s="36">
        <f>L3206-L3206*VLOOKUP($P3206,매칭테이블!$G:$J,3,0)</f>
        <v/>
      </c>
      <c r="N3206" s="36">
        <f>VLOOKUP($P3206,매칭테이블!$G:$J,4,0)*H3206</f>
        <v/>
      </c>
      <c r="O3206" s="52">
        <f>L3206/1.1</f>
        <v/>
      </c>
      <c r="P3206" s="36">
        <f>F3206&amp;E3206&amp;G3206&amp;J3206</f>
        <v/>
      </c>
    </row>
    <row r="3207">
      <c r="B3207" s="51" t="n">
        <v>44235</v>
      </c>
      <c r="C3207" s="36">
        <f>TEXT(B3207,"aaa")</f>
        <v/>
      </c>
      <c r="E3207" s="36">
        <f>INDEX(매칭테이블!C:C,MATCH(RD!G3207,매칭테이블!D:D,0))</f>
        <v/>
      </c>
      <c r="F3207" s="39" t="inlineStr">
        <is>
          <t>카페24</t>
        </is>
      </c>
      <c r="G3207" s="39" t="inlineStr">
        <is>
          <t>솔리드퍼퓸 세트향=커플세트(이그나이트 + 스테이포에버), 세트 선택=2 SET (42% 할인)</t>
        </is>
      </c>
      <c r="H3207" s="39" t="n">
        <v>2</v>
      </c>
      <c r="I3207" s="36">
        <f>VLOOKUP(G3207,매칭테이블!D:E,2,0)</f>
        <v/>
      </c>
      <c r="J3207" s="39" t="n">
        <v>210101</v>
      </c>
      <c r="L3207" s="36">
        <f>VLOOKUP($P3207,매칭테이블!$G:$J,2,0)*H3207</f>
        <v/>
      </c>
      <c r="M3207" s="36">
        <f>L3207-L3207*VLOOKUP($P3207,매칭테이블!$G:$J,3,0)</f>
        <v/>
      </c>
      <c r="N3207" s="36">
        <f>VLOOKUP($P3207,매칭테이블!$G:$J,4,0)*H3207</f>
        <v/>
      </c>
      <c r="O3207" s="52">
        <f>L3207/1.1</f>
        <v/>
      </c>
      <c r="P3207" s="36">
        <f>F3207&amp;E3207&amp;G3207&amp;J3207</f>
        <v/>
      </c>
    </row>
    <row r="3208">
      <c r="B3208" s="51" t="n">
        <v>44235</v>
      </c>
      <c r="C3208" s="36">
        <f>TEXT(B3208,"aaa")</f>
        <v/>
      </c>
      <c r="E3208" s="36">
        <f>INDEX(매칭테이블!C:C,MATCH(RD!G3208,매칭테이블!D:D,0))</f>
        <v/>
      </c>
      <c r="F3208" s="39" t="inlineStr">
        <is>
          <t>카페24</t>
        </is>
      </c>
      <c r="G3208" s="39" t="inlineStr">
        <is>
          <t>솔리드퍼퓸 스테이포에버 002제품선택=스테이포에버 1개</t>
        </is>
      </c>
      <c r="H3208" s="39" t="n">
        <v>170</v>
      </c>
      <c r="I3208" s="36">
        <f>VLOOKUP(G3208,매칭테이블!D:E,2,0)</f>
        <v/>
      </c>
      <c r="J3208" s="39" t="n">
        <v>210101</v>
      </c>
      <c r="L3208" s="36">
        <f>VLOOKUP($P3208,매칭테이블!$G:$J,2,0)*H3208</f>
        <v/>
      </c>
      <c r="M3208" s="36">
        <f>L3208-L3208*VLOOKUP($P3208,매칭테이블!$G:$J,3,0)</f>
        <v/>
      </c>
      <c r="N3208" s="36">
        <f>VLOOKUP($P3208,매칭테이블!$G:$J,4,0)*H3208</f>
        <v/>
      </c>
      <c r="O3208" s="52">
        <f>L3208/1.1</f>
        <v/>
      </c>
      <c r="P3208" s="36">
        <f>F3208&amp;E3208&amp;G3208&amp;J3208</f>
        <v/>
      </c>
    </row>
    <row r="3209">
      <c r="B3209" s="51" t="n">
        <v>44235</v>
      </c>
      <c r="C3209" s="36">
        <f>TEXT(B3209,"aaa")</f>
        <v/>
      </c>
      <c r="E3209" s="36">
        <f>INDEX(매칭테이블!C:C,MATCH(RD!G3209,매칭테이블!D:D,0))</f>
        <v/>
      </c>
      <c r="F3209" s="39" t="inlineStr">
        <is>
          <t>카페24</t>
        </is>
      </c>
      <c r="G3209" s="39" t="inlineStr">
        <is>
          <t>솔리드퍼퓸 스테이포에버 002제품선택=best스테이포에버 2개[28% 할인]</t>
        </is>
      </c>
      <c r="H3209" s="39" t="n">
        <v>94</v>
      </c>
      <c r="I3209" s="36">
        <f>VLOOKUP(G3209,매칭테이블!D:E,2,0)</f>
        <v/>
      </c>
      <c r="J3209" s="39" t="n">
        <v>210101</v>
      </c>
      <c r="L3209" s="36">
        <f>VLOOKUP($P3209,매칭테이블!$G:$J,2,0)*H3209</f>
        <v/>
      </c>
      <c r="M3209" s="36">
        <f>L3209-L3209*VLOOKUP($P3209,매칭테이블!$G:$J,3,0)</f>
        <v/>
      </c>
      <c r="N3209" s="36">
        <f>VLOOKUP($P3209,매칭테이블!$G:$J,4,0)*H3209</f>
        <v/>
      </c>
      <c r="O3209" s="52">
        <f>L3209/1.1</f>
        <v/>
      </c>
      <c r="P3209" s="36">
        <f>F3209&amp;E3209&amp;G3209&amp;J3209</f>
        <v/>
      </c>
    </row>
    <row r="3210">
      <c r="B3210" s="51" t="n">
        <v>44235</v>
      </c>
      <c r="C3210" s="36">
        <f>TEXT(B3210,"aaa")</f>
        <v/>
      </c>
      <c r="E3210" s="36">
        <f>INDEX(매칭테이블!C:C,MATCH(RD!G3210,매칭테이블!D:D,0))</f>
        <v/>
      </c>
      <c r="F3210" s="39" t="inlineStr">
        <is>
          <t>카페24</t>
        </is>
      </c>
      <c r="G3210" s="39" t="inlineStr">
        <is>
          <t>솔리드퍼퓸 스테이포에버 002제품선택=커플추천스테이포에버 + 이그나이트 세트</t>
        </is>
      </c>
      <c r="H3210" s="39" t="n">
        <v>9</v>
      </c>
      <c r="I3210" s="36">
        <f>VLOOKUP(G3210,매칭테이블!D:E,2,0)</f>
        <v/>
      </c>
      <c r="J3210" s="39" t="n">
        <v>210101</v>
      </c>
      <c r="L3210" s="36">
        <f>VLOOKUP($P3210,매칭테이블!$G:$J,2,0)*H3210</f>
        <v/>
      </c>
      <c r="M3210" s="36">
        <f>L3210-L3210*VLOOKUP($P3210,매칭테이블!$G:$J,3,0)</f>
        <v/>
      </c>
      <c r="N3210" s="36">
        <f>VLOOKUP($P3210,매칭테이블!$G:$J,4,0)*H3210</f>
        <v/>
      </c>
      <c r="O3210" s="52">
        <f>L3210/1.1</f>
        <v/>
      </c>
      <c r="P3210" s="36">
        <f>F3210&amp;E3210&amp;G3210&amp;J3210</f>
        <v/>
      </c>
    </row>
    <row r="3211">
      <c r="B3211" s="51" t="n">
        <v>44235</v>
      </c>
      <c r="C3211" s="36">
        <f>TEXT(B3211,"aaa")</f>
        <v/>
      </c>
      <c r="E3211" s="36">
        <f>INDEX(매칭테이블!C:C,MATCH(RD!G3211,매칭테이블!D:D,0))</f>
        <v/>
      </c>
      <c r="F3211" s="39" t="inlineStr">
        <is>
          <t>카페24</t>
        </is>
      </c>
      <c r="G3211" s="39" t="inlineStr">
        <is>
          <t>솔리드퍼퓸 스테이포에버 002쇼핑백=선물용 쇼핑백</t>
        </is>
      </c>
      <c r="H3211" s="39" t="n">
        <v>8</v>
      </c>
      <c r="I3211" s="36">
        <f>VLOOKUP(G3211,매칭테이블!D:E,2,0)</f>
        <v/>
      </c>
      <c r="J3211" s="39" t="n">
        <v>210101</v>
      </c>
      <c r="L3211" s="36">
        <f>VLOOKUP($P3211,매칭테이블!$G:$J,2,0)*H3211</f>
        <v/>
      </c>
      <c r="M3211" s="36">
        <f>L3211-L3211*VLOOKUP($P3211,매칭테이블!$G:$J,3,0)</f>
        <v/>
      </c>
      <c r="N3211" s="36">
        <f>VLOOKUP($P3211,매칭테이블!$G:$J,4,0)*H3211</f>
        <v/>
      </c>
      <c r="O3211" s="52">
        <f>L3211/1.1</f>
        <v/>
      </c>
      <c r="P3211" s="36">
        <f>F3211&amp;E3211&amp;G3211&amp;J3211</f>
        <v/>
      </c>
    </row>
    <row r="3212">
      <c r="B3212" s="51" t="n">
        <v>44235</v>
      </c>
      <c r="C3212" s="36">
        <f>TEXT(B3212,"aaa")</f>
        <v/>
      </c>
      <c r="E3212" s="36">
        <f>INDEX(매칭테이블!C:C,MATCH(RD!G3212,매칭테이블!D:D,0))</f>
        <v/>
      </c>
      <c r="F3212" s="39" t="inlineStr">
        <is>
          <t>카페24</t>
        </is>
      </c>
      <c r="G3212" s="39" t="inlineStr">
        <is>
          <t>솔리드퍼퓸 이그나이트 001제품선택=이그나이트 솔리드퍼퓸 - 30ml</t>
        </is>
      </c>
      <c r="H3212" s="39" t="n">
        <v>1</v>
      </c>
      <c r="I3212" s="36">
        <f>VLOOKUP(G3212,매칭테이블!D:E,2,0)</f>
        <v/>
      </c>
      <c r="J3212" s="39" t="n">
        <v>210101</v>
      </c>
      <c r="L3212" s="36">
        <f>VLOOKUP($P3212,매칭테이블!$G:$J,2,0)*H3212</f>
        <v/>
      </c>
      <c r="M3212" s="36">
        <f>L3212-L3212*VLOOKUP($P3212,매칭테이블!$G:$J,3,0)</f>
        <v/>
      </c>
      <c r="N3212" s="36">
        <f>VLOOKUP($P3212,매칭테이블!$G:$J,4,0)*H3212</f>
        <v/>
      </c>
      <c r="O3212" s="52">
        <f>L3212/1.1</f>
        <v/>
      </c>
      <c r="P3212" s="36">
        <f>F3212&amp;E3212&amp;G3212&amp;J3212</f>
        <v/>
      </c>
    </row>
    <row r="3213">
      <c r="B3213" s="51" t="n">
        <v>44236</v>
      </c>
      <c r="C3213" s="36">
        <f>TEXT(B3213,"aaa")</f>
        <v/>
      </c>
      <c r="E3213" s="36">
        <f>INDEX(매칭테이블!C:C,MATCH(RD!G3213,매칭테이블!D:D,0))</f>
        <v/>
      </c>
      <c r="F3213" s="39" t="inlineStr">
        <is>
          <t>유즈 CS</t>
        </is>
      </c>
      <c r="G3213" s="39" t="inlineStr">
        <is>
          <t>솔리드퍼퓸 스테이포에버 002 30ml</t>
        </is>
      </c>
      <c r="H3213" s="39" t="n">
        <v>1</v>
      </c>
      <c r="I3213" s="36">
        <f>VLOOKUP(G3213,매칭테이블!D:E,2,0)</f>
        <v/>
      </c>
      <c r="J3213" s="39" t="n">
        <v>210101</v>
      </c>
      <c r="L3213" s="36">
        <f>VLOOKUP($P3213,매칭테이블!$G:$J,2,0)*H3213</f>
        <v/>
      </c>
      <c r="M3213" s="36">
        <f>L3213-L3213*VLOOKUP($P3213,매칭테이블!$G:$J,3,0)</f>
        <v/>
      </c>
      <c r="N3213" s="36">
        <f>VLOOKUP($P3213,매칭테이블!$G:$J,4,0)*H3213</f>
        <v/>
      </c>
      <c r="O3213" s="52">
        <f>L3213/1.1</f>
        <v/>
      </c>
      <c r="P3213" s="36">
        <f>F3213&amp;E3213&amp;G3213&amp;J3213</f>
        <v/>
      </c>
    </row>
    <row r="3214">
      <c r="B3214" s="51" t="n">
        <v>44236</v>
      </c>
      <c r="C3214" s="36">
        <f>TEXT(B3214,"aaa")</f>
        <v/>
      </c>
      <c r="E3214" s="36">
        <f>INDEX(매칭테이블!C:C,MATCH(RD!G3214,매칭테이블!D:D,0))</f>
        <v/>
      </c>
      <c r="F3214" s="39" t="inlineStr">
        <is>
          <t>유즈 CS</t>
        </is>
      </c>
      <c r="G3214" s="39" t="inlineStr">
        <is>
          <t>솔리드퍼퓸 이그나이트 001 30ml_CS</t>
        </is>
      </c>
      <c r="H3214" s="39" t="n">
        <v>1</v>
      </c>
      <c r="I3214" s="36">
        <f>VLOOKUP(G3214,매칭테이블!D:E,2,0)</f>
        <v/>
      </c>
      <c r="J3214" s="39" t="n">
        <v>210101</v>
      </c>
      <c r="L3214" s="36">
        <f>VLOOKUP($P3214,매칭테이블!$G:$J,2,0)*H3214</f>
        <v/>
      </c>
      <c r="M3214" s="36">
        <f>L3214-L3214*VLOOKUP($P3214,매칭테이블!$G:$J,3,0)</f>
        <v/>
      </c>
      <c r="N3214" s="36">
        <f>VLOOKUP($P3214,매칭테이블!$G:$J,4,0)*H3214</f>
        <v/>
      </c>
      <c r="O3214" s="52">
        <f>L3214/1.1</f>
        <v/>
      </c>
      <c r="P3214" s="36">
        <f>F3214&amp;E3214&amp;G3214&amp;J3214</f>
        <v/>
      </c>
    </row>
    <row r="3215">
      <c r="B3215" s="51" t="n">
        <v>44236</v>
      </c>
      <c r="C3215" s="36">
        <f>TEXT(B3215,"aaa")</f>
        <v/>
      </c>
      <c r="E3215" s="36">
        <f>INDEX(매칭테이블!C:C,MATCH(RD!G3215,매칭테이블!D:D,0))</f>
        <v/>
      </c>
      <c r="F3215" s="39" t="inlineStr">
        <is>
          <t>카페24</t>
        </is>
      </c>
      <c r="G3215" s="39" t="inlineStr">
        <is>
          <t>솔리드퍼퓸 세트향=이그나이트 001 SOLID PERFUME, 세트 선택=1개</t>
        </is>
      </c>
      <c r="H3215" s="39" t="n">
        <v>2</v>
      </c>
      <c r="I3215" s="36">
        <f>VLOOKUP(G3215,매칭테이블!D:E,2,0)</f>
        <v/>
      </c>
      <c r="J3215" s="39" t="n">
        <v>210101</v>
      </c>
      <c r="L3215" s="36">
        <f>VLOOKUP($P3215,매칭테이블!$G:$J,2,0)*H3215</f>
        <v/>
      </c>
      <c r="M3215" s="36">
        <f>L3215-L3215*VLOOKUP($P3215,매칭테이블!$G:$J,3,0)</f>
        <v/>
      </c>
      <c r="N3215" s="36">
        <f>VLOOKUP($P3215,매칭테이블!$G:$J,4,0)*H3215</f>
        <v/>
      </c>
      <c r="O3215" s="52">
        <f>L3215/1.1</f>
        <v/>
      </c>
      <c r="P3215" s="36">
        <f>F3215&amp;E3215&amp;G3215&amp;J3215</f>
        <v/>
      </c>
    </row>
    <row r="3216">
      <c r="B3216" s="51" t="n">
        <v>44236</v>
      </c>
      <c r="C3216" s="36">
        <f>TEXT(B3216,"aaa")</f>
        <v/>
      </c>
      <c r="E3216" s="36">
        <f>INDEX(매칭테이블!C:C,MATCH(RD!G3216,매칭테이블!D:D,0))</f>
        <v/>
      </c>
      <c r="F3216" s="39" t="inlineStr">
        <is>
          <t>카페24</t>
        </is>
      </c>
      <c r="G3216" s="39" t="inlineStr">
        <is>
          <t>솔리드퍼퓸 세트향=스테이포에버 002 SOLID PERFUME, 세트 선택=1개</t>
        </is>
      </c>
      <c r="H3216" s="39" t="n">
        <v>11</v>
      </c>
      <c r="I3216" s="36">
        <f>VLOOKUP(G3216,매칭테이블!D:E,2,0)</f>
        <v/>
      </c>
      <c r="J3216" s="39" t="n">
        <v>210101</v>
      </c>
      <c r="L3216" s="36">
        <f>VLOOKUP($P3216,매칭테이블!$G:$J,2,0)*H3216</f>
        <v/>
      </c>
      <c r="M3216" s="36">
        <f>L3216-L3216*VLOOKUP($P3216,매칭테이블!$G:$J,3,0)</f>
        <v/>
      </c>
      <c r="N3216" s="36">
        <f>VLOOKUP($P3216,매칭테이블!$G:$J,4,0)*H3216</f>
        <v/>
      </c>
      <c r="O3216" s="52">
        <f>L3216/1.1</f>
        <v/>
      </c>
      <c r="P3216" s="36">
        <f>F3216&amp;E3216&amp;G3216&amp;J3216</f>
        <v/>
      </c>
    </row>
    <row r="3217">
      <c r="B3217" s="51" t="n">
        <v>44236</v>
      </c>
      <c r="C3217" s="36">
        <f>TEXT(B3217,"aaa")</f>
        <v/>
      </c>
      <c r="E3217" s="36">
        <f>INDEX(매칭테이블!C:C,MATCH(RD!G3217,매칭테이블!D:D,0))</f>
        <v/>
      </c>
      <c r="F3217" s="39" t="inlineStr">
        <is>
          <t>카페24</t>
        </is>
      </c>
      <c r="G3217" s="39" t="inlineStr">
        <is>
          <t>솔리드퍼퓸 세트향=스테이포에버 002 SOLID PERFUME, 세트 선택=best 2개 (28% 할인)</t>
        </is>
      </c>
      <c r="H3217" s="39" t="n">
        <v>10</v>
      </c>
      <c r="I3217" s="36">
        <f>VLOOKUP(G3217,매칭테이블!D:E,2,0)</f>
        <v/>
      </c>
      <c r="J3217" s="39" t="n">
        <v>210101</v>
      </c>
      <c r="L3217" s="36">
        <f>VLOOKUP($P3217,매칭테이블!$G:$J,2,0)*H3217</f>
        <v/>
      </c>
      <c r="M3217" s="36">
        <f>L3217-L3217*VLOOKUP($P3217,매칭테이블!$G:$J,3,0)</f>
        <v/>
      </c>
      <c r="N3217" s="36">
        <f>VLOOKUP($P3217,매칭테이블!$G:$J,4,0)*H3217</f>
        <v/>
      </c>
      <c r="O3217" s="52">
        <f>L3217/1.1</f>
        <v/>
      </c>
      <c r="P3217" s="36">
        <f>F3217&amp;E3217&amp;G3217&amp;J3217</f>
        <v/>
      </c>
    </row>
    <row r="3218">
      <c r="B3218" s="51" t="n">
        <v>44236</v>
      </c>
      <c r="C3218" s="36">
        <f>TEXT(B3218,"aaa")</f>
        <v/>
      </c>
      <c r="E3218" s="36">
        <f>INDEX(매칭테이블!C:C,MATCH(RD!G3218,매칭테이블!D:D,0))</f>
        <v/>
      </c>
      <c r="F3218" s="39" t="inlineStr">
        <is>
          <t>카페24</t>
        </is>
      </c>
      <c r="G3218" s="39" t="inlineStr">
        <is>
          <t>솔리드퍼퓸 세트향=커플세트(이그나이트 + 스테이포에버), 세트 선택=1 SET</t>
        </is>
      </c>
      <c r="H3218" s="39" t="n">
        <v>14</v>
      </c>
      <c r="I3218" s="36">
        <f>VLOOKUP(G3218,매칭테이블!D:E,2,0)</f>
        <v/>
      </c>
      <c r="J3218" s="39" t="n">
        <v>210101</v>
      </c>
      <c r="L3218" s="36">
        <f>VLOOKUP($P3218,매칭테이블!$G:$J,2,0)*H3218</f>
        <v/>
      </c>
      <c r="M3218" s="36">
        <f>L3218-L3218*VLOOKUP($P3218,매칭테이블!$G:$J,3,0)</f>
        <v/>
      </c>
      <c r="N3218" s="36">
        <f>VLOOKUP($P3218,매칭테이블!$G:$J,4,0)*H3218</f>
        <v/>
      </c>
      <c r="O3218" s="52">
        <f>L3218/1.1</f>
        <v/>
      </c>
      <c r="P3218" s="36">
        <f>F3218&amp;E3218&amp;G3218&amp;J3218</f>
        <v/>
      </c>
    </row>
    <row r="3219">
      <c r="B3219" s="51" t="n">
        <v>44236</v>
      </c>
      <c r="C3219" s="36">
        <f>TEXT(B3219,"aaa")</f>
        <v/>
      </c>
      <c r="E3219" s="36">
        <f>INDEX(매칭테이블!C:C,MATCH(RD!G3219,매칭테이블!D:D,0))</f>
        <v/>
      </c>
      <c r="F3219" s="39" t="inlineStr">
        <is>
          <t>카페24</t>
        </is>
      </c>
      <c r="G3219" s="39" t="inlineStr">
        <is>
          <t>솔리드퍼퓸 세트향=커플세트(이그나이트 + 스테이포에버), 세트 선택=2 SET (42% 할인)</t>
        </is>
      </c>
      <c r="H3219" s="39" t="n">
        <v>1</v>
      </c>
      <c r="I3219" s="36">
        <f>VLOOKUP(G3219,매칭테이블!D:E,2,0)</f>
        <v/>
      </c>
      <c r="J3219" s="39" t="n">
        <v>210101</v>
      </c>
      <c r="L3219" s="36">
        <f>VLOOKUP($P3219,매칭테이블!$G:$J,2,0)*H3219</f>
        <v/>
      </c>
      <c r="M3219" s="36">
        <f>L3219-L3219*VLOOKUP($P3219,매칭테이블!$G:$J,3,0)</f>
        <v/>
      </c>
      <c r="N3219" s="36">
        <f>VLOOKUP($P3219,매칭테이블!$G:$J,4,0)*H3219</f>
        <v/>
      </c>
      <c r="O3219" s="52">
        <f>L3219/1.1</f>
        <v/>
      </c>
      <c r="P3219" s="36">
        <f>F3219&amp;E3219&amp;G3219&amp;J3219</f>
        <v/>
      </c>
    </row>
    <row r="3220">
      <c r="B3220" s="51" t="n">
        <v>44236</v>
      </c>
      <c r="C3220" s="36">
        <f>TEXT(B3220,"aaa")</f>
        <v/>
      </c>
      <c r="E3220" s="36">
        <f>INDEX(매칭테이블!C:C,MATCH(RD!G3220,매칭테이블!D:D,0))</f>
        <v/>
      </c>
      <c r="F3220" s="39" t="inlineStr">
        <is>
          <t>카페24</t>
        </is>
      </c>
      <c r="G3220" s="39" t="inlineStr">
        <is>
          <t>솔리드퍼퓸 스테이포에버 002제품선택=스테이포에버 1개</t>
        </is>
      </c>
      <c r="H3220" s="39" t="n">
        <v>202</v>
      </c>
      <c r="I3220" s="36">
        <f>VLOOKUP(G3220,매칭테이블!D:E,2,0)</f>
        <v/>
      </c>
      <c r="J3220" s="39" t="n">
        <v>210101</v>
      </c>
      <c r="L3220" s="36">
        <f>VLOOKUP($P3220,매칭테이블!$G:$J,2,0)*H3220</f>
        <v/>
      </c>
      <c r="M3220" s="36">
        <f>L3220-L3220*VLOOKUP($P3220,매칭테이블!$G:$J,3,0)</f>
        <v/>
      </c>
      <c r="N3220" s="36">
        <f>VLOOKUP($P3220,매칭테이블!$G:$J,4,0)*H3220</f>
        <v/>
      </c>
      <c r="O3220" s="52">
        <f>L3220/1.1</f>
        <v/>
      </c>
      <c r="P3220" s="36">
        <f>F3220&amp;E3220&amp;G3220&amp;J3220</f>
        <v/>
      </c>
    </row>
    <row r="3221">
      <c r="B3221" s="51" t="n">
        <v>44236</v>
      </c>
      <c r="C3221" s="36">
        <f>TEXT(B3221,"aaa")</f>
        <v/>
      </c>
      <c r="E3221" s="36">
        <f>INDEX(매칭테이블!C:C,MATCH(RD!G3221,매칭테이블!D:D,0))</f>
        <v/>
      </c>
      <c r="F3221" s="39" t="inlineStr">
        <is>
          <t>카페24</t>
        </is>
      </c>
      <c r="G3221" s="39" t="inlineStr">
        <is>
          <t>솔리드퍼퓸 스테이포에버 002제품선택=best스테이포에버 2개[28% 할인]</t>
        </is>
      </c>
      <c r="H3221" s="39" t="n">
        <v>105</v>
      </c>
      <c r="I3221" s="36">
        <f>VLOOKUP(G3221,매칭테이블!D:E,2,0)</f>
        <v/>
      </c>
      <c r="J3221" s="39" t="n">
        <v>210101</v>
      </c>
      <c r="L3221" s="36">
        <f>VLOOKUP($P3221,매칭테이블!$G:$J,2,0)*H3221</f>
        <v/>
      </c>
      <c r="M3221" s="36">
        <f>L3221-L3221*VLOOKUP($P3221,매칭테이블!$G:$J,3,0)</f>
        <v/>
      </c>
      <c r="N3221" s="36">
        <f>VLOOKUP($P3221,매칭테이블!$G:$J,4,0)*H3221</f>
        <v/>
      </c>
      <c r="O3221" s="52">
        <f>L3221/1.1</f>
        <v/>
      </c>
      <c r="P3221" s="36">
        <f>F3221&amp;E3221&amp;G3221&amp;J3221</f>
        <v/>
      </c>
    </row>
    <row r="3222">
      <c r="B3222" s="51" t="n">
        <v>44236</v>
      </c>
      <c r="C3222" s="36">
        <f>TEXT(B3222,"aaa")</f>
        <v/>
      </c>
      <c r="E3222" s="36">
        <f>INDEX(매칭테이블!C:C,MATCH(RD!G3222,매칭테이블!D:D,0))</f>
        <v/>
      </c>
      <c r="F3222" s="39" t="inlineStr">
        <is>
          <t>카페24</t>
        </is>
      </c>
      <c r="G3222" s="39" t="inlineStr">
        <is>
          <t>솔리드퍼퓸 스테이포에버 002제품선택=커플추천스테이포에버 + 이그나이트 세트</t>
        </is>
      </c>
      <c r="H3222" s="39" t="n">
        <v>5</v>
      </c>
      <c r="I3222" s="36">
        <f>VLOOKUP(G3222,매칭테이블!D:E,2,0)</f>
        <v/>
      </c>
      <c r="J3222" s="39" t="n">
        <v>210101</v>
      </c>
      <c r="L3222" s="36">
        <f>VLOOKUP($P3222,매칭테이블!$G:$J,2,0)*H3222</f>
        <v/>
      </c>
      <c r="M3222" s="36">
        <f>L3222-L3222*VLOOKUP($P3222,매칭테이블!$G:$J,3,0)</f>
        <v/>
      </c>
      <c r="N3222" s="36">
        <f>VLOOKUP($P3222,매칭테이블!$G:$J,4,0)*H3222</f>
        <v/>
      </c>
      <c r="O3222" s="52">
        <f>L3222/1.1</f>
        <v/>
      </c>
      <c r="P3222" s="36">
        <f>F3222&amp;E3222&amp;G3222&amp;J3222</f>
        <v/>
      </c>
    </row>
    <row r="3223">
      <c r="B3223" s="51" t="n">
        <v>44236</v>
      </c>
      <c r="C3223" s="36">
        <f>TEXT(B3223,"aaa")</f>
        <v/>
      </c>
      <c r="E3223" s="36">
        <f>INDEX(매칭테이블!C:C,MATCH(RD!G3223,매칭테이블!D:D,0))</f>
        <v/>
      </c>
      <c r="F3223" s="39" t="inlineStr">
        <is>
          <t>카페24</t>
        </is>
      </c>
      <c r="G3223" s="39" t="inlineStr">
        <is>
          <t>솔리드퍼퓸 스테이포에버 002쇼핑백=선물용 쇼핑백</t>
        </is>
      </c>
      <c r="H3223" s="39" t="n">
        <v>8</v>
      </c>
      <c r="I3223" s="36">
        <f>VLOOKUP(G3223,매칭테이블!D:E,2,0)</f>
        <v/>
      </c>
      <c r="J3223" s="39" t="n">
        <v>210101</v>
      </c>
      <c r="L3223" s="36">
        <f>VLOOKUP($P3223,매칭테이블!$G:$J,2,0)*H3223</f>
        <v/>
      </c>
      <c r="M3223" s="36">
        <f>L3223-L3223*VLOOKUP($P3223,매칭테이블!$G:$J,3,0)</f>
        <v/>
      </c>
      <c r="N3223" s="36">
        <f>VLOOKUP($P3223,매칭테이블!$G:$J,4,0)*H3223</f>
        <v/>
      </c>
      <c r="O3223" s="52">
        <f>L3223/1.1</f>
        <v/>
      </c>
      <c r="P3223" s="36">
        <f>F3223&amp;E3223&amp;G3223&amp;J3223</f>
        <v/>
      </c>
    </row>
    <row r="3224">
      <c r="A3224" t="inlineStr">
        <is>
          <t>[승은 TEST 2] 스테이포에버_카드뉴스</t>
        </is>
      </c>
      <c r="B3224" t="inlineStr">
        <is>
          <t>2021-02-12</t>
        </is>
      </c>
      <c r="C3224" t="inlineStr">
        <is>
          <t>금</t>
        </is>
      </c>
      <c r="D3224" t="inlineStr"/>
      <c r="E3224" t="inlineStr"/>
      <c r="K3224" t="n">
        <v>53709.0909090909</v>
      </c>
    </row>
    <row r="3225">
      <c r="A3225" t="inlineStr">
        <is>
          <t>[승은 TEST] 스테이포에버_카드뉴스</t>
        </is>
      </c>
      <c r="B3225" t="inlineStr">
        <is>
          <t>2021-02-12</t>
        </is>
      </c>
      <c r="C3225" t="inlineStr">
        <is>
          <t>금</t>
        </is>
      </c>
      <c r="D3225" t="inlineStr"/>
      <c r="E3225" t="inlineStr"/>
      <c r="K3225" t="n">
        <v>442832.7272727272</v>
      </c>
    </row>
    <row r="3226">
      <c r="A3226" t="inlineStr">
        <is>
          <t>[테스트]아줌마</t>
        </is>
      </c>
      <c r="B3226" t="inlineStr">
        <is>
          <t>2021-02-12</t>
        </is>
      </c>
      <c r="C3226" t="inlineStr">
        <is>
          <t>금</t>
        </is>
      </c>
      <c r="D3226" t="inlineStr"/>
      <c r="E3226" t="inlineStr"/>
      <c r="K3226" t="n">
        <v>132676.3636363636</v>
      </c>
    </row>
    <row r="3227">
      <c r="A3227" t="inlineStr">
        <is>
          <t>[키워드 확장 테스트]스테이포에버_이미지</t>
        </is>
      </c>
      <c r="B3227" t="inlineStr">
        <is>
          <t>2021-02-12</t>
        </is>
      </c>
      <c r="C3227" t="inlineStr">
        <is>
          <t>금</t>
        </is>
      </c>
      <c r="D3227" t="inlineStr"/>
      <c r="E3227" t="inlineStr"/>
      <c r="K3227" t="n">
        <v>224466.3636363636</v>
      </c>
    </row>
    <row r="3228">
      <c r="A3228" t="inlineStr">
        <is>
          <t>[재입고]스테이포에버_이미지</t>
        </is>
      </c>
      <c r="B3228" t="inlineStr">
        <is>
          <t>2021-02-12</t>
        </is>
      </c>
      <c r="C3228" t="inlineStr">
        <is>
          <t>금</t>
        </is>
      </c>
      <c r="D3228" t="inlineStr"/>
      <c r="E3228" t="inlineStr"/>
      <c r="K3228" t="n">
        <v>137568.1818181818</v>
      </c>
    </row>
    <row r="3229">
      <c r="A3229" t="inlineStr">
        <is>
          <t>[승무원]숏폼_영상</t>
        </is>
      </c>
      <c r="B3229" t="inlineStr">
        <is>
          <t>2021-02-12</t>
        </is>
      </c>
      <c r="C3229" t="inlineStr">
        <is>
          <t>금</t>
        </is>
      </c>
      <c r="D3229" t="inlineStr"/>
      <c r="E3229" t="inlineStr"/>
      <c r="K3229" t="n">
        <v>89949.0909090909</v>
      </c>
    </row>
    <row r="3230">
      <c r="A3230" t="inlineStr">
        <is>
          <t>[재입고]스테이포에버_영상</t>
        </is>
      </c>
      <c r="B3230" t="inlineStr">
        <is>
          <t>2021-02-12</t>
        </is>
      </c>
      <c r="C3230" t="inlineStr">
        <is>
          <t>금</t>
        </is>
      </c>
      <c r="D3230" t="inlineStr"/>
      <c r="E3230" t="inlineStr"/>
      <c r="K3230" t="n">
        <v>181828.1818181818</v>
      </c>
    </row>
    <row r="3231">
      <c r="A3231" t="inlineStr">
        <is>
          <t>[필라테스]스테이포에버_카드뉴스</t>
        </is>
      </c>
      <c r="B3231" t="inlineStr">
        <is>
          <t>2021-02-12</t>
        </is>
      </c>
      <c r="C3231" t="inlineStr">
        <is>
          <t>금</t>
        </is>
      </c>
      <c r="D3231" t="inlineStr"/>
      <c r="E3231" t="inlineStr"/>
      <c r="K3231" t="n">
        <v>44903.63636363636</v>
      </c>
    </row>
    <row r="3232">
      <c r="A3232" t="inlineStr">
        <is>
          <t>[젊줌마]스테이포에버_영상</t>
        </is>
      </c>
      <c r="B3232" t="inlineStr">
        <is>
          <t>2021-02-12</t>
        </is>
      </c>
      <c r="C3232" t="inlineStr">
        <is>
          <t>금</t>
        </is>
      </c>
      <c r="D3232" t="inlineStr"/>
      <c r="E3232" t="inlineStr"/>
      <c r="K3232" t="n">
        <v>90060.90909090909</v>
      </c>
    </row>
    <row r="3233">
      <c r="A3233" t="inlineStr">
        <is>
          <t>[이성소구]스테이포에버_영상</t>
        </is>
      </c>
      <c r="B3233" t="inlineStr">
        <is>
          <t>2021-02-12</t>
        </is>
      </c>
      <c r="C3233" t="inlineStr">
        <is>
          <t>금</t>
        </is>
      </c>
      <c r="D3233" t="inlineStr"/>
      <c r="E3233" t="inlineStr"/>
      <c r="K3233" t="n">
        <v>26915.45454545454</v>
      </c>
    </row>
    <row r="3234">
      <c r="A3234" t="inlineStr">
        <is>
          <t>[승무원]2019년썰 카드뉴스+ 향묘사_영상</t>
        </is>
      </c>
      <c r="B3234" t="inlineStr">
        <is>
          <t>2021-02-12</t>
        </is>
      </c>
      <c r="C3234" t="inlineStr">
        <is>
          <t>금</t>
        </is>
      </c>
      <c r="D3234" t="inlineStr"/>
      <c r="E3234" t="inlineStr"/>
      <c r="K3234" t="n">
        <v>179994.5454545454</v>
      </c>
    </row>
    <row r="3235">
      <c r="A3235" t="inlineStr">
        <is>
          <t>[승무원어피]스테이포에버_이미지</t>
        </is>
      </c>
      <c r="B3235" t="inlineStr">
        <is>
          <t>2021-02-12</t>
        </is>
      </c>
      <c r="C3235" t="inlineStr">
        <is>
          <t>금</t>
        </is>
      </c>
      <c r="D3235" t="inlineStr"/>
      <c r="E3235" t="inlineStr"/>
      <c r="K3235" t="n">
        <v>91332.72727272726</v>
      </c>
    </row>
    <row r="3236">
      <c r="A3236" t="inlineStr">
        <is>
          <t>[다현]스테이포에버_이미지</t>
        </is>
      </c>
      <c r="B3236" t="inlineStr">
        <is>
          <t>2021-02-12</t>
        </is>
      </c>
      <c r="C3236" t="inlineStr">
        <is>
          <t>금</t>
        </is>
      </c>
      <c r="D3236" t="inlineStr"/>
      <c r="E3236" t="inlineStr"/>
      <c r="K3236" t="n">
        <v>272977.2727272727</v>
      </c>
    </row>
    <row r="3237">
      <c r="A3237" t="inlineStr">
        <is>
          <t>[승무원]스테이포에버_카드뉴스</t>
        </is>
      </c>
      <c r="B3237" t="inlineStr">
        <is>
          <t>2021-02-12</t>
        </is>
      </c>
      <c r="C3237" t="inlineStr">
        <is>
          <t>금</t>
        </is>
      </c>
      <c r="D3237" t="inlineStr"/>
      <c r="E3237" t="inlineStr"/>
      <c r="K3237" t="n">
        <v>271030</v>
      </c>
    </row>
    <row r="3238">
      <c r="A3238" t="inlineStr">
        <is>
          <t>[후기타입]스테이포에버_영상</t>
        </is>
      </c>
      <c r="B3238" t="inlineStr">
        <is>
          <t>2021-02-12</t>
        </is>
      </c>
      <c r="C3238" t="inlineStr">
        <is>
          <t>금</t>
        </is>
      </c>
      <c r="D3238" t="inlineStr"/>
      <c r="E3238" t="inlineStr"/>
      <c r="K3238" t="n">
        <v>134749.0909090909</v>
      </c>
    </row>
    <row r="3239">
      <c r="A3239" t="inlineStr">
        <is>
          <t>전환_스테이포에버</t>
        </is>
      </c>
      <c r="B3239" t="inlineStr">
        <is>
          <t>2021-02-12</t>
        </is>
      </c>
      <c r="C3239" t="inlineStr">
        <is>
          <t>금</t>
        </is>
      </c>
      <c r="D3239" t="inlineStr"/>
      <c r="E3239" t="inlineStr"/>
      <c r="K3239" t="n">
        <v>132687.2727272727</v>
      </c>
    </row>
    <row r="3240">
      <c r="A3240" t="inlineStr">
        <is>
          <t>[권태기커플]스테이포에버_영상</t>
        </is>
      </c>
      <c r="B3240" t="inlineStr">
        <is>
          <t>2021-02-12</t>
        </is>
      </c>
      <c r="C3240" t="inlineStr">
        <is>
          <t>금</t>
        </is>
      </c>
      <c r="D3240" t="inlineStr"/>
      <c r="E3240" t="inlineStr"/>
      <c r="K3240" t="n">
        <v>134806.3636363636</v>
      </c>
    </row>
    <row r="3241">
      <c r="A3241" t="inlineStr">
        <is>
          <t>[승은 TEST 2] 스테이포에버_카드뉴스</t>
        </is>
      </c>
      <c r="B3241" t="inlineStr">
        <is>
          <t>2021-02-13</t>
        </is>
      </c>
      <c r="C3241" t="inlineStr">
        <is>
          <t>토</t>
        </is>
      </c>
      <c r="D3241" t="inlineStr"/>
      <c r="E3241" t="inlineStr"/>
      <c r="K3241" t="n">
        <v>56208.18181818182</v>
      </c>
    </row>
    <row r="3242">
      <c r="A3242" t="inlineStr">
        <is>
          <t>[승은 TEST] 스테이포에버_카드뉴스</t>
        </is>
      </c>
      <c r="B3242" t="inlineStr">
        <is>
          <t>2021-02-13</t>
        </is>
      </c>
      <c r="C3242" t="inlineStr">
        <is>
          <t>토</t>
        </is>
      </c>
      <c r="D3242" t="inlineStr"/>
      <c r="E3242" t="inlineStr"/>
      <c r="K3242" t="n">
        <v>474176.3636363636</v>
      </c>
    </row>
    <row r="3243">
      <c r="A3243" t="inlineStr">
        <is>
          <t>[테스트]아줌마</t>
        </is>
      </c>
      <c r="B3243" t="inlineStr">
        <is>
          <t>2021-02-13</t>
        </is>
      </c>
      <c r="C3243" t="inlineStr">
        <is>
          <t>토</t>
        </is>
      </c>
      <c r="D3243" t="inlineStr"/>
      <c r="E3243" t="inlineStr"/>
      <c r="K3243" t="n">
        <v>136882.7272727273</v>
      </c>
    </row>
    <row r="3244">
      <c r="A3244" t="inlineStr">
        <is>
          <t>[키워드 확장 테스트]스테이포에버_이미지</t>
        </is>
      </c>
      <c r="B3244" t="inlineStr">
        <is>
          <t>2021-02-13</t>
        </is>
      </c>
      <c r="C3244" t="inlineStr">
        <is>
          <t>토</t>
        </is>
      </c>
      <c r="D3244" t="inlineStr"/>
      <c r="E3244" t="inlineStr"/>
      <c r="K3244" t="n">
        <v>232370</v>
      </c>
    </row>
    <row r="3245">
      <c r="A3245" t="inlineStr">
        <is>
          <t>[재입고]스테이포에버_이미지</t>
        </is>
      </c>
      <c r="B3245" t="inlineStr">
        <is>
          <t>2021-02-13</t>
        </is>
      </c>
      <c r="C3245" t="inlineStr">
        <is>
          <t>토</t>
        </is>
      </c>
      <c r="D3245" t="inlineStr"/>
      <c r="E3245" t="inlineStr"/>
      <c r="K3245" t="n">
        <v>137257.2727272727</v>
      </c>
    </row>
    <row r="3246">
      <c r="A3246" t="inlineStr">
        <is>
          <t>[승무원]숏폼_영상</t>
        </is>
      </c>
      <c r="B3246" t="inlineStr">
        <is>
          <t>2021-02-13</t>
        </is>
      </c>
      <c r="C3246" t="inlineStr">
        <is>
          <t>토</t>
        </is>
      </c>
      <c r="D3246" t="inlineStr"/>
      <c r="E3246" t="inlineStr"/>
      <c r="K3246" t="n">
        <v>93091.81818181818</v>
      </c>
    </row>
    <row r="3247">
      <c r="A3247" t="inlineStr">
        <is>
          <t>[재입고]스테이포에버_영상</t>
        </is>
      </c>
      <c r="B3247" t="inlineStr">
        <is>
          <t>2021-02-13</t>
        </is>
      </c>
      <c r="C3247" t="inlineStr">
        <is>
          <t>토</t>
        </is>
      </c>
      <c r="D3247" t="inlineStr"/>
      <c r="E3247" t="inlineStr"/>
      <c r="K3247" t="n">
        <v>188064.5454545454</v>
      </c>
    </row>
    <row r="3248">
      <c r="A3248" t="inlineStr">
        <is>
          <t>[필라테스]스테이포에버_카드뉴스</t>
        </is>
      </c>
      <c r="B3248" t="inlineStr">
        <is>
          <t>2021-02-13</t>
        </is>
      </c>
      <c r="C3248" t="inlineStr">
        <is>
          <t>토</t>
        </is>
      </c>
      <c r="D3248" t="inlineStr"/>
      <c r="E3248" t="inlineStr"/>
      <c r="K3248" t="n">
        <v>46829.99999999999</v>
      </c>
    </row>
    <row r="3249">
      <c r="A3249" t="inlineStr">
        <is>
          <t>[젊줌마]스테이포에버_영상</t>
        </is>
      </c>
      <c r="B3249" t="inlineStr">
        <is>
          <t>2021-02-13</t>
        </is>
      </c>
      <c r="C3249" t="inlineStr">
        <is>
          <t>토</t>
        </is>
      </c>
      <c r="D3249" t="inlineStr"/>
      <c r="E3249" t="inlineStr"/>
      <c r="K3249" t="n">
        <v>93541.81818181818</v>
      </c>
    </row>
    <row r="3250">
      <c r="A3250" t="inlineStr">
        <is>
          <t>[이성소구]스테이포에버_영상</t>
        </is>
      </c>
      <c r="B3250" t="inlineStr">
        <is>
          <t>2021-02-13</t>
        </is>
      </c>
      <c r="C3250" t="inlineStr">
        <is>
          <t>토</t>
        </is>
      </c>
      <c r="D3250" t="inlineStr"/>
      <c r="E3250" t="inlineStr"/>
      <c r="K3250" t="n">
        <v>27923.63636363636</v>
      </c>
    </row>
    <row r="3251">
      <c r="A3251" t="inlineStr">
        <is>
          <t>[승무원]2019년썰 카드뉴스+ 향묘사_영상</t>
        </is>
      </c>
      <c r="B3251" t="inlineStr">
        <is>
          <t>2021-02-13</t>
        </is>
      </c>
      <c r="C3251" t="inlineStr">
        <is>
          <t>토</t>
        </is>
      </c>
      <c r="D3251" t="inlineStr"/>
      <c r="E3251" t="inlineStr"/>
      <c r="K3251" t="n">
        <v>188363.6363636364</v>
      </c>
    </row>
    <row r="3252">
      <c r="A3252" t="inlineStr">
        <is>
          <t>[승무원어피]스테이포에버_이미지</t>
        </is>
      </c>
      <c r="B3252" t="inlineStr">
        <is>
          <t>2021-02-13</t>
        </is>
      </c>
      <c r="C3252" t="inlineStr">
        <is>
          <t>토</t>
        </is>
      </c>
      <c r="D3252" t="inlineStr"/>
      <c r="E3252" t="inlineStr"/>
      <c r="K3252" t="n">
        <v>92395.45454545454</v>
      </c>
    </row>
    <row r="3253">
      <c r="A3253" t="inlineStr">
        <is>
          <t>[다현]스테이포에버_이미지</t>
        </is>
      </c>
      <c r="B3253" t="inlineStr">
        <is>
          <t>2021-02-13</t>
        </is>
      </c>
      <c r="C3253" t="inlineStr">
        <is>
          <t>토</t>
        </is>
      </c>
      <c r="D3253" t="inlineStr"/>
      <c r="E3253" t="inlineStr"/>
      <c r="K3253" t="n">
        <v>277758.1818181818</v>
      </c>
    </row>
    <row r="3254">
      <c r="A3254" t="inlineStr">
        <is>
          <t>[승무원]스테이포에버_카드뉴스</t>
        </is>
      </c>
      <c r="B3254" t="inlineStr">
        <is>
          <t>2021-02-13</t>
        </is>
      </c>
      <c r="C3254" t="inlineStr">
        <is>
          <t>토</t>
        </is>
      </c>
      <c r="D3254" t="inlineStr"/>
      <c r="E3254" t="inlineStr"/>
      <c r="K3254" t="n">
        <v>279820</v>
      </c>
    </row>
    <row r="3255">
      <c r="A3255" t="inlineStr">
        <is>
          <t>[후기타입]스테이포에버_영상</t>
        </is>
      </c>
      <c r="B3255" t="inlineStr">
        <is>
          <t>2021-02-13</t>
        </is>
      </c>
      <c r="C3255" t="inlineStr">
        <is>
          <t>토</t>
        </is>
      </c>
      <c r="D3255" t="inlineStr"/>
      <c r="E3255" t="inlineStr"/>
      <c r="K3255" t="n">
        <v>142666.3636363636</v>
      </c>
    </row>
    <row r="3256">
      <c r="A3256" t="inlineStr">
        <is>
          <t>전환_스테이포에버</t>
        </is>
      </c>
      <c r="B3256" t="inlineStr">
        <is>
          <t>2021-02-13</t>
        </is>
      </c>
      <c r="C3256" t="inlineStr">
        <is>
          <t>토</t>
        </is>
      </c>
      <c r="D3256" t="inlineStr"/>
      <c r="E3256" t="inlineStr"/>
      <c r="K3256" t="n">
        <v>141325.4545454545</v>
      </c>
    </row>
    <row r="3257">
      <c r="A3257" t="inlineStr">
        <is>
          <t>[권태기커플]스테이포에버_영상</t>
        </is>
      </c>
      <c r="B3257" t="inlineStr">
        <is>
          <t>2021-02-13</t>
        </is>
      </c>
      <c r="C3257" t="inlineStr">
        <is>
          <t>토</t>
        </is>
      </c>
      <c r="D3257" t="inlineStr"/>
      <c r="E3257" t="inlineStr"/>
      <c r="K3257" t="n">
        <v>139191.8181818182</v>
      </c>
    </row>
    <row r="3258">
      <c r="A3258" t="inlineStr">
        <is>
          <t>[승은 TEST 2] 스테이포에버_카드뉴스</t>
        </is>
      </c>
      <c r="B3258" t="inlineStr">
        <is>
          <t>2021-02-14</t>
        </is>
      </c>
      <c r="C3258" t="inlineStr">
        <is>
          <t>일</t>
        </is>
      </c>
      <c r="D3258" t="inlineStr"/>
      <c r="E3258" t="inlineStr"/>
      <c r="K3258" t="n">
        <v>54969.99999999999</v>
      </c>
    </row>
    <row r="3259">
      <c r="A3259" t="inlineStr">
        <is>
          <t>[승은 TEST] 스테이포에버_카드뉴스</t>
        </is>
      </c>
      <c r="B3259" t="inlineStr">
        <is>
          <t>2021-02-14</t>
        </is>
      </c>
      <c r="C3259" t="inlineStr">
        <is>
          <t>일</t>
        </is>
      </c>
      <c r="D3259" t="inlineStr"/>
      <c r="E3259" t="inlineStr"/>
      <c r="K3259" t="n">
        <v>455605.4545454545</v>
      </c>
    </row>
    <row r="3260">
      <c r="A3260" t="inlineStr">
        <is>
          <t>[테스트]아줌마</t>
        </is>
      </c>
      <c r="B3260" t="inlineStr">
        <is>
          <t>2021-02-14</t>
        </is>
      </c>
      <c r="C3260" t="inlineStr">
        <is>
          <t>일</t>
        </is>
      </c>
      <c r="D3260" t="inlineStr"/>
      <c r="E3260" t="inlineStr"/>
      <c r="K3260" t="n">
        <v>163400</v>
      </c>
    </row>
    <row r="3261">
      <c r="A3261" t="inlineStr">
        <is>
          <t>[키워드 확장 테스트]스테이포에버_이미지</t>
        </is>
      </c>
      <c r="B3261" t="inlineStr">
        <is>
          <t>2021-02-14</t>
        </is>
      </c>
      <c r="C3261" t="inlineStr">
        <is>
          <t>일</t>
        </is>
      </c>
      <c r="D3261" t="inlineStr"/>
      <c r="E3261" t="inlineStr"/>
      <c r="K3261" t="n">
        <v>259832.7272727273</v>
      </c>
    </row>
    <row r="3262">
      <c r="A3262" t="inlineStr">
        <is>
          <t>[재입고]스테이포에버_이미지</t>
        </is>
      </c>
      <c r="B3262" t="inlineStr">
        <is>
          <t>2021-02-14</t>
        </is>
      </c>
      <c r="C3262" t="inlineStr">
        <is>
          <t>일</t>
        </is>
      </c>
      <c r="D3262" t="inlineStr"/>
      <c r="E3262" t="inlineStr"/>
      <c r="K3262" t="n">
        <v>136529.0909090909</v>
      </c>
    </row>
    <row r="3263">
      <c r="A3263" t="inlineStr">
        <is>
          <t>[승무원]숏폼_영상</t>
        </is>
      </c>
      <c r="B3263" t="inlineStr">
        <is>
          <t>2021-02-14</t>
        </is>
      </c>
      <c r="C3263" t="inlineStr">
        <is>
          <t>일</t>
        </is>
      </c>
      <c r="D3263" t="inlineStr"/>
      <c r="E3263" t="inlineStr"/>
      <c r="K3263" t="n">
        <v>91916.36363636363</v>
      </c>
    </row>
    <row r="3264">
      <c r="A3264" t="inlineStr">
        <is>
          <t>[재입고]스테이포에버_영상</t>
        </is>
      </c>
      <c r="B3264" t="inlineStr">
        <is>
          <t>2021-02-14</t>
        </is>
      </c>
      <c r="C3264" t="inlineStr">
        <is>
          <t>일</t>
        </is>
      </c>
      <c r="D3264" t="inlineStr"/>
      <c r="E3264" t="inlineStr"/>
      <c r="K3264" t="n">
        <v>185269.0909090909</v>
      </c>
    </row>
    <row r="3265">
      <c r="A3265" t="inlineStr">
        <is>
          <t>[필라테스]스테이포에버_카드뉴스</t>
        </is>
      </c>
      <c r="B3265" t="inlineStr">
        <is>
          <t>2021-02-14</t>
        </is>
      </c>
      <c r="C3265" t="inlineStr">
        <is>
          <t>일</t>
        </is>
      </c>
      <c r="D3265" t="inlineStr"/>
      <c r="E3265" t="inlineStr"/>
      <c r="K3265" t="n">
        <v>45859.0909090909</v>
      </c>
    </row>
    <row r="3266">
      <c r="A3266" t="inlineStr">
        <is>
          <t>[젊줌마]스테이포에버_영상</t>
        </is>
      </c>
      <c r="B3266" t="inlineStr">
        <is>
          <t>2021-02-14</t>
        </is>
      </c>
      <c r="C3266" t="inlineStr">
        <is>
          <t>일</t>
        </is>
      </c>
      <c r="D3266" t="inlineStr"/>
      <c r="E3266" t="inlineStr"/>
      <c r="K3266" t="n">
        <v>91479.99999999999</v>
      </c>
    </row>
    <row r="3267">
      <c r="A3267" t="inlineStr">
        <is>
          <t>[이성소구]스테이포에버_영상</t>
        </is>
      </c>
      <c r="B3267" t="inlineStr">
        <is>
          <t>2021-02-14</t>
        </is>
      </c>
      <c r="C3267" t="inlineStr">
        <is>
          <t>일</t>
        </is>
      </c>
      <c r="D3267" t="inlineStr"/>
      <c r="E3267" t="inlineStr"/>
      <c r="K3267" t="n">
        <v>27526.36363636363</v>
      </c>
    </row>
    <row r="3268">
      <c r="A3268" t="inlineStr">
        <is>
          <t>[승무원]2019년썰 카드뉴스+ 향묘사_영상</t>
        </is>
      </c>
      <c r="B3268" t="inlineStr">
        <is>
          <t>2021-02-14</t>
        </is>
      </c>
      <c r="C3268" t="inlineStr">
        <is>
          <t>일</t>
        </is>
      </c>
      <c r="D3268" t="inlineStr"/>
      <c r="E3268" t="inlineStr"/>
      <c r="K3268" t="n">
        <v>182359.0909090909</v>
      </c>
    </row>
    <row r="3269">
      <c r="A3269" t="inlineStr">
        <is>
          <t>[승무원어피]스테이포에버_이미지</t>
        </is>
      </c>
      <c r="B3269" t="inlineStr">
        <is>
          <t>2021-02-14</t>
        </is>
      </c>
      <c r="C3269" t="inlineStr">
        <is>
          <t>일</t>
        </is>
      </c>
      <c r="D3269" t="inlineStr"/>
      <c r="E3269" t="inlineStr"/>
      <c r="K3269" t="n">
        <v>91348.18181818181</v>
      </c>
    </row>
    <row r="3270">
      <c r="A3270" t="inlineStr">
        <is>
          <t>[다현]스테이포에버_이미지</t>
        </is>
      </c>
      <c r="B3270" t="inlineStr">
        <is>
          <t>2021-02-14</t>
        </is>
      </c>
      <c r="C3270" t="inlineStr">
        <is>
          <t>일</t>
        </is>
      </c>
      <c r="D3270" t="inlineStr"/>
      <c r="E3270" t="inlineStr"/>
      <c r="K3270" t="n">
        <v>273482.7272727272</v>
      </c>
    </row>
    <row r="3271">
      <c r="A3271" t="inlineStr">
        <is>
          <t>[승무원]스테이포에버_카드뉴스</t>
        </is>
      </c>
      <c r="B3271" t="inlineStr">
        <is>
          <t>2021-02-14</t>
        </is>
      </c>
      <c r="C3271" t="inlineStr">
        <is>
          <t>일</t>
        </is>
      </c>
      <c r="D3271" t="inlineStr"/>
      <c r="E3271" t="inlineStr"/>
      <c r="K3271" t="n">
        <v>272867.2727272727</v>
      </c>
    </row>
    <row r="3272">
      <c r="A3272" t="inlineStr">
        <is>
          <t>[후기타입]스테이포에버_영상</t>
        </is>
      </c>
      <c r="B3272" t="inlineStr">
        <is>
          <t>2021-02-14</t>
        </is>
      </c>
      <c r="C3272" t="inlineStr">
        <is>
          <t>일</t>
        </is>
      </c>
      <c r="D3272" t="inlineStr"/>
      <c r="E3272" t="inlineStr"/>
      <c r="K3272" t="n">
        <v>138596.3636363636</v>
      </c>
    </row>
    <row r="3273">
      <c r="A3273" t="inlineStr">
        <is>
          <t>전환_스테이포에버</t>
        </is>
      </c>
      <c r="B3273" t="inlineStr">
        <is>
          <t>2021-02-14</t>
        </is>
      </c>
      <c r="C3273" t="inlineStr">
        <is>
          <t>일</t>
        </is>
      </c>
      <c r="D3273" t="inlineStr"/>
      <c r="E3273" t="inlineStr"/>
      <c r="K3273" t="n">
        <v>136847.2727272727</v>
      </c>
    </row>
    <row r="3274">
      <c r="A3274" t="inlineStr">
        <is>
          <t>[권태기커플]스테이포에버_영상</t>
        </is>
      </c>
      <c r="B3274" t="inlineStr">
        <is>
          <t>2021-02-14</t>
        </is>
      </c>
      <c r="C3274" t="inlineStr">
        <is>
          <t>일</t>
        </is>
      </c>
      <c r="D3274" t="inlineStr"/>
      <c r="E3274" t="inlineStr"/>
      <c r="K3274" t="n">
        <v>137099.0909090909</v>
      </c>
    </row>
    <row r="3275">
      <c r="A3275" t="inlineStr">
        <is>
          <t>동영상캠페인_승무원_2019년썰</t>
        </is>
      </c>
      <c r="B3275" t="inlineStr">
        <is>
          <t>2021-02-12</t>
        </is>
      </c>
      <c r="C3275" t="inlineStr">
        <is>
          <t>금</t>
        </is>
      </c>
      <c r="D3275" t="inlineStr"/>
      <c r="E3275" t="inlineStr"/>
      <c r="K3275" t="n">
        <v>499944</v>
      </c>
    </row>
    <row r="3276">
      <c r="A3276" t="inlineStr">
        <is>
          <t>웹사이트 트래픽 서치</t>
        </is>
      </c>
      <c r="B3276" t="inlineStr">
        <is>
          <t>2021-02-12</t>
        </is>
      </c>
      <c r="C3276" t="inlineStr">
        <is>
          <t>금</t>
        </is>
      </c>
      <c r="D3276" t="inlineStr"/>
      <c r="E3276" t="inlineStr"/>
      <c r="K3276" t="n">
        <v>23597</v>
      </c>
    </row>
    <row r="3277">
      <c r="A3277" t="inlineStr">
        <is>
          <t>동영상캠페인_승무원_보이는 라디오</t>
        </is>
      </c>
      <c r="B3277" t="inlineStr">
        <is>
          <t>2021-02-12</t>
        </is>
      </c>
      <c r="C3277" t="inlineStr">
        <is>
          <t>금</t>
        </is>
      </c>
      <c r="D3277" t="inlineStr"/>
      <c r="E3277" t="inlineStr"/>
      <c r="K3277" t="n">
        <v>494594</v>
      </c>
    </row>
    <row r="3278">
      <c r="A3278" t="inlineStr">
        <is>
          <t>"디스커버리 배너_승무원,할인_리마케팅"</t>
        </is>
      </c>
      <c r="B3278" t="inlineStr">
        <is>
          <t>2021-02-12</t>
        </is>
      </c>
      <c r="C3278" t="inlineStr">
        <is>
          <t>금</t>
        </is>
      </c>
      <c r="D3278" t="inlineStr"/>
      <c r="E3278" t="inlineStr"/>
      <c r="K3278" t="n">
        <v>258701</v>
      </c>
    </row>
    <row r="3279">
      <c r="A3279" t="inlineStr">
        <is>
          <t>동영상캠페인_승무원_써니스카이</t>
        </is>
      </c>
      <c r="B3279" t="inlineStr">
        <is>
          <t>2021-02-12</t>
        </is>
      </c>
      <c r="C3279" t="inlineStr">
        <is>
          <t>금</t>
        </is>
      </c>
      <c r="D3279" t="inlineStr"/>
      <c r="E3279" t="inlineStr"/>
      <c r="K3279" t="n">
        <v>496616</v>
      </c>
    </row>
    <row r="3280">
      <c r="A3280" t="inlineStr">
        <is>
          <t>동영상캠페인_필라테스_자기관리</t>
        </is>
      </c>
      <c r="B3280" t="inlineStr">
        <is>
          <t>2021-02-12</t>
        </is>
      </c>
      <c r="C3280" t="inlineStr">
        <is>
          <t>금</t>
        </is>
      </c>
      <c r="D3280" t="inlineStr"/>
      <c r="E3280" t="inlineStr"/>
      <c r="K3280" t="n">
        <v>349427</v>
      </c>
    </row>
    <row r="3281">
      <c r="A3281" t="inlineStr">
        <is>
          <t>동영상캠페인_승무원_비누향 나는 승무원에게</t>
        </is>
      </c>
      <c r="B3281" t="inlineStr">
        <is>
          <t>2021-02-12</t>
        </is>
      </c>
      <c r="C3281" t="inlineStr">
        <is>
          <t>금</t>
        </is>
      </c>
      <c r="D3281" t="inlineStr"/>
      <c r="E3281" t="inlineStr"/>
      <c r="K3281" t="n">
        <v>499394</v>
      </c>
    </row>
    <row r="3282">
      <c r="A3282" t="inlineStr">
        <is>
          <t>동영상캠페인_승무원_2019년썰</t>
        </is>
      </c>
      <c r="B3282" t="inlineStr">
        <is>
          <t>2021-02-13</t>
        </is>
      </c>
      <c r="C3282" t="inlineStr">
        <is>
          <t>토</t>
        </is>
      </c>
      <c r="D3282" t="inlineStr"/>
      <c r="E3282" t="inlineStr"/>
      <c r="K3282" t="n">
        <v>500070</v>
      </c>
    </row>
    <row r="3283">
      <c r="A3283" t="inlineStr">
        <is>
          <t>웹사이트 트래픽 서치</t>
        </is>
      </c>
      <c r="B3283" t="inlineStr">
        <is>
          <t>2021-02-13</t>
        </is>
      </c>
      <c r="C3283" t="inlineStr">
        <is>
          <t>토</t>
        </is>
      </c>
      <c r="D3283" t="inlineStr"/>
      <c r="E3283" t="inlineStr"/>
      <c r="K3283" t="n">
        <v>41070</v>
      </c>
    </row>
    <row r="3284">
      <c r="A3284" t="inlineStr">
        <is>
          <t>동영상캠페인_승무원_보이는 라디오</t>
        </is>
      </c>
      <c r="B3284" t="inlineStr">
        <is>
          <t>2021-02-13</t>
        </is>
      </c>
      <c r="C3284" t="inlineStr">
        <is>
          <t>토</t>
        </is>
      </c>
      <c r="D3284" t="inlineStr"/>
      <c r="E3284" t="inlineStr"/>
      <c r="K3284" t="n">
        <v>496675</v>
      </c>
    </row>
    <row r="3285">
      <c r="A3285" t="inlineStr">
        <is>
          <t>"디스커버리 배너_승무원,할인_리마케팅"</t>
        </is>
      </c>
      <c r="B3285" t="inlineStr">
        <is>
          <t>2021-02-13</t>
        </is>
      </c>
      <c r="C3285" t="inlineStr">
        <is>
          <t>토</t>
        </is>
      </c>
      <c r="D3285" t="inlineStr"/>
      <c r="E3285" t="inlineStr"/>
      <c r="K3285" t="n">
        <v>388050</v>
      </c>
    </row>
    <row r="3286">
      <c r="A3286" t="inlineStr">
        <is>
          <t>동영상캠페인_승무원_써니스카이</t>
        </is>
      </c>
      <c r="B3286" t="inlineStr">
        <is>
          <t>2021-02-13</t>
        </is>
      </c>
      <c r="C3286" t="inlineStr">
        <is>
          <t>토</t>
        </is>
      </c>
      <c r="D3286" t="inlineStr"/>
      <c r="E3286" t="inlineStr"/>
      <c r="K3286" t="n">
        <v>496413</v>
      </c>
    </row>
    <row r="3287">
      <c r="A3287" t="inlineStr">
        <is>
          <t>동영상캠페인_필라테스_자기관리</t>
        </is>
      </c>
      <c r="B3287" t="inlineStr">
        <is>
          <t>2021-02-13</t>
        </is>
      </c>
      <c r="C3287" t="inlineStr">
        <is>
          <t>토</t>
        </is>
      </c>
      <c r="D3287" t="inlineStr"/>
      <c r="E3287" t="inlineStr"/>
      <c r="K3287" t="n">
        <v>349927</v>
      </c>
    </row>
    <row r="3288">
      <c r="A3288" t="inlineStr">
        <is>
          <t>동영상캠페인_승무원_비누향 나는 승무원에게</t>
        </is>
      </c>
      <c r="B3288" t="inlineStr">
        <is>
          <t>2021-02-13</t>
        </is>
      </c>
      <c r="C3288" t="inlineStr">
        <is>
          <t>토</t>
        </is>
      </c>
      <c r="D3288" t="inlineStr"/>
      <c r="E3288" t="inlineStr"/>
      <c r="K3288" t="n">
        <v>499954</v>
      </c>
    </row>
    <row r="3289">
      <c r="A3289" t="inlineStr">
        <is>
          <t>동영상캠페인_승무원_2019년썰</t>
        </is>
      </c>
      <c r="B3289" t="inlineStr">
        <is>
          <t>2021-02-14</t>
        </is>
      </c>
      <c r="C3289" t="inlineStr">
        <is>
          <t>일</t>
        </is>
      </c>
      <c r="D3289" t="inlineStr"/>
      <c r="E3289" t="inlineStr"/>
      <c r="K3289" t="n">
        <v>500124</v>
      </c>
    </row>
    <row r="3290">
      <c r="A3290" t="inlineStr">
        <is>
          <t>웹사이트 트래픽 서치</t>
        </is>
      </c>
      <c r="B3290" t="inlineStr">
        <is>
          <t>2021-02-14</t>
        </is>
      </c>
      <c r="C3290" t="inlineStr">
        <is>
          <t>일</t>
        </is>
      </c>
      <c r="D3290" t="inlineStr"/>
      <c r="E3290" t="inlineStr"/>
      <c r="K3290" t="n">
        <v>43752</v>
      </c>
    </row>
    <row r="3291">
      <c r="A3291" t="inlineStr">
        <is>
          <t>동영상캠페인_승무원_보이는 라디오</t>
        </is>
      </c>
      <c r="B3291" t="inlineStr">
        <is>
          <t>2021-02-14</t>
        </is>
      </c>
      <c r="C3291" t="inlineStr">
        <is>
          <t>일</t>
        </is>
      </c>
      <c r="D3291" t="inlineStr"/>
      <c r="E3291" t="inlineStr"/>
      <c r="K3291" t="n">
        <v>496957</v>
      </c>
    </row>
    <row r="3292">
      <c r="A3292" t="inlineStr">
        <is>
          <t>"디스커버리 배너_승무원,할인_리마케팅"</t>
        </is>
      </c>
      <c r="B3292" t="inlineStr">
        <is>
          <t>2021-02-14</t>
        </is>
      </c>
      <c r="C3292" t="inlineStr">
        <is>
          <t>일</t>
        </is>
      </c>
      <c r="D3292" t="inlineStr"/>
      <c r="E3292" t="inlineStr"/>
      <c r="K3292" t="n">
        <v>501409</v>
      </c>
    </row>
    <row r="3293">
      <c r="A3293" t="inlineStr">
        <is>
          <t>동영상캠페인_승무원_써니스카이</t>
        </is>
      </c>
      <c r="B3293" t="inlineStr">
        <is>
          <t>2021-02-14</t>
        </is>
      </c>
      <c r="C3293" t="inlineStr">
        <is>
          <t>일</t>
        </is>
      </c>
      <c r="D3293" t="inlineStr"/>
      <c r="E3293" t="inlineStr"/>
      <c r="K3293" t="n">
        <v>495794</v>
      </c>
    </row>
    <row r="3294">
      <c r="A3294" t="inlineStr">
        <is>
          <t>동영상캠페인_필라테스_자기관리</t>
        </is>
      </c>
      <c r="B3294" t="inlineStr">
        <is>
          <t>2021-02-14</t>
        </is>
      </c>
      <c r="C3294" t="inlineStr">
        <is>
          <t>일</t>
        </is>
      </c>
      <c r="D3294" t="inlineStr"/>
      <c r="E3294" t="inlineStr"/>
      <c r="K3294" t="n">
        <v>350247</v>
      </c>
    </row>
    <row r="3295">
      <c r="A3295" t="inlineStr">
        <is>
          <t>동영상캠페인_승무원_비누향 나는 승무원에게</t>
        </is>
      </c>
      <c r="B3295" t="inlineStr">
        <is>
          <t>2021-02-14</t>
        </is>
      </c>
      <c r="C3295" t="inlineStr">
        <is>
          <t>일</t>
        </is>
      </c>
      <c r="D3295" t="inlineStr"/>
      <c r="E3295" t="inlineStr"/>
      <c r="K3295" t="n">
        <v>499963</v>
      </c>
    </row>
    <row r="3296">
      <c r="A3296" t="inlineStr">
        <is>
          <t>쇼핑검색</t>
        </is>
      </c>
      <c r="B3296" t="inlineStr">
        <is>
          <t>2021-02-14</t>
        </is>
      </c>
      <c r="C3296" t="inlineStr">
        <is>
          <t>일</t>
        </is>
      </c>
      <c r="D3296" t="inlineStr"/>
      <c r="E3296" t="inlineStr"/>
      <c r="K3296" t="n">
        <v>63269.99999999999</v>
      </c>
    </row>
    <row r="3297">
      <c r="A3297" t="inlineStr">
        <is>
          <t>브랜드검색#1</t>
        </is>
      </c>
      <c r="B3297" t="inlineStr">
        <is>
          <t>2021-02-14</t>
        </is>
      </c>
      <c r="C3297" t="inlineStr">
        <is>
          <t>일</t>
        </is>
      </c>
      <c r="D3297" t="inlineStr"/>
      <c r="E3297" t="inlineStr"/>
      <c r="K3297" t="n">
        <v>0</v>
      </c>
    </row>
    <row r="3298">
      <c r="A3298" t="inlineStr">
        <is>
          <t>쇼핑검색</t>
        </is>
      </c>
      <c r="B3298" t="inlineStr">
        <is>
          <t>2021-02-13</t>
        </is>
      </c>
      <c r="C3298" t="inlineStr">
        <is>
          <t>토</t>
        </is>
      </c>
      <c r="D3298" t="inlineStr"/>
      <c r="E3298" t="inlineStr"/>
      <c r="K3298" t="n">
        <v>63489.99999999999</v>
      </c>
    </row>
    <row r="3299">
      <c r="A3299" t="inlineStr">
        <is>
          <t>브랜드검색#1</t>
        </is>
      </c>
      <c r="B3299" t="inlineStr">
        <is>
          <t>2021-02-13</t>
        </is>
      </c>
      <c r="C3299" t="inlineStr">
        <is>
          <t>토</t>
        </is>
      </c>
      <c r="D3299" t="inlineStr"/>
      <c r="E3299" t="inlineStr"/>
      <c r="K3299" t="n">
        <v>0</v>
      </c>
    </row>
    <row r="3300">
      <c r="A3300" t="inlineStr">
        <is>
          <t>쇼핑검색</t>
        </is>
      </c>
      <c r="B3300" t="inlineStr">
        <is>
          <t>2021-02-12</t>
        </is>
      </c>
      <c r="C3300" t="inlineStr">
        <is>
          <t>금</t>
        </is>
      </c>
      <c r="D3300" t="inlineStr"/>
      <c r="E3300" t="inlineStr"/>
      <c r="K3300" t="n">
        <v>63309.99999999999</v>
      </c>
    </row>
    <row r="3301">
      <c r="A3301" t="inlineStr">
        <is>
          <t>브랜드검색#1</t>
        </is>
      </c>
      <c r="B3301" t="inlineStr">
        <is>
          <t>2021-02-12</t>
        </is>
      </c>
      <c r="C3301" t="inlineStr">
        <is>
          <t>금</t>
        </is>
      </c>
      <c r="D3301" t="inlineStr"/>
      <c r="E3301" t="inlineStr"/>
      <c r="K3301" t="n">
        <v>0</v>
      </c>
    </row>
    <row r="3302">
      <c r="A3302" t="inlineStr">
        <is>
          <t>고체향수_승무원 어피_Npay 추적</t>
        </is>
      </c>
      <c r="B3302" t="inlineStr">
        <is>
          <t>2021-02-12</t>
        </is>
      </c>
      <c r="C3302" t="inlineStr">
        <is>
          <t>금</t>
        </is>
      </c>
      <c r="D3302" t="inlineStr"/>
      <c r="E3302" t="inlineStr"/>
      <c r="K3302" t="n">
        <v>90959.99999999999</v>
      </c>
    </row>
    <row r="3303">
      <c r="A3303" t="inlineStr">
        <is>
          <t>고체향수_Npay 추적</t>
        </is>
      </c>
      <c r="B3303" t="inlineStr">
        <is>
          <t>2021-02-12</t>
        </is>
      </c>
      <c r="C3303" t="inlineStr">
        <is>
          <t>금</t>
        </is>
      </c>
      <c r="D3303" t="inlineStr"/>
      <c r="E3303" t="inlineStr"/>
      <c r="K3303" t="n">
        <v>1249730</v>
      </c>
    </row>
    <row r="3304">
      <c r="A3304" t="inlineStr">
        <is>
          <t>고체향수_승무원 어피_Npay 추적</t>
        </is>
      </c>
      <c r="B3304" t="inlineStr">
        <is>
          <t>2021-02-13</t>
        </is>
      </c>
      <c r="C3304" t="inlineStr">
        <is>
          <t>토</t>
        </is>
      </c>
      <c r="D3304" t="inlineStr"/>
      <c r="E3304" t="inlineStr"/>
      <c r="K3304" t="n">
        <v>90889.99999999999</v>
      </c>
    </row>
    <row r="3305">
      <c r="A3305" t="inlineStr">
        <is>
          <t>고체향수_Npay 추적</t>
        </is>
      </c>
      <c r="B3305" t="inlineStr">
        <is>
          <t>2021-02-13</t>
        </is>
      </c>
      <c r="C3305" t="inlineStr">
        <is>
          <t>토</t>
        </is>
      </c>
      <c r="D3305" t="inlineStr"/>
      <c r="E3305" t="inlineStr"/>
      <c r="K3305" t="n">
        <v>907239.9999999999</v>
      </c>
    </row>
    <row r="3306">
      <c r="A3306" t="inlineStr">
        <is>
          <t>고체향수_승무원 어피_Npay 추적</t>
        </is>
      </c>
      <c r="B3306" t="inlineStr">
        <is>
          <t>2021-02-14</t>
        </is>
      </c>
      <c r="C3306" t="inlineStr">
        <is>
          <t>일</t>
        </is>
      </c>
      <c r="D3306" t="inlineStr"/>
      <c r="E3306" t="inlineStr"/>
      <c r="K3306" t="n">
        <v>91239.99999999999</v>
      </c>
    </row>
    <row r="3307">
      <c r="A3307" t="inlineStr">
        <is>
          <t>고체향수_Npay 추적</t>
        </is>
      </c>
      <c r="B3307" t="inlineStr">
        <is>
          <t>2021-02-14</t>
        </is>
      </c>
      <c r="C3307" t="inlineStr">
        <is>
          <t>일</t>
        </is>
      </c>
      <c r="D3307" t="inlineStr"/>
      <c r="E3307" t="inlineStr"/>
      <c r="K3307" t="n">
        <v>919049.9999999999</v>
      </c>
    </row>
    <row r="3308">
      <c r="B3308" t="inlineStr">
        <is>
          <t>2021-02-12</t>
        </is>
      </c>
      <c r="C3308" t="inlineStr">
        <is>
          <t>금</t>
        </is>
      </c>
      <c r="E3308" t="inlineStr">
        <is>
          <t>0</t>
        </is>
      </c>
      <c r="F3308" t="inlineStr">
        <is>
          <t>카페24</t>
        </is>
      </c>
      <c r="G3308" t="inlineStr">
        <is>
          <t>선물용 쇼핑백1</t>
        </is>
      </c>
      <c r="H3308" t="n">
        <v>2000</v>
      </c>
      <c r="I3308" t="inlineStr">
        <is>
          <t>0</t>
        </is>
      </c>
      <c r="J3308" t="inlineStr">
        <is>
          <t>210201</t>
        </is>
      </c>
      <c r="L3308" t="n">
        <v>0</v>
      </c>
      <c r="M3308" t="n">
        <v>0</v>
      </c>
      <c r="N3308" t="n">
        <v>0</v>
      </c>
      <c r="O3308" t="n">
        <v>0</v>
      </c>
      <c r="P3308" t="inlineStr">
        <is>
          <t>카페240선물용 쇼핑백1210201</t>
        </is>
      </c>
    </row>
    <row r="3309">
      <c r="B3309" t="inlineStr">
        <is>
          <t>2021-02-12</t>
        </is>
      </c>
      <c r="C3309" t="inlineStr">
        <is>
          <t>금</t>
        </is>
      </c>
      <c r="E3309" t="inlineStr">
        <is>
          <t>0</t>
        </is>
      </c>
      <c r="F3309" t="inlineStr">
        <is>
          <t>카페24</t>
        </is>
      </c>
      <c r="G3309" t="inlineStr">
        <is>
          <t>솔리드퍼퓸 세트향=이그나이트 001 SOLID PERFUME, 세트 선택=1개</t>
        </is>
      </c>
      <c r="H3309" t="n">
        <v>6</v>
      </c>
      <c r="I3309" t="inlineStr">
        <is>
          <t>0</t>
        </is>
      </c>
      <c r="J3309" t="inlineStr">
        <is>
          <t>210201</t>
        </is>
      </c>
      <c r="L3309" t="n">
        <v>0</v>
      </c>
      <c r="M3309" t="n">
        <v>0</v>
      </c>
      <c r="N3309" t="n">
        <v>0</v>
      </c>
      <c r="O3309" t="n">
        <v>0</v>
      </c>
      <c r="P3309" t="inlineStr">
        <is>
          <t>카페240솔리드퍼퓸 세트향=이그나이트 001 SOLID PERFUME, 세트 선택=1개210201</t>
        </is>
      </c>
    </row>
    <row r="3310">
      <c r="B3310" t="inlineStr">
        <is>
          <t>2021-02-12</t>
        </is>
      </c>
      <c r="C3310" t="inlineStr">
        <is>
          <t>금</t>
        </is>
      </c>
      <c r="E3310" t="inlineStr">
        <is>
          <t>0</t>
        </is>
      </c>
      <c r="F3310" t="inlineStr">
        <is>
          <t>카페24</t>
        </is>
      </c>
      <c r="G3310" t="inlineStr">
        <is>
          <t>솔리드퍼퓸 세트향=이그나이트 001 SOLID PERFUME, 세트 선택=best 2개 (28% 할인)</t>
        </is>
      </c>
      <c r="H3310" t="n">
        <v>9</v>
      </c>
      <c r="I3310" t="inlineStr">
        <is>
          <t>0</t>
        </is>
      </c>
      <c r="J3310" t="inlineStr">
        <is>
          <t>210201</t>
        </is>
      </c>
      <c r="L3310" t="n">
        <v>0</v>
      </c>
      <c r="M3310" t="n">
        <v>0</v>
      </c>
      <c r="N3310" t="n">
        <v>0</v>
      </c>
      <c r="O3310" t="n">
        <v>0</v>
      </c>
      <c r="P3310" t="inlineStr">
        <is>
          <t>카페240솔리드퍼퓸 세트향=이그나이트 001 SOLID PERFUME, 세트 선택=best 2개 (28% 할인)210201</t>
        </is>
      </c>
    </row>
    <row r="3311">
      <c r="B3311" t="inlineStr">
        <is>
          <t>2021-02-12</t>
        </is>
      </c>
      <c r="C3311" t="inlineStr">
        <is>
          <t>금</t>
        </is>
      </c>
      <c r="E3311" t="inlineStr">
        <is>
          <t>0</t>
        </is>
      </c>
      <c r="F3311" t="inlineStr">
        <is>
          <t>카페24</t>
        </is>
      </c>
      <c r="G3311" t="inlineStr">
        <is>
          <t>솔리드퍼퓸 세트향=스테이포에버 002 SOLID PERFUME, 세트 선택=1개</t>
        </is>
      </c>
      <c r="H3311" t="n">
        <v>6</v>
      </c>
      <c r="I3311" t="inlineStr">
        <is>
          <t>0</t>
        </is>
      </c>
      <c r="J3311" t="inlineStr">
        <is>
          <t>210201</t>
        </is>
      </c>
      <c r="L3311" t="n">
        <v>0</v>
      </c>
      <c r="M3311" t="n">
        <v>0</v>
      </c>
      <c r="N3311" t="n">
        <v>0</v>
      </c>
      <c r="O3311" t="n">
        <v>0</v>
      </c>
      <c r="P3311" t="inlineStr">
        <is>
          <t>카페240솔리드퍼퓸 세트향=스테이포에버 002 SOLID PERFUME, 세트 선택=1개210201</t>
        </is>
      </c>
    </row>
    <row r="3312">
      <c r="B3312" t="inlineStr">
        <is>
          <t>2021-02-12</t>
        </is>
      </c>
      <c r="C3312" t="inlineStr">
        <is>
          <t>금</t>
        </is>
      </c>
      <c r="E3312" t="inlineStr">
        <is>
          <t>0</t>
        </is>
      </c>
      <c r="F3312" t="inlineStr">
        <is>
          <t>카페24</t>
        </is>
      </c>
      <c r="G3312" t="inlineStr">
        <is>
          <t>솔리드퍼퓸 세트향=스테이포에버 002 SOLID PERFUME, 세트 선택=best 2개 (28% 할인)</t>
        </is>
      </c>
      <c r="H3312" t="n">
        <v>42</v>
      </c>
      <c r="I3312" t="inlineStr">
        <is>
          <t>0</t>
        </is>
      </c>
      <c r="J3312" t="inlineStr">
        <is>
          <t>210201</t>
        </is>
      </c>
      <c r="L3312" t="n">
        <v>0</v>
      </c>
      <c r="M3312" t="n">
        <v>0</v>
      </c>
      <c r="N3312" t="n">
        <v>0</v>
      </c>
      <c r="O3312" t="n">
        <v>0</v>
      </c>
      <c r="P3312" t="inlineStr">
        <is>
          <t>카페240솔리드퍼퓸 세트향=스테이포에버 002 SOLID PERFUME, 세트 선택=best 2개 (28% 할인)210201</t>
        </is>
      </c>
    </row>
    <row r="3313">
      <c r="B3313" t="inlineStr">
        <is>
          <t>2021-02-12</t>
        </is>
      </c>
      <c r="C3313" t="inlineStr">
        <is>
          <t>금</t>
        </is>
      </c>
      <c r="E3313" t="inlineStr">
        <is>
          <t>0</t>
        </is>
      </c>
      <c r="F3313" t="inlineStr">
        <is>
          <t>카페24</t>
        </is>
      </c>
      <c r="G3313" t="inlineStr">
        <is>
          <t>솔리드퍼퓸 세트향=커플세트(이그나이트 + 스테이포에버), 세트 선택=1 SET</t>
        </is>
      </c>
      <c r="H3313" t="n">
        <v>60</v>
      </c>
      <c r="I3313" t="inlineStr">
        <is>
          <t>0</t>
        </is>
      </c>
      <c r="J3313" t="inlineStr">
        <is>
          <t>210201</t>
        </is>
      </c>
      <c r="L3313" t="n">
        <v>0</v>
      </c>
      <c r="M3313" t="n">
        <v>0</v>
      </c>
      <c r="N3313" t="n">
        <v>0</v>
      </c>
      <c r="O3313" t="n">
        <v>0</v>
      </c>
      <c r="P3313" t="inlineStr">
        <is>
          <t>카페240솔리드퍼퓸 세트향=커플세트(이그나이트 + 스테이포에버), 세트 선택=1 SET210201</t>
        </is>
      </c>
    </row>
    <row r="3314">
      <c r="B3314" t="inlineStr">
        <is>
          <t>2021-02-12</t>
        </is>
      </c>
      <c r="C3314" t="inlineStr">
        <is>
          <t>금</t>
        </is>
      </c>
      <c r="E3314" t="inlineStr">
        <is>
          <t>0</t>
        </is>
      </c>
      <c r="F3314" t="inlineStr">
        <is>
          <t>카페24</t>
        </is>
      </c>
      <c r="G3314" t="inlineStr">
        <is>
          <t>솔리드퍼퓸 세트향=커플세트(이그나이트 + 스테이포에버), 세트 선택=2 SET (42% 할인)</t>
        </is>
      </c>
      <c r="H3314" t="n">
        <v>5</v>
      </c>
      <c r="I3314" t="inlineStr">
        <is>
          <t>0</t>
        </is>
      </c>
      <c r="J3314" t="inlineStr">
        <is>
          <t>210201</t>
        </is>
      </c>
      <c r="L3314" t="n">
        <v>0</v>
      </c>
      <c r="M3314" t="n">
        <v>0</v>
      </c>
      <c r="N3314" t="n">
        <v>0</v>
      </c>
      <c r="O3314" t="n">
        <v>0</v>
      </c>
      <c r="P3314" t="inlineStr">
        <is>
          <t>카페240솔리드퍼퓸 세트향=커플세트(이그나이트 + 스테이포에버), 세트 선택=2 SET (42% 할인)210201</t>
        </is>
      </c>
    </row>
    <row r="3315">
      <c r="B3315" t="inlineStr">
        <is>
          <t>2021-02-12</t>
        </is>
      </c>
      <c r="C3315" t="inlineStr">
        <is>
          <t>금</t>
        </is>
      </c>
      <c r="E3315" t="inlineStr">
        <is>
          <t>0</t>
        </is>
      </c>
      <c r="F3315" t="inlineStr">
        <is>
          <t>카페24</t>
        </is>
      </c>
      <c r="G3315" t="inlineStr">
        <is>
          <t>솔리드퍼퓸 스테이포에버 002제품선택=스테이포에버 1개</t>
        </is>
      </c>
      <c r="H3315" t="n">
        <v>520</v>
      </c>
      <c r="I3315" t="inlineStr">
        <is>
          <t>0</t>
        </is>
      </c>
      <c r="J3315" t="inlineStr">
        <is>
          <t>210201</t>
        </is>
      </c>
      <c r="L3315" t="n">
        <v>0</v>
      </c>
      <c r="M3315" t="n">
        <v>0</v>
      </c>
      <c r="N3315" t="n">
        <v>0</v>
      </c>
      <c r="O3315" t="n">
        <v>0</v>
      </c>
      <c r="P3315" t="inlineStr">
        <is>
          <t>카페240솔리드퍼퓸 스테이포에버 002제품선택=스테이포에버 1개210201</t>
        </is>
      </c>
    </row>
    <row r="3316">
      <c r="B3316" t="inlineStr">
        <is>
          <t>2021-02-12</t>
        </is>
      </c>
      <c r="C3316" t="inlineStr">
        <is>
          <t>금</t>
        </is>
      </c>
      <c r="E3316" t="inlineStr">
        <is>
          <t>0</t>
        </is>
      </c>
      <c r="F3316" t="inlineStr">
        <is>
          <t>카페24</t>
        </is>
      </c>
      <c r="G3316" t="inlineStr">
        <is>
          <t>솔리드퍼퓸 스테이포에버 002제품선택=best스테이포에버 2개[28% 할인]</t>
        </is>
      </c>
      <c r="H3316" t="n">
        <v>437</v>
      </c>
      <c r="I3316" t="inlineStr">
        <is>
          <t>0</t>
        </is>
      </c>
      <c r="J3316" t="inlineStr">
        <is>
          <t>210201</t>
        </is>
      </c>
      <c r="L3316" t="n">
        <v>0</v>
      </c>
      <c r="M3316" t="n">
        <v>0</v>
      </c>
      <c r="N3316" t="n">
        <v>0</v>
      </c>
      <c r="O3316" t="n">
        <v>0</v>
      </c>
      <c r="P3316" t="inlineStr">
        <is>
          <t>카페240솔리드퍼퓸 스테이포에버 002제품선택=best스테이포에버 2개[28% 할인]210201</t>
        </is>
      </c>
    </row>
    <row r="3317">
      <c r="B3317" t="inlineStr">
        <is>
          <t>2021-02-12</t>
        </is>
      </c>
      <c r="C3317" t="inlineStr">
        <is>
          <t>금</t>
        </is>
      </c>
      <c r="E3317" t="inlineStr">
        <is>
          <t>0</t>
        </is>
      </c>
      <c r="F3317" t="inlineStr">
        <is>
          <t>카페24</t>
        </is>
      </c>
      <c r="G3317" t="inlineStr">
        <is>
          <t>솔리드퍼퓸 스테이포에버 002제품선택=커플추천스테이포에버 + 이그나이트 세트</t>
        </is>
      </c>
      <c r="H3317" t="n">
        <v>44</v>
      </c>
      <c r="I3317" t="inlineStr">
        <is>
          <t>0</t>
        </is>
      </c>
      <c r="J3317" t="inlineStr">
        <is>
          <t>210201</t>
        </is>
      </c>
      <c r="L3317" t="n">
        <v>0</v>
      </c>
      <c r="M3317" t="n">
        <v>0</v>
      </c>
      <c r="N3317" t="n">
        <v>0</v>
      </c>
      <c r="O3317" t="n">
        <v>0</v>
      </c>
      <c r="P3317" t="inlineStr">
        <is>
          <t>카페240솔리드퍼퓸 스테이포에버 002제품선택=커플추천스테이포에버 + 이그나이트 세트210201</t>
        </is>
      </c>
    </row>
    <row r="3318">
      <c r="B3318" t="inlineStr">
        <is>
          <t>2021-02-12</t>
        </is>
      </c>
      <c r="C3318" t="inlineStr">
        <is>
          <t>금</t>
        </is>
      </c>
      <c r="E3318" t="inlineStr">
        <is>
          <t>0</t>
        </is>
      </c>
      <c r="F3318" t="inlineStr">
        <is>
          <t>카페24</t>
        </is>
      </c>
      <c r="G3318" t="inlineStr">
        <is>
          <t>솔리드퍼퓸 스테이포에버 002쇼핑백=선물용 쇼핑백</t>
        </is>
      </c>
      <c r="H3318" t="n">
        <v>6</v>
      </c>
      <c r="I3318" t="inlineStr">
        <is>
          <t>0</t>
        </is>
      </c>
      <c r="J3318" t="inlineStr">
        <is>
          <t>210201</t>
        </is>
      </c>
      <c r="L3318" t="n">
        <v>0</v>
      </c>
      <c r="M3318" t="n">
        <v>0</v>
      </c>
      <c r="N3318" t="n">
        <v>0</v>
      </c>
      <c r="O3318" t="n">
        <v>0</v>
      </c>
      <c r="P3318" t="inlineStr">
        <is>
          <t>카페240솔리드퍼퓸 스테이포에버 002쇼핑백=선물용 쇼핑백210201</t>
        </is>
      </c>
    </row>
    <row r="3319">
      <c r="B3319" t="inlineStr">
        <is>
          <t>2021-02-12</t>
        </is>
      </c>
      <c r="C3319" t="inlineStr">
        <is>
          <t>금</t>
        </is>
      </c>
      <c r="E3319" t="inlineStr">
        <is>
          <t>0</t>
        </is>
      </c>
      <c r="F3319" t="inlineStr">
        <is>
          <t>카페24</t>
        </is>
      </c>
      <c r="G3319" t="inlineStr">
        <is>
          <t>솔리드퍼퓸 이그나이트 001제품선택=이그나이트 솔리드퍼퓸 - 30ml</t>
        </is>
      </c>
      <c r="H3319" t="n">
        <v>6</v>
      </c>
      <c r="I3319" t="inlineStr">
        <is>
          <t>0</t>
        </is>
      </c>
      <c r="J3319" t="inlineStr">
        <is>
          <t>210201</t>
        </is>
      </c>
      <c r="L3319" t="n">
        <v>0</v>
      </c>
      <c r="M3319" t="n">
        <v>0</v>
      </c>
      <c r="N3319" t="n">
        <v>0</v>
      </c>
      <c r="O3319" t="n">
        <v>0</v>
      </c>
      <c r="P3319" t="inlineStr">
        <is>
          <t>카페240솔리드퍼퓸 이그나이트 001제품선택=이그나이트 솔리드퍼퓸 - 30ml210201</t>
        </is>
      </c>
    </row>
    <row r="3320">
      <c r="B3320" t="inlineStr">
        <is>
          <t>2021-02-12</t>
        </is>
      </c>
      <c r="C3320" t="inlineStr">
        <is>
          <t>금</t>
        </is>
      </c>
      <c r="E3320" t="inlineStr">
        <is>
          <t>0</t>
        </is>
      </c>
      <c r="F3320" t="inlineStr">
        <is>
          <t>카페24</t>
        </is>
      </c>
      <c r="G3320" t="inlineStr">
        <is>
          <t>솔리드퍼퓸 이그나이트 001제품선택=이그나이트 2개 세트</t>
        </is>
      </c>
      <c r="H3320" t="n">
        <v>6</v>
      </c>
      <c r="I3320" t="inlineStr">
        <is>
          <t>0</t>
        </is>
      </c>
      <c r="J3320" t="inlineStr">
        <is>
          <t>210201</t>
        </is>
      </c>
      <c r="L3320" t="n">
        <v>0</v>
      </c>
      <c r="M3320" t="n">
        <v>0</v>
      </c>
      <c r="N3320" t="n">
        <v>0</v>
      </c>
      <c r="O3320" t="n">
        <v>0</v>
      </c>
      <c r="P3320" t="inlineStr">
        <is>
          <t>카페240솔리드퍼퓸 이그나이트 001제품선택=이그나이트 2개 세트210201</t>
        </is>
      </c>
    </row>
    <row r="3321">
      <c r="B3321" t="inlineStr">
        <is>
          <t>2021-02-13</t>
        </is>
      </c>
      <c r="C3321" t="inlineStr">
        <is>
          <t>토</t>
        </is>
      </c>
      <c r="E3321" t="inlineStr">
        <is>
          <t>0</t>
        </is>
      </c>
      <c r="F3321" t="inlineStr">
        <is>
          <t>카페24</t>
        </is>
      </c>
      <c r="G3321" t="inlineStr">
        <is>
          <t>선물용 쇼핑백1</t>
        </is>
      </c>
      <c r="H3321" t="n">
        <v>2000</v>
      </c>
      <c r="I3321" t="inlineStr">
        <is>
          <t>0</t>
        </is>
      </c>
      <c r="J3321" t="inlineStr">
        <is>
          <t>210201</t>
        </is>
      </c>
      <c r="L3321" t="n">
        <v>0</v>
      </c>
      <c r="M3321" t="n">
        <v>0</v>
      </c>
      <c r="N3321" t="n">
        <v>0</v>
      </c>
      <c r="O3321" t="n">
        <v>0</v>
      </c>
      <c r="P3321" t="inlineStr">
        <is>
          <t>카페240선물용 쇼핑백1210201</t>
        </is>
      </c>
    </row>
    <row r="3322">
      <c r="B3322" t="inlineStr">
        <is>
          <t>2021-02-13</t>
        </is>
      </c>
      <c r="C3322" t="inlineStr">
        <is>
          <t>토</t>
        </is>
      </c>
      <c r="E3322" t="inlineStr">
        <is>
          <t>0</t>
        </is>
      </c>
      <c r="F3322" t="inlineStr">
        <is>
          <t>카페24</t>
        </is>
      </c>
      <c r="G3322" t="inlineStr">
        <is>
          <t>솔리드퍼퓸 세트향=이그나이트 001 SOLID PERFUME, 세트 선택=1개</t>
        </is>
      </c>
      <c r="H3322" t="n">
        <v>2</v>
      </c>
      <c r="I3322" t="inlineStr">
        <is>
          <t>0</t>
        </is>
      </c>
      <c r="J3322" t="inlineStr">
        <is>
          <t>210201</t>
        </is>
      </c>
      <c r="L3322" t="n">
        <v>0</v>
      </c>
      <c r="M3322" t="n">
        <v>0</v>
      </c>
      <c r="N3322" t="n">
        <v>0</v>
      </c>
      <c r="O3322" t="n">
        <v>0</v>
      </c>
      <c r="P3322" t="inlineStr">
        <is>
          <t>카페240솔리드퍼퓸 세트향=이그나이트 001 SOLID PERFUME, 세트 선택=1개210201</t>
        </is>
      </c>
    </row>
    <row r="3323">
      <c r="B3323" t="inlineStr">
        <is>
          <t>2021-02-13</t>
        </is>
      </c>
      <c r="C3323" t="inlineStr">
        <is>
          <t>토</t>
        </is>
      </c>
      <c r="E3323" t="inlineStr">
        <is>
          <t>0</t>
        </is>
      </c>
      <c r="F3323" t="inlineStr">
        <is>
          <t>카페24</t>
        </is>
      </c>
      <c r="G3323" t="inlineStr">
        <is>
          <t>솔리드퍼퓸 세트향=이그나이트 001 SOLID PERFUME, 세트 선택=best 2개 (28% 할인)</t>
        </is>
      </c>
      <c r="H3323" t="n">
        <v>3</v>
      </c>
      <c r="I3323" t="inlineStr">
        <is>
          <t>0</t>
        </is>
      </c>
      <c r="J3323" t="inlineStr">
        <is>
          <t>210201</t>
        </is>
      </c>
      <c r="L3323" t="n">
        <v>0</v>
      </c>
      <c r="M3323" t="n">
        <v>0</v>
      </c>
      <c r="N3323" t="n">
        <v>0</v>
      </c>
      <c r="O3323" t="n">
        <v>0</v>
      </c>
      <c r="P3323" t="inlineStr">
        <is>
          <t>카페240솔리드퍼퓸 세트향=이그나이트 001 SOLID PERFUME, 세트 선택=best 2개 (28% 할인)210201</t>
        </is>
      </c>
    </row>
    <row r="3324">
      <c r="B3324" t="inlineStr">
        <is>
          <t>2021-02-13</t>
        </is>
      </c>
      <c r="C3324" t="inlineStr">
        <is>
          <t>토</t>
        </is>
      </c>
      <c r="E3324" t="inlineStr">
        <is>
          <t>0</t>
        </is>
      </c>
      <c r="F3324" t="inlineStr">
        <is>
          <t>카페24</t>
        </is>
      </c>
      <c r="G3324" t="inlineStr">
        <is>
          <t>솔리드퍼퓸 세트향=스테이포에버 002 SOLID PERFUME, 세트 선택=1개</t>
        </is>
      </c>
      <c r="H3324" t="n">
        <v>22</v>
      </c>
      <c r="I3324" t="inlineStr">
        <is>
          <t>0</t>
        </is>
      </c>
      <c r="J3324" t="inlineStr">
        <is>
          <t>210201</t>
        </is>
      </c>
      <c r="L3324" t="n">
        <v>0</v>
      </c>
      <c r="M3324" t="n">
        <v>0</v>
      </c>
      <c r="N3324" t="n">
        <v>0</v>
      </c>
      <c r="O3324" t="n">
        <v>0</v>
      </c>
      <c r="P3324" t="inlineStr">
        <is>
          <t>카페240솔리드퍼퓸 세트향=스테이포에버 002 SOLID PERFUME, 세트 선택=1개210201</t>
        </is>
      </c>
    </row>
    <row r="3325">
      <c r="B3325" t="inlineStr">
        <is>
          <t>2021-02-13</t>
        </is>
      </c>
      <c r="C3325" t="inlineStr">
        <is>
          <t>토</t>
        </is>
      </c>
      <c r="E3325" t="inlineStr">
        <is>
          <t>0</t>
        </is>
      </c>
      <c r="F3325" t="inlineStr">
        <is>
          <t>카페24</t>
        </is>
      </c>
      <c r="G3325" t="inlineStr">
        <is>
          <t>솔리드퍼퓸 세트향=스테이포에버 002 SOLID PERFUME, 세트 선택=best 2개 (28% 할인)</t>
        </is>
      </c>
      <c r="H3325" t="n">
        <v>58</v>
      </c>
      <c r="I3325" t="inlineStr">
        <is>
          <t>0</t>
        </is>
      </c>
      <c r="J3325" t="inlineStr">
        <is>
          <t>210201</t>
        </is>
      </c>
      <c r="L3325" t="n">
        <v>0</v>
      </c>
      <c r="M3325" t="n">
        <v>0</v>
      </c>
      <c r="N3325" t="n">
        <v>0</v>
      </c>
      <c r="O3325" t="n">
        <v>0</v>
      </c>
      <c r="P3325" t="inlineStr">
        <is>
          <t>카페240솔리드퍼퓸 세트향=스테이포에버 002 SOLID PERFUME, 세트 선택=best 2개 (28% 할인)210201</t>
        </is>
      </c>
    </row>
    <row r="3326">
      <c r="B3326" t="inlineStr">
        <is>
          <t>2021-02-13</t>
        </is>
      </c>
      <c r="C3326" t="inlineStr">
        <is>
          <t>토</t>
        </is>
      </c>
      <c r="E3326" t="inlineStr">
        <is>
          <t>0</t>
        </is>
      </c>
      <c r="F3326" t="inlineStr">
        <is>
          <t>카페24</t>
        </is>
      </c>
      <c r="G3326" t="inlineStr">
        <is>
          <t>솔리드퍼퓸 세트향=커플세트(이그나이트 + 스테이포에버), 세트 선택=1 SET</t>
        </is>
      </c>
      <c r="H3326" t="n">
        <v>54</v>
      </c>
      <c r="I3326" t="inlineStr">
        <is>
          <t>0</t>
        </is>
      </c>
      <c r="J3326" t="inlineStr">
        <is>
          <t>210201</t>
        </is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카페240솔리드퍼퓸 세트향=커플세트(이그나이트 + 스테이포에버), 세트 선택=1 SET210201</t>
        </is>
      </c>
    </row>
    <row r="3327">
      <c r="B3327" t="inlineStr">
        <is>
          <t>2021-02-13</t>
        </is>
      </c>
      <c r="C3327" t="inlineStr">
        <is>
          <t>토</t>
        </is>
      </c>
      <c r="E3327" t="inlineStr">
        <is>
          <t>0</t>
        </is>
      </c>
      <c r="F3327" t="inlineStr">
        <is>
          <t>카페24</t>
        </is>
      </c>
      <c r="G3327" t="inlineStr">
        <is>
          <t>솔리드퍼퓸 세트향=커플세트(이그나이트 + 스테이포에버), 세트 선택=2 SET (42% 할인)</t>
        </is>
      </c>
      <c r="H3327" t="n">
        <v>15</v>
      </c>
      <c r="I3327" t="inlineStr">
        <is>
          <t>0</t>
        </is>
      </c>
      <c r="J3327" t="inlineStr">
        <is>
          <t>210201</t>
        </is>
      </c>
      <c r="L3327" t="n">
        <v>0</v>
      </c>
      <c r="M3327" t="n">
        <v>0</v>
      </c>
      <c r="N3327" t="n">
        <v>0</v>
      </c>
      <c r="O3327" t="n">
        <v>0</v>
      </c>
      <c r="P3327" t="inlineStr">
        <is>
          <t>카페240솔리드퍼퓸 세트향=커플세트(이그나이트 + 스테이포에버), 세트 선택=2 SET (42% 할인)210201</t>
        </is>
      </c>
    </row>
    <row r="3328">
      <c r="B3328" t="inlineStr">
        <is>
          <t>2021-02-13</t>
        </is>
      </c>
      <c r="C3328" t="inlineStr">
        <is>
          <t>토</t>
        </is>
      </c>
      <c r="E3328" t="inlineStr">
        <is>
          <t>0</t>
        </is>
      </c>
      <c r="F3328" t="inlineStr">
        <is>
          <t>카페24</t>
        </is>
      </c>
      <c r="G3328" t="inlineStr">
        <is>
          <t>솔리드퍼퓸 스테이포에버 002제품선택=스테이포에버 1개</t>
        </is>
      </c>
      <c r="H3328" t="n">
        <v>568</v>
      </c>
      <c r="I3328" t="inlineStr">
        <is>
          <t>0</t>
        </is>
      </c>
      <c r="J3328" t="inlineStr">
        <is>
          <t>210201</t>
        </is>
      </c>
      <c r="L3328" t="n">
        <v>0</v>
      </c>
      <c r="M3328" t="n">
        <v>0</v>
      </c>
      <c r="N3328" t="n">
        <v>0</v>
      </c>
      <c r="O3328" t="n">
        <v>0</v>
      </c>
      <c r="P3328" t="inlineStr">
        <is>
          <t>카페240솔리드퍼퓸 스테이포에버 002제품선택=스테이포에버 1개210201</t>
        </is>
      </c>
    </row>
    <row r="3329">
      <c r="B3329" t="inlineStr">
        <is>
          <t>2021-02-13</t>
        </is>
      </c>
      <c r="C3329" t="inlineStr">
        <is>
          <t>토</t>
        </is>
      </c>
      <c r="E3329" t="inlineStr">
        <is>
          <t>0</t>
        </is>
      </c>
      <c r="F3329" t="inlineStr">
        <is>
          <t>카페24</t>
        </is>
      </c>
      <c r="G3329" t="inlineStr">
        <is>
          <t>솔리드퍼퓸 스테이포에버 002제품선택=best스테이포에버 2개[28% 할인]</t>
        </is>
      </c>
      <c r="H3329" t="n">
        <v>398</v>
      </c>
      <c r="I3329" t="inlineStr">
        <is>
          <t>0</t>
        </is>
      </c>
      <c r="J3329" t="inlineStr">
        <is>
          <t>210201</t>
        </is>
      </c>
      <c r="L3329" t="n">
        <v>0</v>
      </c>
      <c r="M3329" t="n">
        <v>0</v>
      </c>
      <c r="N3329" t="n">
        <v>0</v>
      </c>
      <c r="O3329" t="n">
        <v>0</v>
      </c>
      <c r="P3329" t="inlineStr">
        <is>
          <t>카페240솔리드퍼퓸 스테이포에버 002제품선택=best스테이포에버 2개[28% 할인]210201</t>
        </is>
      </c>
    </row>
    <row r="3330">
      <c r="B3330" t="inlineStr">
        <is>
          <t>2021-02-13</t>
        </is>
      </c>
      <c r="C3330" t="inlineStr">
        <is>
          <t>토</t>
        </is>
      </c>
      <c r="E3330" t="inlineStr">
        <is>
          <t>0</t>
        </is>
      </c>
      <c r="F3330" t="inlineStr">
        <is>
          <t>카페24</t>
        </is>
      </c>
      <c r="G3330" t="inlineStr">
        <is>
          <t>솔리드퍼퓸 스테이포에버 002제품선택=커플추천스테이포에버 + 이그나이트 세트</t>
        </is>
      </c>
      <c r="H3330" t="n">
        <v>61</v>
      </c>
      <c r="I3330" t="inlineStr">
        <is>
          <t>0</t>
        </is>
      </c>
      <c r="J3330" t="inlineStr">
        <is>
          <t>210201</t>
        </is>
      </c>
      <c r="L3330" t="n">
        <v>0</v>
      </c>
      <c r="M3330" t="n">
        <v>0</v>
      </c>
      <c r="N3330" t="n">
        <v>0</v>
      </c>
      <c r="O3330" t="n">
        <v>0</v>
      </c>
      <c r="P3330" t="inlineStr">
        <is>
          <t>카페240솔리드퍼퓸 스테이포에버 002제품선택=커플추천스테이포에버 + 이그나이트 세트210201</t>
        </is>
      </c>
    </row>
    <row r="3331">
      <c r="B3331" t="inlineStr">
        <is>
          <t>2021-02-13</t>
        </is>
      </c>
      <c r="C3331" t="inlineStr">
        <is>
          <t>토</t>
        </is>
      </c>
      <c r="E3331" t="inlineStr">
        <is>
          <t>0</t>
        </is>
      </c>
      <c r="F3331" t="inlineStr">
        <is>
          <t>카페24</t>
        </is>
      </c>
      <c r="G3331" t="inlineStr">
        <is>
          <t>솔리드퍼퓸 스테이포에버 002쇼핑백=선물용 쇼핑백</t>
        </is>
      </c>
      <c r="H3331" t="n">
        <v>8</v>
      </c>
      <c r="I3331" t="inlineStr">
        <is>
          <t>0</t>
        </is>
      </c>
      <c r="J3331" t="inlineStr">
        <is>
          <t>210201</t>
        </is>
      </c>
      <c r="L3331" t="n">
        <v>0</v>
      </c>
      <c r="M3331" t="n">
        <v>0</v>
      </c>
      <c r="N3331" t="n">
        <v>0</v>
      </c>
      <c r="O3331" t="n">
        <v>0</v>
      </c>
      <c r="P3331" t="inlineStr">
        <is>
          <t>카페240솔리드퍼퓸 스테이포에버 002쇼핑백=선물용 쇼핑백210201</t>
        </is>
      </c>
    </row>
    <row r="3332">
      <c r="B3332" t="inlineStr">
        <is>
          <t>2021-02-13</t>
        </is>
      </c>
      <c r="C3332" t="inlineStr">
        <is>
          <t>토</t>
        </is>
      </c>
      <c r="E3332" t="inlineStr">
        <is>
          <t>0</t>
        </is>
      </c>
      <c r="F3332" t="inlineStr">
        <is>
          <t>카페24</t>
        </is>
      </c>
      <c r="G3332" t="inlineStr">
        <is>
          <t>솔리드퍼퓸 이그나이트 001제품선택=이그나이트 솔리드퍼퓸 - 30ml</t>
        </is>
      </c>
      <c r="H3332" t="n">
        <v>4</v>
      </c>
      <c r="I3332" t="inlineStr">
        <is>
          <t>0</t>
        </is>
      </c>
      <c r="J3332" t="inlineStr">
        <is>
          <t>210201</t>
        </is>
      </c>
      <c r="L3332" t="n">
        <v>0</v>
      </c>
      <c r="M3332" t="n">
        <v>0</v>
      </c>
      <c r="N3332" t="n">
        <v>0</v>
      </c>
      <c r="O3332" t="n">
        <v>0</v>
      </c>
      <c r="P3332" t="inlineStr">
        <is>
          <t>카페240솔리드퍼퓸 이그나이트 001제품선택=이그나이트 솔리드퍼퓸 - 30ml210201</t>
        </is>
      </c>
    </row>
    <row r="3333">
      <c r="B3333" t="inlineStr">
        <is>
          <t>2021-02-14</t>
        </is>
      </c>
      <c r="C3333" t="inlineStr">
        <is>
          <t>일</t>
        </is>
      </c>
      <c r="E3333" t="inlineStr">
        <is>
          <t>0</t>
        </is>
      </c>
      <c r="F3333" t="inlineStr">
        <is>
          <t>카페24</t>
        </is>
      </c>
      <c r="G3333" t="inlineStr">
        <is>
          <t>솔리드퍼퓸 세트향=스테이포에버 002 SOLID PERFUME, 세트 선택=1개</t>
        </is>
      </c>
      <c r="H3333" t="n">
        <v>16</v>
      </c>
      <c r="I3333" t="inlineStr">
        <is>
          <t>0</t>
        </is>
      </c>
      <c r="J3333" t="inlineStr">
        <is>
          <t>210201</t>
        </is>
      </c>
      <c r="L3333" t="n">
        <v>0</v>
      </c>
      <c r="M3333" t="n">
        <v>0</v>
      </c>
      <c r="N3333" t="n">
        <v>0</v>
      </c>
      <c r="O3333" t="n">
        <v>0</v>
      </c>
      <c r="P3333" t="inlineStr">
        <is>
          <t>카페240솔리드퍼퓸 세트향=스테이포에버 002 SOLID PERFUME, 세트 선택=1개210201</t>
        </is>
      </c>
    </row>
    <row r="3334">
      <c r="B3334" t="inlineStr">
        <is>
          <t>2021-02-14</t>
        </is>
      </c>
      <c r="C3334" t="inlineStr">
        <is>
          <t>일</t>
        </is>
      </c>
      <c r="E3334" t="inlineStr">
        <is>
          <t>0</t>
        </is>
      </c>
      <c r="F3334" t="inlineStr">
        <is>
          <t>카페24</t>
        </is>
      </c>
      <c r="G3334" t="inlineStr">
        <is>
          <t>솔리드퍼퓸 세트향=스테이포에버 002 SOLID PERFUME, 세트 선택=best 2개 (28% 할인)</t>
        </is>
      </c>
      <c r="H3334" t="n">
        <v>54</v>
      </c>
      <c r="I3334" t="inlineStr">
        <is>
          <t>0</t>
        </is>
      </c>
      <c r="J3334" t="inlineStr">
        <is>
          <t>210201</t>
        </is>
      </c>
      <c r="L3334" t="n">
        <v>0</v>
      </c>
      <c r="M3334" t="n">
        <v>0</v>
      </c>
      <c r="N3334" t="n">
        <v>0</v>
      </c>
      <c r="O3334" t="n">
        <v>0</v>
      </c>
      <c r="P3334" t="inlineStr">
        <is>
          <t>카페240솔리드퍼퓸 세트향=스테이포에버 002 SOLID PERFUME, 세트 선택=best 2개 (28% 할인)210201</t>
        </is>
      </c>
    </row>
    <row r="3335">
      <c r="B3335" t="inlineStr">
        <is>
          <t>2021-02-14</t>
        </is>
      </c>
      <c r="C3335" t="inlineStr">
        <is>
          <t>일</t>
        </is>
      </c>
      <c r="E3335" t="inlineStr">
        <is>
          <t>0</t>
        </is>
      </c>
      <c r="F3335" t="inlineStr">
        <is>
          <t>카페24</t>
        </is>
      </c>
      <c r="G3335" t="inlineStr">
        <is>
          <t>솔리드퍼퓸 세트향=커플세트(이그나이트 + 스테이포에버), 세트 선택=1 SET</t>
        </is>
      </c>
      <c r="H3335" t="n">
        <v>48</v>
      </c>
      <c r="I3335" t="inlineStr">
        <is>
          <t>0</t>
        </is>
      </c>
      <c r="J3335" t="inlineStr">
        <is>
          <t>210201</t>
        </is>
      </c>
      <c r="L3335" t="n">
        <v>0</v>
      </c>
      <c r="M3335" t="n">
        <v>0</v>
      </c>
      <c r="N3335" t="n">
        <v>0</v>
      </c>
      <c r="O3335" t="n">
        <v>0</v>
      </c>
      <c r="P3335" t="inlineStr">
        <is>
          <t>카페240솔리드퍼퓸 세트향=커플세트(이그나이트 + 스테이포에버), 세트 선택=1 SET210201</t>
        </is>
      </c>
    </row>
    <row r="3336">
      <c r="B3336" t="inlineStr">
        <is>
          <t>2021-02-14</t>
        </is>
      </c>
      <c r="C3336" t="inlineStr">
        <is>
          <t>일</t>
        </is>
      </c>
      <c r="E3336" t="inlineStr">
        <is>
          <t>0</t>
        </is>
      </c>
      <c r="F3336" t="inlineStr">
        <is>
          <t>카페24</t>
        </is>
      </c>
      <c r="G3336" t="inlineStr">
        <is>
          <t>솔리드퍼퓸 세트향=커플세트(이그나이트 + 스테이포에버), 세트 선택=2 SET (42% 할인)</t>
        </is>
      </c>
      <c r="H3336" t="n">
        <v>10</v>
      </c>
      <c r="I3336" t="inlineStr">
        <is>
          <t>0</t>
        </is>
      </c>
      <c r="J3336" t="inlineStr">
        <is>
          <t>210201</t>
        </is>
      </c>
      <c r="L3336" t="n">
        <v>0</v>
      </c>
      <c r="M3336" t="n">
        <v>0</v>
      </c>
      <c r="N3336" t="n">
        <v>0</v>
      </c>
      <c r="O3336" t="n">
        <v>0</v>
      </c>
      <c r="P3336" t="inlineStr">
        <is>
          <t>카페240솔리드퍼퓸 세트향=커플세트(이그나이트 + 스테이포에버), 세트 선택=2 SET (42% 할인)210201</t>
        </is>
      </c>
    </row>
    <row r="3337">
      <c r="B3337" t="inlineStr">
        <is>
          <t>2021-02-14</t>
        </is>
      </c>
      <c r="C3337" t="inlineStr">
        <is>
          <t>일</t>
        </is>
      </c>
      <c r="E3337" t="inlineStr">
        <is>
          <t>0</t>
        </is>
      </c>
      <c r="F3337" t="inlineStr">
        <is>
          <t>카페24</t>
        </is>
      </c>
      <c r="G3337" t="inlineStr">
        <is>
          <t>솔리드퍼퓸 스테이포에버 002제품선택=스테이포에버 1개</t>
        </is>
      </c>
      <c r="H3337" t="n">
        <v>597</v>
      </c>
      <c r="I3337" t="inlineStr">
        <is>
          <t>0</t>
        </is>
      </c>
      <c r="J3337" t="inlineStr">
        <is>
          <t>210201</t>
        </is>
      </c>
      <c r="L3337" t="n">
        <v>0</v>
      </c>
      <c r="M3337" t="n">
        <v>0</v>
      </c>
      <c r="N3337" t="n">
        <v>0</v>
      </c>
      <c r="O3337" t="n">
        <v>0</v>
      </c>
      <c r="P3337" t="inlineStr">
        <is>
          <t>카페240솔리드퍼퓸 스테이포에버 002제품선택=스테이포에버 1개210201</t>
        </is>
      </c>
    </row>
    <row r="3338">
      <c r="B3338" t="inlineStr">
        <is>
          <t>2021-02-14</t>
        </is>
      </c>
      <c r="C3338" t="inlineStr">
        <is>
          <t>일</t>
        </is>
      </c>
      <c r="E3338" t="inlineStr">
        <is>
          <t>0</t>
        </is>
      </c>
      <c r="F3338" t="inlineStr">
        <is>
          <t>카페24</t>
        </is>
      </c>
      <c r="G3338" t="inlineStr">
        <is>
          <t>솔리드퍼퓸 스테이포에버 002제품선택=best스테이포에버 2개[28% 할인]</t>
        </is>
      </c>
      <c r="H3338" t="n">
        <v>500</v>
      </c>
      <c r="I3338" t="inlineStr">
        <is>
          <t>0</t>
        </is>
      </c>
      <c r="J3338" t="inlineStr">
        <is>
          <t>210201</t>
        </is>
      </c>
      <c r="L3338" t="n">
        <v>0</v>
      </c>
      <c r="M3338" t="n">
        <v>0</v>
      </c>
      <c r="N3338" t="n">
        <v>0</v>
      </c>
      <c r="O3338" t="n">
        <v>0</v>
      </c>
      <c r="P3338" t="inlineStr">
        <is>
          <t>카페240솔리드퍼퓸 스테이포에버 002제품선택=best스테이포에버 2개[28% 할인]210201</t>
        </is>
      </c>
    </row>
    <row r="3339">
      <c r="B3339" t="inlineStr">
        <is>
          <t>2021-02-14</t>
        </is>
      </c>
      <c r="C3339" t="inlineStr">
        <is>
          <t>일</t>
        </is>
      </c>
      <c r="E3339" t="inlineStr">
        <is>
          <t>0</t>
        </is>
      </c>
      <c r="F3339" t="inlineStr">
        <is>
          <t>카페24</t>
        </is>
      </c>
      <c r="G3339" t="inlineStr">
        <is>
          <t>솔리드퍼퓸 스테이포에버 002제품선택=커플추천스테이포에버 + 이그나이트 세트</t>
        </is>
      </c>
      <c r="H3339" t="n">
        <v>24</v>
      </c>
      <c r="I3339" t="inlineStr">
        <is>
          <t>0</t>
        </is>
      </c>
      <c r="J3339" t="inlineStr">
        <is>
          <t>210201</t>
        </is>
      </c>
      <c r="L3339" t="n">
        <v>0</v>
      </c>
      <c r="M3339" t="n">
        <v>0</v>
      </c>
      <c r="N3339" t="n">
        <v>0</v>
      </c>
      <c r="O3339" t="n">
        <v>0</v>
      </c>
      <c r="P3339" t="inlineStr">
        <is>
          <t>카페240솔리드퍼퓸 스테이포에버 002제품선택=커플추천스테이포에버 + 이그나이트 세트210201</t>
        </is>
      </c>
    </row>
    <row r="3340">
      <c r="B3340" t="inlineStr">
        <is>
          <t>2021-02-14</t>
        </is>
      </c>
      <c r="C3340" t="inlineStr">
        <is>
          <t>일</t>
        </is>
      </c>
      <c r="E3340" t="inlineStr">
        <is>
          <t>0</t>
        </is>
      </c>
      <c r="F3340" t="inlineStr">
        <is>
          <t>카페24</t>
        </is>
      </c>
      <c r="G3340" t="inlineStr">
        <is>
          <t>솔리드퍼퓸 스테이포에버 002쇼핑백=선물용 쇼핑백</t>
        </is>
      </c>
      <c r="H3340" t="n">
        <v>14</v>
      </c>
      <c r="I3340" t="inlineStr">
        <is>
          <t>0</t>
        </is>
      </c>
      <c r="J3340" t="inlineStr">
        <is>
          <t>210201</t>
        </is>
      </c>
      <c r="L3340" t="n">
        <v>0</v>
      </c>
      <c r="M3340" t="n">
        <v>0</v>
      </c>
      <c r="N3340" t="n">
        <v>0</v>
      </c>
      <c r="O3340" t="n">
        <v>0</v>
      </c>
      <c r="P3340" t="inlineStr">
        <is>
          <t>카페240솔리드퍼퓸 스테이포에버 002쇼핑백=선물용 쇼핑백210201</t>
        </is>
      </c>
    </row>
    <row r="3341">
      <c r="A3341" t="inlineStr">
        <is>
          <t>검증</t>
        </is>
      </c>
      <c r="B3341" t="inlineStr">
        <is>
          <t>2021-02-12</t>
        </is>
      </c>
      <c r="C3341" t="inlineStr">
        <is>
          <t>금</t>
        </is>
      </c>
      <c r="D3341" t="inlineStr"/>
      <c r="E3341" t="inlineStr"/>
      <c r="K3341" t="n">
        <v>0</v>
      </c>
    </row>
    <row r="3342">
      <c r="A3342" t="inlineStr">
        <is>
          <t>승무원 키워드</t>
        </is>
      </c>
      <c r="B3342" t="inlineStr">
        <is>
          <t>2021-02-12</t>
        </is>
      </c>
      <c r="C3342" t="inlineStr">
        <is>
          <t>금</t>
        </is>
      </c>
      <c r="D3342" t="inlineStr"/>
      <c r="E3342" t="inlineStr"/>
      <c r="K3342" t="n">
        <v>1352240.909090909</v>
      </c>
    </row>
    <row r="3343">
      <c r="A3343" t="inlineStr">
        <is>
          <t>승무원 어피</t>
        </is>
      </c>
      <c r="B3343" t="inlineStr">
        <is>
          <t>2021-02-12</t>
        </is>
      </c>
      <c r="C3343" t="inlineStr">
        <is>
          <t>금</t>
        </is>
      </c>
      <c r="D3343" t="inlineStr"/>
      <c r="E3343" t="inlineStr"/>
      <c r="K3343" t="n">
        <v>0</v>
      </c>
    </row>
    <row r="3344">
      <c r="A3344" t="inlineStr">
        <is>
          <t>승무원 키워드</t>
        </is>
      </c>
      <c r="B3344" t="inlineStr">
        <is>
          <t>2021-02-13</t>
        </is>
      </c>
      <c r="C3344" t="inlineStr">
        <is>
          <t>토</t>
        </is>
      </c>
      <c r="D3344" t="inlineStr"/>
      <c r="E3344" t="inlineStr"/>
      <c r="K3344" t="n">
        <v>1314567.272727273</v>
      </c>
    </row>
    <row r="3345">
      <c r="A3345" t="inlineStr">
        <is>
          <t>승무원 어피</t>
        </is>
      </c>
      <c r="B3345" t="inlineStr">
        <is>
          <t>2021-02-13</t>
        </is>
      </c>
      <c r="C3345" t="inlineStr">
        <is>
          <t>토</t>
        </is>
      </c>
      <c r="D3345" t="inlineStr"/>
      <c r="E3345" t="inlineStr"/>
      <c r="K3345" t="n">
        <v>0</v>
      </c>
    </row>
    <row r="3346">
      <c r="A3346" t="inlineStr">
        <is>
          <t>승무원 키워드</t>
        </is>
      </c>
      <c r="B3346" t="inlineStr">
        <is>
          <t>2021-02-14</t>
        </is>
      </c>
      <c r="C3346" t="inlineStr">
        <is>
          <t>일</t>
        </is>
      </c>
      <c r="D3346" t="inlineStr"/>
      <c r="E3346" t="inlineStr"/>
      <c r="K3346" t="n">
        <v>1285470</v>
      </c>
    </row>
  </sheetData>
  <autoFilter ref="B1:P2718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tabColor theme="7" tint="0.7999816888943144"/>
    <outlinePr summaryBelow="1" summaryRight="1"/>
    <pageSetUpPr/>
  </sheetPr>
  <dimension ref="B1:K311"/>
  <sheetViews>
    <sheetView zoomScale="70" zoomScaleNormal="70" workbookViewId="0">
      <pane ySplit="1" topLeftCell="A2" activePane="bottomLeft" state="frozen"/>
      <selection pane="bottomLeft" activeCell="A1" sqref="A1"/>
    </sheetView>
  </sheetViews>
  <sheetFormatPr baseColWidth="8" defaultRowHeight="16.5" outlineLevelCol="0"/>
  <cols>
    <col width="1.59765625" customWidth="1" style="47" min="1" max="1"/>
    <col width="28.59765625" customWidth="1" style="47" min="2" max="2"/>
    <col width="21.09765625" customWidth="1" style="47" min="3" max="3"/>
    <col width="116.59765625" customWidth="1" style="47" min="4" max="4"/>
    <col width="41.09765625" customWidth="1" style="47" min="5" max="5"/>
    <col width="12" customWidth="1" style="47" min="6" max="6"/>
    <col width="58.09765625" bestFit="1" customWidth="1" style="47" min="7" max="7"/>
  </cols>
  <sheetData>
    <row r="1">
      <c r="B1" s="39" t="inlineStr">
        <is>
          <t>채널</t>
        </is>
      </c>
      <c r="C1" s="39" t="inlineStr">
        <is>
          <t>상품1</t>
        </is>
      </c>
      <c r="D1" s="39" t="inlineStr">
        <is>
          <t>상품2</t>
        </is>
      </c>
      <c r="E1" s="39" t="inlineStr">
        <is>
          <t>상품 상세</t>
        </is>
      </c>
      <c r="F1" s="39" t="inlineStr">
        <is>
          <t>구분(판매가)</t>
        </is>
      </c>
      <c r="G1" s="42" t="inlineStr">
        <is>
          <t>구분값</t>
        </is>
      </c>
      <c r="H1" s="39" t="inlineStr">
        <is>
          <t>판매가</t>
        </is>
      </c>
      <c r="I1" s="39" t="inlineStr">
        <is>
          <t>수수료</t>
        </is>
      </c>
      <c r="J1" s="39" t="inlineStr">
        <is>
          <t>원가</t>
        </is>
      </c>
    </row>
    <row r="2">
      <c r="B2" s="39" t="inlineStr">
        <is>
          <t>카페24</t>
        </is>
      </c>
      <c r="C2" s="39" t="inlineStr">
        <is>
          <t>고체향수</t>
        </is>
      </c>
      <c r="D2" s="39" t="inlineStr">
        <is>
          <t>이그나이트</t>
        </is>
      </c>
      <c r="F2" s="39" t="n">
        <v>200520</v>
      </c>
      <c r="G2" s="42">
        <f>B2&amp;C2&amp;D2&amp;F2</f>
        <v/>
      </c>
      <c r="H2" s="39" t="n">
        <v>38000</v>
      </c>
      <c r="I2" s="40" t="n">
        <v>0.0585</v>
      </c>
      <c r="J2" s="39" t="n">
        <v>2888</v>
      </c>
    </row>
    <row r="3">
      <c r="B3" s="39" t="inlineStr">
        <is>
          <t>카페24</t>
        </is>
      </c>
      <c r="C3" s="39" t="inlineStr">
        <is>
          <t>고체향수</t>
        </is>
      </c>
      <c r="D3" s="39" t="inlineStr">
        <is>
          <t>스테이포에버</t>
        </is>
      </c>
      <c r="F3" s="39" t="n">
        <v>200520</v>
      </c>
      <c r="G3" s="42">
        <f>B3&amp;C3&amp;D3&amp;F3</f>
        <v/>
      </c>
      <c r="H3" s="39" t="n">
        <v>38000</v>
      </c>
      <c r="I3" s="40" t="n">
        <v>0.0585</v>
      </c>
      <c r="J3" s="39" t="n">
        <v>2783</v>
      </c>
    </row>
    <row r="4">
      <c r="B4" s="39" t="inlineStr">
        <is>
          <t>카페24</t>
        </is>
      </c>
      <c r="C4" s="39" t="inlineStr">
        <is>
          <t>고체향수</t>
        </is>
      </c>
      <c r="D4" s="39" t="inlineStr">
        <is>
          <t>이그나이트 + 스테이포에버</t>
        </is>
      </c>
      <c r="F4" s="39" t="n">
        <v>200520</v>
      </c>
      <c r="G4" s="42">
        <f>B4&amp;C4&amp;D4&amp;F4</f>
        <v/>
      </c>
      <c r="H4" s="39" t="n">
        <v>69000</v>
      </c>
      <c r="I4" s="40" t="n">
        <v>0.0585</v>
      </c>
      <c r="J4" s="39" t="n">
        <v>5671</v>
      </c>
    </row>
    <row r="5">
      <c r="B5" s="39" t="inlineStr">
        <is>
          <t>카페24</t>
        </is>
      </c>
      <c r="C5" s="39" t="inlineStr">
        <is>
          <t>쇼핑백</t>
        </is>
      </c>
      <c r="D5" s="39" t="inlineStr">
        <is>
          <t>유즈쇼핑백</t>
        </is>
      </c>
      <c r="F5" s="39" t="n">
        <v>200520</v>
      </c>
      <c r="G5" s="42">
        <f>B5&amp;C5&amp;D5&amp;F5</f>
        <v/>
      </c>
      <c r="H5" s="39" t="n">
        <v>2000</v>
      </c>
      <c r="I5" s="40" t="n">
        <v>0.0585</v>
      </c>
      <c r="J5" s="39" t="n">
        <v>1210</v>
      </c>
    </row>
    <row r="6">
      <c r="B6" s="39" t="inlineStr">
        <is>
          <t>유즈 CS</t>
        </is>
      </c>
      <c r="C6" s="39" t="inlineStr">
        <is>
          <t>고체향수</t>
        </is>
      </c>
      <c r="D6" s="39" t="inlineStr">
        <is>
          <t>이그나이트</t>
        </is>
      </c>
      <c r="F6" s="39" t="n">
        <v>200520</v>
      </c>
      <c r="G6" s="42">
        <f>B6&amp;C6&amp;D6&amp;F6</f>
        <v/>
      </c>
      <c r="H6" s="39" t="n">
        <v>0</v>
      </c>
      <c r="I6" s="5" t="n">
        <v>0</v>
      </c>
      <c r="J6" s="39" t="n">
        <v>2888</v>
      </c>
    </row>
    <row r="7">
      <c r="B7" s="39" t="inlineStr">
        <is>
          <t>유즈 CS</t>
        </is>
      </c>
      <c r="C7" s="39" t="inlineStr">
        <is>
          <t>고체향수</t>
        </is>
      </c>
      <c r="D7" s="39" t="inlineStr">
        <is>
          <t>스테이포에버</t>
        </is>
      </c>
      <c r="F7" s="39" t="n">
        <v>200520</v>
      </c>
      <c r="G7" s="42">
        <f>B7&amp;C7&amp;D7&amp;F7</f>
        <v/>
      </c>
      <c r="H7" s="39" t="n">
        <v>0</v>
      </c>
      <c r="I7" s="5" t="n">
        <v>0</v>
      </c>
      <c r="J7" s="39" t="n">
        <v>2783</v>
      </c>
    </row>
    <row r="8">
      <c r="B8" s="39" t="inlineStr">
        <is>
          <t>유즈 CS</t>
        </is>
      </c>
      <c r="C8" s="39" t="inlineStr">
        <is>
          <t>고체향수</t>
        </is>
      </c>
      <c r="D8" s="39" t="inlineStr">
        <is>
          <t>이그나이트 + 스테이포에버</t>
        </is>
      </c>
      <c r="F8" s="39" t="n">
        <v>200520</v>
      </c>
      <c r="G8" s="42">
        <f>B8&amp;C8&amp;D8&amp;F8</f>
        <v/>
      </c>
      <c r="H8" s="39" t="n">
        <v>0</v>
      </c>
      <c r="I8" s="5" t="n">
        <v>0</v>
      </c>
      <c r="J8" s="39" t="n">
        <v>5671</v>
      </c>
    </row>
    <row r="9">
      <c r="B9" s="39" t="inlineStr">
        <is>
          <t>유즈 CS</t>
        </is>
      </c>
      <c r="C9" s="39" t="inlineStr">
        <is>
          <t>쇼핑백</t>
        </is>
      </c>
      <c r="D9" s="39" t="inlineStr">
        <is>
          <t>유즈쇼핑백</t>
        </is>
      </c>
      <c r="F9" s="39" t="n">
        <v>200520</v>
      </c>
      <c r="G9" s="42">
        <f>B9&amp;C9&amp;D9&amp;F9</f>
        <v/>
      </c>
      <c r="H9" s="39" t="n">
        <v>0</v>
      </c>
      <c r="I9" s="5" t="n">
        <v>0</v>
      </c>
      <c r="J9" s="39" t="n">
        <v>1210</v>
      </c>
    </row>
    <row r="10">
      <c r="B10" s="39" t="inlineStr">
        <is>
          <t>카페24</t>
        </is>
      </c>
      <c r="C10" s="39" t="inlineStr">
        <is>
          <t>고체향수</t>
        </is>
      </c>
      <c r="D10" s="39" t="inlineStr">
        <is>
          <t>스테이포에버 + 쇼핑백</t>
        </is>
      </c>
      <c r="F10" s="39" t="n">
        <v>200520</v>
      </c>
      <c r="G10" s="42">
        <f>B10&amp;C10&amp;D10&amp;F10</f>
        <v/>
      </c>
      <c r="H10" s="39" t="n">
        <v>28800</v>
      </c>
      <c r="I10" s="40" t="n">
        <v>0.0585</v>
      </c>
      <c r="J10" s="39" t="n">
        <v>3993</v>
      </c>
    </row>
    <row r="11">
      <c r="B11" s="39" t="inlineStr">
        <is>
          <t>카페24</t>
        </is>
      </c>
      <c r="C11" s="39" t="inlineStr">
        <is>
          <t>고체향수</t>
        </is>
      </c>
      <c r="D11" s="39" t="inlineStr">
        <is>
          <t>이그나이트 + 쇼핑백</t>
        </is>
      </c>
      <c r="F11" s="39" t="n">
        <v>200520</v>
      </c>
      <c r="G11" s="42">
        <f>B11&amp;C11&amp;D11&amp;F11</f>
        <v/>
      </c>
      <c r="H11" s="39" t="n">
        <v>28800</v>
      </c>
      <c r="I11" s="40" t="n">
        <v>0.0585</v>
      </c>
      <c r="J11" s="39" t="n">
        <v>4098</v>
      </c>
    </row>
    <row r="12">
      <c r="B12" s="39" t="inlineStr">
        <is>
          <t>카페24</t>
        </is>
      </c>
      <c r="C12" s="39" t="inlineStr">
        <is>
          <t>고체향수</t>
        </is>
      </c>
      <c r="D12" s="39" t="inlineStr">
        <is>
          <t>이그나이트 + 스테이포에버 + 쇼핑백2개</t>
        </is>
      </c>
      <c r="F12" s="39" t="n">
        <v>200520</v>
      </c>
      <c r="G12" s="42">
        <f>B12&amp;C12&amp;D12&amp;F12</f>
        <v/>
      </c>
      <c r="H12" s="39" t="n">
        <v>50000</v>
      </c>
      <c r="I12" s="40" t="n">
        <v>0.0585</v>
      </c>
      <c r="J12" s="39" t="n">
        <v>8091</v>
      </c>
    </row>
    <row r="13">
      <c r="B13" s="20" t="inlineStr">
        <is>
          <t>카페24</t>
        </is>
      </c>
      <c r="C13" s="20" t="inlineStr">
        <is>
          <t>고체향수</t>
        </is>
      </c>
      <c r="D13" s="20" t="inlineStr">
        <is>
          <t>이그나이트</t>
        </is>
      </c>
      <c r="E13" s="20" t="n"/>
      <c r="F13" s="20" t="n">
        <v>200622</v>
      </c>
      <c r="G13" s="42">
        <f>B13&amp;C13&amp;D13&amp;F13</f>
        <v/>
      </c>
      <c r="H13" s="20" t="n">
        <v>34000</v>
      </c>
      <c r="I13" s="40" t="n">
        <v>0.0585</v>
      </c>
      <c r="J13" s="39" t="n">
        <v>2888</v>
      </c>
    </row>
    <row r="14">
      <c r="B14" s="20" t="inlineStr">
        <is>
          <t>카페24</t>
        </is>
      </c>
      <c r="C14" s="20" t="inlineStr">
        <is>
          <t>고체향수</t>
        </is>
      </c>
      <c r="D14" s="20" t="inlineStr">
        <is>
          <t>스테이포에버</t>
        </is>
      </c>
      <c r="E14" s="20" t="n"/>
      <c r="F14" s="20" t="n">
        <v>200622</v>
      </c>
      <c r="G14" s="42">
        <f>B14&amp;C14&amp;D14&amp;F14</f>
        <v/>
      </c>
      <c r="H14" s="20" t="n">
        <v>34000</v>
      </c>
      <c r="I14" s="40" t="n">
        <v>0.0585</v>
      </c>
      <c r="J14" s="39" t="n">
        <v>2783</v>
      </c>
    </row>
    <row r="15">
      <c r="B15" s="20" t="inlineStr">
        <is>
          <t>카페24</t>
        </is>
      </c>
      <c r="C15" s="20" t="inlineStr">
        <is>
          <t>고체향수</t>
        </is>
      </c>
      <c r="D15" s="20" t="inlineStr">
        <is>
          <t>이그나이트 + 스테이포에버</t>
        </is>
      </c>
      <c r="E15" s="20" t="n"/>
      <c r="F15" s="20" t="n">
        <v>200622</v>
      </c>
      <c r="G15" s="42">
        <f>B15&amp;C15&amp;D15&amp;F15</f>
        <v/>
      </c>
      <c r="H15" s="20" t="n">
        <v>65000</v>
      </c>
      <c r="I15" s="40" t="n">
        <v>0.0585</v>
      </c>
      <c r="J15" s="39" t="n">
        <v>5671</v>
      </c>
    </row>
    <row r="16">
      <c r="B16" s="20" t="inlineStr">
        <is>
          <t>카페24</t>
        </is>
      </c>
      <c r="C16" s="20" t="inlineStr">
        <is>
          <t>쇼핑백</t>
        </is>
      </c>
      <c r="D16" s="20" t="inlineStr">
        <is>
          <t>유즈쇼핑백</t>
        </is>
      </c>
      <c r="E16" s="20" t="n"/>
      <c r="F16" s="20" t="n">
        <v>200622</v>
      </c>
      <c r="G16" s="42">
        <f>B16&amp;C16&amp;D16&amp;F16</f>
        <v/>
      </c>
      <c r="H16" s="20" t="n">
        <v>2000</v>
      </c>
      <c r="I16" s="40" t="n">
        <v>0.0585</v>
      </c>
      <c r="J16" s="39" t="n">
        <v>1210</v>
      </c>
    </row>
    <row r="17">
      <c r="B17" s="39" t="inlineStr">
        <is>
          <t>카페24</t>
        </is>
      </c>
      <c r="C17" s="39" t="inlineStr">
        <is>
          <t>고체향수</t>
        </is>
      </c>
      <c r="D17" s="39" t="inlineStr">
        <is>
          <t>이그나이트 2set</t>
        </is>
      </c>
      <c r="E17" s="39" t="n"/>
      <c r="F17" s="39" t="n">
        <v>200622</v>
      </c>
      <c r="G17" s="42">
        <f>B17&amp;C17&amp;D17&amp;F17</f>
        <v/>
      </c>
      <c r="H17" s="39" t="n">
        <v>58800</v>
      </c>
      <c r="I17" s="40" t="n">
        <v>0.0585</v>
      </c>
      <c r="J17" s="39" t="n">
        <v>5776</v>
      </c>
      <c r="K17" s="39" t="inlineStr">
        <is>
          <t>7/20 부터 판매</t>
        </is>
      </c>
    </row>
    <row r="18" ht="16.8" customHeight="1" s="47" thickBot="1">
      <c r="B18" s="39" t="inlineStr">
        <is>
          <t>카페24</t>
        </is>
      </c>
      <c r="C18" s="39" t="inlineStr">
        <is>
          <t>고체향수</t>
        </is>
      </c>
      <c r="D18" s="39" t="inlineStr">
        <is>
          <t>스테이포에버 2set</t>
        </is>
      </c>
      <c r="E18" s="39" t="n"/>
      <c r="F18" s="39" t="n">
        <v>200622</v>
      </c>
      <c r="G18" s="42">
        <f>B18&amp;C18&amp;D18&amp;F18</f>
        <v/>
      </c>
      <c r="H18" s="39" t="n">
        <v>58800</v>
      </c>
      <c r="I18" s="40" t="n">
        <v>0.0585</v>
      </c>
      <c r="J18" s="39" t="n">
        <v>5566</v>
      </c>
      <c r="K18" s="39" t="inlineStr">
        <is>
          <t>7/20 부터 판매</t>
        </is>
      </c>
    </row>
    <row r="19" ht="16.8" customHeight="1" s="47" thickTop="1">
      <c r="B19" s="24" t="inlineStr">
        <is>
          <t>카페24</t>
        </is>
      </c>
      <c r="C19" s="24" t="inlineStr">
        <is>
          <t>고체향수</t>
        </is>
      </c>
      <c r="D19" s="24" t="inlineStr">
        <is>
          <t>이그나이트</t>
        </is>
      </c>
      <c r="E19" s="24" t="n"/>
      <c r="F19" s="24" t="n">
        <v>200720</v>
      </c>
      <c r="G19" s="41">
        <f>B19&amp;C19&amp;D19&amp;F19</f>
        <v/>
      </c>
      <c r="H19" s="24" t="n">
        <v>34000</v>
      </c>
      <c r="I19" s="26" t="n">
        <v>0.0585</v>
      </c>
      <c r="J19" s="25" t="n">
        <v>2888</v>
      </c>
      <c r="K19" s="25" t="n"/>
    </row>
    <row r="20">
      <c r="B20" s="20" t="inlineStr">
        <is>
          <t>카페24</t>
        </is>
      </c>
      <c r="C20" s="20" t="inlineStr">
        <is>
          <t>고체향수</t>
        </is>
      </c>
      <c r="D20" s="20" t="inlineStr">
        <is>
          <t>스테이포에버</t>
        </is>
      </c>
      <c r="E20" s="20" t="n"/>
      <c r="F20" s="20" t="n">
        <v>200720</v>
      </c>
      <c r="G20" s="42">
        <f>B20&amp;C20&amp;D20&amp;F20</f>
        <v/>
      </c>
      <c r="H20" s="20" t="n">
        <v>34000</v>
      </c>
      <c r="I20" s="40" t="n">
        <v>0.0585</v>
      </c>
      <c r="J20" s="39" t="n">
        <v>2783</v>
      </c>
      <c r="K20" s="39" t="n"/>
    </row>
    <row r="21">
      <c r="B21" s="20" t="inlineStr">
        <is>
          <t>카페24</t>
        </is>
      </c>
      <c r="C21" s="20" t="inlineStr">
        <is>
          <t>고체향수</t>
        </is>
      </c>
      <c r="D21" s="20" t="inlineStr">
        <is>
          <t>이그나이트 + 스테이포에버</t>
        </is>
      </c>
      <c r="E21" s="20" t="n"/>
      <c r="F21" s="20" t="n">
        <v>200720</v>
      </c>
      <c r="G21" s="42">
        <f>B21&amp;C21&amp;D21&amp;F21</f>
        <v/>
      </c>
      <c r="H21" s="20" t="n">
        <v>58800</v>
      </c>
      <c r="I21" s="40" t="n">
        <v>0.0585</v>
      </c>
      <c r="J21" s="39" t="n">
        <v>5671</v>
      </c>
      <c r="K21" s="39" t="n"/>
    </row>
    <row r="22">
      <c r="B22" s="20" t="inlineStr">
        <is>
          <t>카페24</t>
        </is>
      </c>
      <c r="C22" s="20" t="inlineStr">
        <is>
          <t>고체향수</t>
        </is>
      </c>
      <c r="D22" s="20" t="inlineStr">
        <is>
          <t>이그나이트 + 스테이포에버 2set</t>
        </is>
      </c>
      <c r="E22" s="20" t="n"/>
      <c r="F22" s="20" t="n">
        <v>200720</v>
      </c>
      <c r="G22" s="42">
        <f>B22&amp;C22&amp;D22&amp;F22</f>
        <v/>
      </c>
      <c r="H22" s="20" t="n">
        <v>94800</v>
      </c>
      <c r="I22" s="40" t="n">
        <v>0.0585</v>
      </c>
      <c r="J22" s="39">
        <f>J21*2</f>
        <v/>
      </c>
      <c r="K22" s="39" t="n"/>
    </row>
    <row r="23">
      <c r="B23" s="20" t="inlineStr">
        <is>
          <t>카페24</t>
        </is>
      </c>
      <c r="C23" s="20" t="inlineStr">
        <is>
          <t>쇼핑백</t>
        </is>
      </c>
      <c r="D23" s="20" t="inlineStr">
        <is>
          <t>유즈쇼핑백</t>
        </is>
      </c>
      <c r="E23" s="20" t="n"/>
      <c r="F23" s="20" t="n">
        <v>200720</v>
      </c>
      <c r="G23" s="42">
        <f>B23&amp;C23&amp;D23&amp;F23</f>
        <v/>
      </c>
      <c r="H23" s="20" t="n">
        <v>2000</v>
      </c>
      <c r="I23" s="40" t="n">
        <v>0.0585</v>
      </c>
      <c r="J23" s="39" t="n">
        <v>1210</v>
      </c>
      <c r="K23" s="39" t="n"/>
    </row>
    <row r="24">
      <c r="B24" s="39" t="inlineStr">
        <is>
          <t>카페24</t>
        </is>
      </c>
      <c r="C24" s="39" t="inlineStr">
        <is>
          <t>고체향수</t>
        </is>
      </c>
      <c r="D24" s="39" t="inlineStr">
        <is>
          <t>이그나이트 2set</t>
        </is>
      </c>
      <c r="E24" s="39" t="n"/>
      <c r="F24" s="39" t="n">
        <v>200720</v>
      </c>
      <c r="G24" s="42">
        <f>B24&amp;C24&amp;D24&amp;F24</f>
        <v/>
      </c>
      <c r="H24" s="39" t="n">
        <v>58800</v>
      </c>
      <c r="I24" s="40" t="n">
        <v>0.0585</v>
      </c>
      <c r="J24" s="39" t="n">
        <v>5776</v>
      </c>
      <c r="K24" s="39" t="inlineStr">
        <is>
          <t>7/20 부터 판매</t>
        </is>
      </c>
    </row>
    <row r="25">
      <c r="B25" s="39" t="inlineStr">
        <is>
          <t>카페24</t>
        </is>
      </c>
      <c r="C25" s="39" t="inlineStr">
        <is>
          <t>고체향수</t>
        </is>
      </c>
      <c r="D25" s="39" t="inlineStr">
        <is>
          <t>스테이포에버 2set</t>
        </is>
      </c>
      <c r="E25" s="39" t="n"/>
      <c r="F25" s="39" t="n">
        <v>200720</v>
      </c>
      <c r="G25" s="42">
        <f>B25&amp;C25&amp;D25&amp;F25</f>
        <v/>
      </c>
      <c r="H25" s="39" t="n">
        <v>58800</v>
      </c>
      <c r="I25" s="40" t="n">
        <v>0.0585</v>
      </c>
      <c r="J25" s="39" t="n">
        <v>5566</v>
      </c>
      <c r="K25" s="39" t="inlineStr">
        <is>
          <t>7/20 부터 판매</t>
        </is>
      </c>
    </row>
    <row r="26">
      <c r="B26" s="39" t="inlineStr">
        <is>
          <t>카페24</t>
        </is>
      </c>
      <c r="C26" s="39" t="inlineStr">
        <is>
          <t>고체향수</t>
        </is>
      </c>
      <c r="D26" s="39" t="inlineStr">
        <is>
          <t>유즈 솔리드퍼퓸 - 30ml (스테이포에버 주문 시 12/14 부터 순차배송)향=스테이포에버, 세트 선택=1 개</t>
        </is>
      </c>
      <c r="E26" s="39" t="inlineStr">
        <is>
          <t>스테이포에버</t>
        </is>
      </c>
      <c r="F26" s="39" t="n">
        <v>201210</v>
      </c>
      <c r="G26" s="42">
        <f>B26&amp;C26&amp;D26&amp;F26</f>
        <v/>
      </c>
      <c r="H26" s="39" t="n">
        <v>38000</v>
      </c>
      <c r="I26" s="40" t="n">
        <v>0.0585</v>
      </c>
      <c r="J26" s="39" t="n">
        <v>2783</v>
      </c>
      <c r="K26" s="39" t="n"/>
    </row>
    <row r="27">
      <c r="B27" s="39" t="inlineStr">
        <is>
          <t>카페24</t>
        </is>
      </c>
      <c r="C27" s="39" t="inlineStr">
        <is>
          <t>고체향수</t>
        </is>
      </c>
      <c r="D27" s="39" t="inlineStr">
        <is>
          <t>유즈 솔리드퍼퓸 - 30ml (스테이포에버 주문 시 12/14 부터 순차배송)향=스테이포에버, 세트 선택=2개 (28% off)</t>
        </is>
      </c>
      <c r="E27" s="39" t="inlineStr">
        <is>
          <t>스테이포에버 2set</t>
        </is>
      </c>
      <c r="F27" s="39" t="n">
        <v>201210</v>
      </c>
      <c r="G27" s="42">
        <f>B27&amp;C27&amp;D27&amp;F27</f>
        <v/>
      </c>
      <c r="H27" s="39" t="n">
        <v>58800</v>
      </c>
      <c r="I27" s="40" t="n">
        <v>0.0585</v>
      </c>
      <c r="J27" s="39" t="n">
        <v>5566</v>
      </c>
      <c r="K27" s="39" t="n"/>
    </row>
    <row r="28">
      <c r="B28" s="39" t="inlineStr">
        <is>
          <t>카페24</t>
        </is>
      </c>
      <c r="C28" s="39" t="inlineStr">
        <is>
          <t>고체향수</t>
        </is>
      </c>
      <c r="D28" s="39" t="inlineStr">
        <is>
          <t>유즈 솔리드퍼퓸 - 30ml (스테이포에버 주문 시 12/14 부터 순차배송)향=이그나이트 + 스테이포에버, 세트 선택=1 SET</t>
        </is>
      </c>
      <c r="E28" s="39" t="inlineStr">
        <is>
          <t>이그나이트 + 스테이포에버</t>
        </is>
      </c>
      <c r="F28" s="39" t="n">
        <v>201210</v>
      </c>
      <c r="G28" s="42">
        <f>B28&amp;C28&amp;D28&amp;F28</f>
        <v/>
      </c>
      <c r="H28" s="39" t="n">
        <v>69000</v>
      </c>
      <c r="I28" s="40" t="n">
        <v>0.0585</v>
      </c>
      <c r="J28" s="39" t="n">
        <v>5671</v>
      </c>
      <c r="K28" s="39" t="n"/>
    </row>
    <row r="29">
      <c r="B29" s="39" t="inlineStr">
        <is>
          <t>카페24</t>
        </is>
      </c>
      <c r="C29" s="39" t="inlineStr">
        <is>
          <t>고체향수</t>
        </is>
      </c>
      <c r="D29" s="39" t="inlineStr">
        <is>
          <t>유즈 솔리드퍼퓸 - 30ml (스테이포에버 주문 시 12/14 부터 순차배송)향=이그나이트, 세트 선택=1 개</t>
        </is>
      </c>
      <c r="E29" s="39" t="inlineStr">
        <is>
          <t>이그나이트</t>
        </is>
      </c>
      <c r="F29" s="39" t="n">
        <v>201210</v>
      </c>
      <c r="G29" s="42">
        <f>B29&amp;C29&amp;D29&amp;F29</f>
        <v/>
      </c>
      <c r="H29" s="39" t="n">
        <v>38000</v>
      </c>
      <c r="I29" s="40" t="n">
        <v>0.0585</v>
      </c>
      <c r="J29" s="39" t="n">
        <v>2888</v>
      </c>
      <c r="K29" s="39" t="n"/>
    </row>
    <row r="30">
      <c r="B30" s="39" t="inlineStr">
        <is>
          <t>카페24</t>
        </is>
      </c>
      <c r="C30" s="39" t="inlineStr">
        <is>
          <t>고체향수</t>
        </is>
      </c>
      <c r="D30" s="39" t="inlineStr">
        <is>
          <t>유즈 솔리드퍼퓸 - 30ml (스테이포에버 주문 시 12/14 순차배송)향=스테이포에버, 세트 선택=1 개</t>
        </is>
      </c>
      <c r="E30" s="39" t="inlineStr">
        <is>
          <t>스테이포에버</t>
        </is>
      </c>
      <c r="F30" s="39" t="n">
        <v>201210</v>
      </c>
      <c r="G30" s="42">
        <f>B30&amp;C30&amp;D30&amp;F30</f>
        <v/>
      </c>
      <c r="H30" s="39" t="n">
        <v>38000</v>
      </c>
      <c r="I30" s="40" t="n">
        <v>0.0585</v>
      </c>
      <c r="J30" s="39" t="n">
        <v>2783</v>
      </c>
      <c r="K30" s="39" t="n"/>
    </row>
    <row r="31">
      <c r="B31" s="39" t="inlineStr">
        <is>
          <t>카페24</t>
        </is>
      </c>
      <c r="C31" s="39" t="inlineStr">
        <is>
          <t>고체향수</t>
        </is>
      </c>
      <c r="D31" s="39" t="inlineStr">
        <is>
          <t>유즈 솔리드퍼퓸 - 30ml (스테이포에버 주문 시 12/14 순차배송)향=스테이포에버, 세트 선택=2개 (28% off)</t>
        </is>
      </c>
      <c r="E31" s="39" t="inlineStr">
        <is>
          <t>스테이포에버 2set</t>
        </is>
      </c>
      <c r="F31" s="39" t="n">
        <v>201210</v>
      </c>
      <c r="G31" s="42">
        <f>B31&amp;C31&amp;D31&amp;F31</f>
        <v/>
      </c>
      <c r="H31" s="39" t="n">
        <v>58800</v>
      </c>
      <c r="I31" s="40" t="n">
        <v>0.0585</v>
      </c>
      <c r="J31" s="39" t="n">
        <v>5566</v>
      </c>
      <c r="K31" s="39" t="n"/>
    </row>
    <row r="32">
      <c r="B32" s="39" t="inlineStr">
        <is>
          <t>카페24</t>
        </is>
      </c>
      <c r="C32" s="39" t="inlineStr">
        <is>
          <t>고체향수</t>
        </is>
      </c>
      <c r="D32" s="39" t="inlineStr">
        <is>
          <t>유즈 솔리드퍼퓸 - 30ml (스테이포에버 주문 시 12/14 순차배송)향=이그나이트 + 스테이포에버, 세트 선택=1 SET</t>
        </is>
      </c>
      <c r="E32" s="39" t="inlineStr">
        <is>
          <t>이그나이트 + 스테이포에버</t>
        </is>
      </c>
      <c r="F32" s="39" t="n">
        <v>201210</v>
      </c>
      <c r="G32" s="42">
        <f>B32&amp;C32&amp;D32&amp;F32</f>
        <v/>
      </c>
      <c r="H32" s="39" t="n">
        <v>69000</v>
      </c>
      <c r="I32" s="40" t="n">
        <v>0.0585</v>
      </c>
      <c r="J32" s="39" t="n">
        <v>5671</v>
      </c>
      <c r="K32" s="39" t="n"/>
    </row>
    <row r="33">
      <c r="B33" s="39" t="inlineStr">
        <is>
          <t>카페24</t>
        </is>
      </c>
      <c r="C33" s="39" t="inlineStr">
        <is>
          <t>고체향수</t>
        </is>
      </c>
      <c r="D33" s="39" t="inlineStr">
        <is>
          <t>유즈 솔리드퍼퓸 - 30ml (스테이포에버 주문 시 12/14 순차배송)향=이그나이트 + 스테이포에버, 세트 선택=2 SET (42% off)</t>
        </is>
      </c>
      <c r="E33" s="39" t="inlineStr">
        <is>
          <t>이그나이트 + 스테이포에버 2set</t>
        </is>
      </c>
      <c r="F33" s="39" t="n">
        <v>201210</v>
      </c>
      <c r="G33" s="42">
        <f>B33&amp;C33&amp;D33&amp;F33</f>
        <v/>
      </c>
      <c r="H33" s="39" t="n">
        <v>94800</v>
      </c>
      <c r="I33" s="40" t="n">
        <v>0.0585</v>
      </c>
      <c r="J33" s="39" t="n">
        <v>11342</v>
      </c>
      <c r="K33" s="39" t="n"/>
    </row>
    <row r="34">
      <c r="B34" s="39" t="inlineStr">
        <is>
          <t>카페24</t>
        </is>
      </c>
      <c r="C34" s="39" t="inlineStr">
        <is>
          <t>고체향수</t>
        </is>
      </c>
      <c r="D34" s="39" t="inlineStr">
        <is>
          <t>유즈 솔리드퍼퓸 - 30ml (스테이포에버 주문 시 12/14 순차배송)향=이그나이트, 세트 선택=1 개</t>
        </is>
      </c>
      <c r="E34" s="39" t="inlineStr">
        <is>
          <t>이그나이트</t>
        </is>
      </c>
      <c r="F34" s="39" t="n">
        <v>201210</v>
      </c>
      <c r="G34" s="42">
        <f>B34&amp;C34&amp;D34&amp;F34</f>
        <v/>
      </c>
      <c r="H34" s="39" t="n">
        <v>38000</v>
      </c>
      <c r="I34" s="40" t="n">
        <v>0.0585</v>
      </c>
      <c r="J34" s="39" t="n">
        <v>2888</v>
      </c>
      <c r="K34" s="39" t="n"/>
    </row>
    <row r="35">
      <c r="B35" s="39" t="inlineStr">
        <is>
          <t>카페24</t>
        </is>
      </c>
      <c r="C35" s="39" t="inlineStr">
        <is>
          <t>고체향수</t>
        </is>
      </c>
      <c r="D35" s="39" t="inlineStr">
        <is>
          <t>유즈 솔리드퍼퓸 - 30ml (스테이포에버 주문 시 12/15 순차배송)향=스테이포에버, 세트 선택=1 개</t>
        </is>
      </c>
      <c r="E35" s="39" t="inlineStr">
        <is>
          <t>스테이포에버</t>
        </is>
      </c>
      <c r="F35" s="39" t="n">
        <v>201210</v>
      </c>
      <c r="G35" s="42">
        <f>B35&amp;C35&amp;D35&amp;F35</f>
        <v/>
      </c>
      <c r="H35" s="39" t="n">
        <v>38000</v>
      </c>
      <c r="I35" s="40" t="n">
        <v>0.0585</v>
      </c>
      <c r="J35" s="39" t="n">
        <v>2783</v>
      </c>
      <c r="K35" s="39" t="n"/>
    </row>
    <row r="36">
      <c r="B36" s="39" t="inlineStr">
        <is>
          <t>카페24</t>
        </is>
      </c>
      <c r="C36" s="39" t="inlineStr">
        <is>
          <t>고체향수</t>
        </is>
      </c>
      <c r="D36" s="39" t="inlineStr">
        <is>
          <t>유즈 솔리드퍼퓸 - 30ml (스테이포에버 주문 시 12/15 순차배송)향=스테이포에버, 세트 선택=2개 (28% off)</t>
        </is>
      </c>
      <c r="E36" s="39" t="inlineStr">
        <is>
          <t>스테이포에버 2set</t>
        </is>
      </c>
      <c r="F36" s="39" t="n">
        <v>201210</v>
      </c>
      <c r="G36" s="42">
        <f>B36&amp;C36&amp;D36&amp;F36</f>
        <v/>
      </c>
      <c r="H36" s="39" t="n">
        <v>58800</v>
      </c>
      <c r="I36" s="40" t="n">
        <v>0.0585</v>
      </c>
      <c r="J36" s="39" t="n">
        <v>5566</v>
      </c>
      <c r="K36" s="39" t="n"/>
    </row>
    <row r="37">
      <c r="B37" s="39" t="inlineStr">
        <is>
          <t>카페24</t>
        </is>
      </c>
      <c r="C37" s="39" t="inlineStr">
        <is>
          <t>고체향수</t>
        </is>
      </c>
      <c r="D37" s="39" t="inlineStr">
        <is>
          <t>유즈 솔리드퍼퓸 - 30ml (스테이포에버 주문 시 12/15 순차배송)향=이그나이트 + 스테이포에버, 세트 선택=1 SET</t>
        </is>
      </c>
      <c r="E37" s="39" t="inlineStr">
        <is>
          <t>이그나이트 + 스테이포에버</t>
        </is>
      </c>
      <c r="F37" s="39" t="n">
        <v>201210</v>
      </c>
      <c r="G37" s="42">
        <f>B37&amp;C37&amp;D37&amp;F37</f>
        <v/>
      </c>
      <c r="H37" s="39" t="n">
        <v>69000</v>
      </c>
      <c r="I37" s="40" t="n">
        <v>0.0585</v>
      </c>
      <c r="J37" s="39" t="n">
        <v>5671</v>
      </c>
      <c r="K37" s="39" t="n"/>
    </row>
    <row r="38">
      <c r="B38" s="39" t="inlineStr">
        <is>
          <t>카페24</t>
        </is>
      </c>
      <c r="C38" s="39" t="inlineStr">
        <is>
          <t>고체향수</t>
        </is>
      </c>
      <c r="D38" s="39" t="inlineStr">
        <is>
          <t>유즈 솔리드퍼퓸 - 30ml (스테이포에버 주문 시 12/15 순차배송)향=이그나이트 + 스테이포에버, 세트 선택=2 SET (42% off)</t>
        </is>
      </c>
      <c r="E38" s="39" t="inlineStr">
        <is>
          <t>스테이포에버 2set</t>
        </is>
      </c>
      <c r="F38" s="39" t="n">
        <v>201210</v>
      </c>
      <c r="G38" s="42">
        <f>B38&amp;C38&amp;D38&amp;F38</f>
        <v/>
      </c>
      <c r="H38" s="39" t="n">
        <v>58800</v>
      </c>
      <c r="I38" s="40" t="n">
        <v>0.0585</v>
      </c>
      <c r="J38" s="39" t="n">
        <v>5566</v>
      </c>
      <c r="K38" s="39" t="n"/>
    </row>
    <row r="39">
      <c r="B39" s="39" t="inlineStr">
        <is>
          <t>카페24</t>
        </is>
      </c>
      <c r="C39" s="39" t="inlineStr">
        <is>
          <t>고체향수</t>
        </is>
      </c>
      <c r="D39" s="39" t="inlineStr">
        <is>
          <t>유즈 솔리드퍼퓸 - 30ml (스테이포에버 주문 시 12/15 순차배송)향=이그나이트, 세트 선택=1 개</t>
        </is>
      </c>
      <c r="E39" s="39" t="inlineStr">
        <is>
          <t>이그나이트</t>
        </is>
      </c>
      <c r="F39" s="39" t="n">
        <v>201210</v>
      </c>
      <c r="G39" s="42">
        <f>B39&amp;C39&amp;D39&amp;F39</f>
        <v/>
      </c>
      <c r="H39" s="39" t="n">
        <v>38000</v>
      </c>
      <c r="I39" s="40" t="n">
        <v>0.0585</v>
      </c>
      <c r="J39" s="39" t="n">
        <v>2888</v>
      </c>
      <c r="K39" s="39" t="n"/>
    </row>
    <row r="40">
      <c r="B40" s="39" t="inlineStr">
        <is>
          <t>카페24</t>
        </is>
      </c>
      <c r="C40" s="39" t="inlineStr">
        <is>
          <t>고체향수</t>
        </is>
      </c>
      <c r="D40" s="39" t="inlineStr">
        <is>
          <t>유즈 솔리드퍼퓸 - 30ml (스테이포에버 주문 시 12/4 부터 순차배송)향=스테이포에버, 세트 선택=1 개</t>
        </is>
      </c>
      <c r="E40" s="39" t="inlineStr">
        <is>
          <t>스테이포에버</t>
        </is>
      </c>
      <c r="F40" s="39" t="n">
        <v>201210</v>
      </c>
      <c r="G40" s="42">
        <f>B40&amp;C40&amp;D40&amp;F40</f>
        <v/>
      </c>
      <c r="H40" s="39" t="n">
        <v>38000</v>
      </c>
      <c r="I40" s="40" t="n">
        <v>0.0585</v>
      </c>
      <c r="J40" s="39" t="n">
        <v>2783</v>
      </c>
      <c r="K40" s="39" t="n"/>
    </row>
    <row r="41">
      <c r="B41" s="39" t="inlineStr">
        <is>
          <t>카페24</t>
        </is>
      </c>
      <c r="C41" s="39" t="inlineStr">
        <is>
          <t>고체향수</t>
        </is>
      </c>
      <c r="D41" s="39" t="inlineStr">
        <is>
          <t>유즈 솔리드퍼퓸 - 30ml (스테이포에버 주문 시 12/4 부터 순차배송)향=이그나이트 + 스테이포에버, 세트 선택=1 SET</t>
        </is>
      </c>
      <c r="E41" s="39" t="inlineStr">
        <is>
          <t>이그나이트 + 스테이포에버</t>
        </is>
      </c>
      <c r="F41" s="39" t="n">
        <v>201210</v>
      </c>
      <c r="G41" s="42">
        <f>B41&amp;C41&amp;D41&amp;F41</f>
        <v/>
      </c>
      <c r="H41" s="39" t="n">
        <v>69000</v>
      </c>
      <c r="I41" s="40" t="n">
        <v>0.0585</v>
      </c>
      <c r="J41" s="39" t="n">
        <v>5671</v>
      </c>
      <c r="K41" s="39" t="n"/>
    </row>
    <row r="42">
      <c r="B42" s="39" t="inlineStr">
        <is>
          <t>카페24</t>
        </is>
      </c>
      <c r="C42" s="39" t="inlineStr">
        <is>
          <t>쇼핑백</t>
        </is>
      </c>
      <c r="D42" s="39" t="inlineStr">
        <is>
          <t>유즈 스테이포에버 솔리드퍼퓸 002 (12/14 부터 순차배송)쇼핑백=선물용 쇼핑백</t>
        </is>
      </c>
      <c r="E42" s="39" t="inlineStr">
        <is>
          <t>쇼핑백</t>
        </is>
      </c>
      <c r="F42" s="39" t="n">
        <v>201210</v>
      </c>
      <c r="G42" s="42">
        <f>B42&amp;C42&amp;D42&amp;F42</f>
        <v/>
      </c>
      <c r="H42" s="39" t="n">
        <v>2000</v>
      </c>
      <c r="I42" s="40" t="n">
        <v>0.0585</v>
      </c>
      <c r="J42" s="39" t="n">
        <v>1210</v>
      </c>
      <c r="K42" s="39" t="n"/>
    </row>
    <row r="43">
      <c r="B43" s="39" t="inlineStr">
        <is>
          <t>카페24</t>
        </is>
      </c>
      <c r="C43" s="39" t="inlineStr">
        <is>
          <t>고체향수</t>
        </is>
      </c>
      <c r="D43" s="39" t="inlineStr">
        <is>
          <t>유즈 스테이포에버 솔리드퍼퓸 002 (12/14 부터 순차배송)제품선택=스테이포에버 + 이그나이트 세트</t>
        </is>
      </c>
      <c r="E43" s="39" t="inlineStr">
        <is>
          <t>이그나이트 + 스테이포에버</t>
        </is>
      </c>
      <c r="F43" s="39" t="n">
        <v>201210</v>
      </c>
      <c r="G43" s="42">
        <f>B43&amp;C43&amp;D43&amp;F43</f>
        <v/>
      </c>
      <c r="H43" s="39" t="n">
        <v>69000</v>
      </c>
      <c r="I43" s="40" t="n">
        <v>0.0585</v>
      </c>
      <c r="J43" s="39" t="n">
        <v>5671</v>
      </c>
      <c r="K43" s="39" t="n"/>
    </row>
    <row r="44">
      <c r="B44" s="39" t="inlineStr">
        <is>
          <t>카페24</t>
        </is>
      </c>
      <c r="C44" s="39" t="inlineStr">
        <is>
          <t>고체향수</t>
        </is>
      </c>
      <c r="D44" s="39" t="inlineStr">
        <is>
          <t>유즈 스테이포에버 솔리드퍼퓸 002 (12/14 부터 순차배송)제품선택=스테이포에버 2개 세트[Pre-order 이벤트 28% 할인]</t>
        </is>
      </c>
      <c r="E44" s="39" t="inlineStr">
        <is>
          <t>스테이포에버 2set</t>
        </is>
      </c>
      <c r="F44" s="39" t="n">
        <v>201210</v>
      </c>
      <c r="G44" s="42">
        <f>B44&amp;C44&amp;D44&amp;F44</f>
        <v/>
      </c>
      <c r="H44" s="39" t="n">
        <v>58800</v>
      </c>
      <c r="I44" s="40" t="n">
        <v>0.0585</v>
      </c>
      <c r="J44" s="39" t="n">
        <v>5566</v>
      </c>
      <c r="K44" s="39" t="n"/>
    </row>
    <row r="45">
      <c r="B45" s="39" t="inlineStr">
        <is>
          <t>카페24</t>
        </is>
      </c>
      <c r="C45" s="39" t="inlineStr">
        <is>
          <t>고체향수</t>
        </is>
      </c>
      <c r="D45" s="39" t="inlineStr">
        <is>
          <t>유즈 스테이포에버 솔리드퍼퓸 002 (12/14 부터 순차배송)제품선택=스테이포에버 솔리드퍼퓸 002[Pre-order 이벤트 17% 할인]</t>
        </is>
      </c>
      <c r="E45" s="39" t="inlineStr">
        <is>
          <t>스테이포에버</t>
        </is>
      </c>
      <c r="F45" s="39" t="n">
        <v>201210</v>
      </c>
      <c r="G45" s="42">
        <f>B45&amp;C45&amp;D45&amp;F45</f>
        <v/>
      </c>
      <c r="H45" s="39" t="n">
        <v>38000</v>
      </c>
      <c r="I45" s="40" t="n">
        <v>0.0585</v>
      </c>
      <c r="J45" s="39" t="n">
        <v>2783</v>
      </c>
      <c r="K45" s="39" t="n"/>
    </row>
    <row r="46">
      <c r="B46" s="39" t="inlineStr">
        <is>
          <t>카페24</t>
        </is>
      </c>
      <c r="C46" s="39" t="inlineStr">
        <is>
          <t>쇼핑백</t>
        </is>
      </c>
      <c r="D46" s="39" t="inlineStr">
        <is>
          <t>유즈 스테이포에버 솔리드퍼퓸 002 (12/14 순차배송)쇼핑백=선물용 쇼핑백</t>
        </is>
      </c>
      <c r="E46" s="39" t="inlineStr">
        <is>
          <t>쇼핑백</t>
        </is>
      </c>
      <c r="F46" s="39" t="n">
        <v>201210</v>
      </c>
      <c r="G46" s="42">
        <f>B46&amp;C46&amp;D46&amp;F46</f>
        <v/>
      </c>
      <c r="H46" s="39" t="n">
        <v>2000</v>
      </c>
      <c r="I46" s="40" t="n">
        <v>0.0585</v>
      </c>
      <c r="J46" s="39" t="n">
        <v>1210</v>
      </c>
      <c r="K46" s="39" t="n"/>
    </row>
    <row r="47">
      <c r="B47" s="39" t="inlineStr">
        <is>
          <t>카페24</t>
        </is>
      </c>
      <c r="C47" s="39" t="inlineStr">
        <is>
          <t>고체향수</t>
        </is>
      </c>
      <c r="D47" s="39" t="inlineStr">
        <is>
          <t>유즈 스테이포에버 솔리드퍼퓸 002 (12/14 순차배송)제품선택=스테이포에버 2개 세트[Pre-order 이벤트 28% 할인]</t>
        </is>
      </c>
      <c r="E47" s="39" t="inlineStr">
        <is>
          <t>스테이포에버 2set</t>
        </is>
      </c>
      <c r="F47" s="39" t="n">
        <v>201210</v>
      </c>
      <c r="G47" s="42">
        <f>B47&amp;C47&amp;D47&amp;F47</f>
        <v/>
      </c>
      <c r="H47" s="39" t="n">
        <v>58800</v>
      </c>
      <c r="I47" s="40" t="n">
        <v>0.0585</v>
      </c>
      <c r="J47" s="39" t="n">
        <v>5566</v>
      </c>
      <c r="K47" s="39" t="n"/>
    </row>
    <row r="48">
      <c r="B48" s="39" t="inlineStr">
        <is>
          <t>카페24</t>
        </is>
      </c>
      <c r="C48" s="39" t="inlineStr">
        <is>
          <t>고체향수</t>
        </is>
      </c>
      <c r="D48" s="39" t="inlineStr">
        <is>
          <t>유즈 스테이포에버 솔리드퍼퓸 002 (12/14 순차배송)제품선택=스테이포에버 솔리드퍼퓸 002[Pre-order 이벤트 17% 할인]</t>
        </is>
      </c>
      <c r="E48" s="39" t="inlineStr">
        <is>
          <t>스테이포에버</t>
        </is>
      </c>
      <c r="F48" s="39" t="n">
        <v>201210</v>
      </c>
      <c r="G48" s="42">
        <f>B48&amp;C48&amp;D48&amp;F48</f>
        <v/>
      </c>
      <c r="H48" s="39" t="n">
        <v>38000</v>
      </c>
      <c r="I48" s="40" t="n">
        <v>0.0585</v>
      </c>
      <c r="J48" s="39" t="n">
        <v>2783</v>
      </c>
      <c r="K48" s="39" t="n"/>
    </row>
    <row r="49">
      <c r="B49" s="39" t="inlineStr">
        <is>
          <t>카페24</t>
        </is>
      </c>
      <c r="C49" s="39" t="inlineStr">
        <is>
          <t>고체향수</t>
        </is>
      </c>
      <c r="D49" s="39" t="inlineStr">
        <is>
          <t>유즈 스테이포에버 솔리드퍼퓸 002 (12/14 입고 이후 순차배송)제품선택=스테이포에버 솔리드퍼퓸 002[Pre-order 이벤트 17% 할인]</t>
        </is>
      </c>
      <c r="E49" s="39" t="inlineStr">
        <is>
          <t>스테이포에버</t>
        </is>
      </c>
      <c r="F49" s="39" t="n">
        <v>201210</v>
      </c>
      <c r="G49" s="42">
        <f>B49&amp;C49&amp;D49&amp;F49</f>
        <v/>
      </c>
      <c r="H49" s="39" t="n">
        <v>38000</v>
      </c>
      <c r="I49" s="40" t="n">
        <v>0.0585</v>
      </c>
      <c r="J49" s="39" t="n">
        <v>2783</v>
      </c>
      <c r="K49" s="39" t="n"/>
    </row>
    <row r="50">
      <c r="B50" s="39" t="inlineStr">
        <is>
          <t>카페24</t>
        </is>
      </c>
      <c r="C50" s="39" t="inlineStr">
        <is>
          <t>쇼핑백</t>
        </is>
      </c>
      <c r="D50" s="39" t="inlineStr">
        <is>
          <t>유즈 스테이포에버 솔리드퍼퓸 002 (12/4 부터 순차배송)쇼핑백=선물용 쇼핑백</t>
        </is>
      </c>
      <c r="E50" s="39" t="inlineStr">
        <is>
          <t>쇼핑백</t>
        </is>
      </c>
      <c r="F50" s="39" t="n">
        <v>201210</v>
      </c>
      <c r="G50" s="42">
        <f>B50&amp;C50&amp;D50&amp;F50</f>
        <v/>
      </c>
      <c r="H50" s="39" t="n">
        <v>2000</v>
      </c>
      <c r="I50" s="40" t="n">
        <v>0.0585</v>
      </c>
      <c r="J50" s="39" t="n">
        <v>1210</v>
      </c>
      <c r="K50" s="39" t="n"/>
    </row>
    <row r="51">
      <c r="B51" s="39" t="inlineStr">
        <is>
          <t>카페24</t>
        </is>
      </c>
      <c r="C51" s="39" t="inlineStr">
        <is>
          <t>고체향수</t>
        </is>
      </c>
      <c r="D51" s="39" t="inlineStr">
        <is>
          <t>유즈 스테이포에버 솔리드퍼퓸 002 (12/4 부터 순차배송)제품선택=스테이포에버 + 이그나이트 세트</t>
        </is>
      </c>
      <c r="E51" s="39" t="inlineStr">
        <is>
          <t>이그나이트 + 스테이포에버</t>
        </is>
      </c>
      <c r="F51" s="39" t="n">
        <v>201210</v>
      </c>
      <c r="G51" s="42">
        <f>B51&amp;C51&amp;D51&amp;F51</f>
        <v/>
      </c>
      <c r="H51" s="39" t="n">
        <v>69000</v>
      </c>
      <c r="I51" s="40" t="n">
        <v>0.0585</v>
      </c>
      <c r="J51" s="39" t="n">
        <v>5671</v>
      </c>
      <c r="K51" s="39" t="n"/>
    </row>
    <row r="52">
      <c r="B52" s="39" t="inlineStr">
        <is>
          <t>카페24</t>
        </is>
      </c>
      <c r="C52" s="39" t="inlineStr">
        <is>
          <t>고체향수</t>
        </is>
      </c>
      <c r="D52" s="39" t="inlineStr">
        <is>
          <t>유즈 스테이포에버 솔리드퍼퓸 002 (12/4 부터 순차배송)제품선택=스테이포에버 2개 세트[Pre-order 이벤트 28% 할인]</t>
        </is>
      </c>
      <c r="E52" s="39" t="inlineStr">
        <is>
          <t>스테이포에버 2set</t>
        </is>
      </c>
      <c r="F52" s="39" t="n">
        <v>201210</v>
      </c>
      <c r="G52" s="42">
        <f>B52&amp;C52&amp;D52&amp;F52</f>
        <v/>
      </c>
      <c r="H52" s="39" t="n">
        <v>58800</v>
      </c>
      <c r="I52" s="40" t="n">
        <v>0.0585</v>
      </c>
      <c r="J52" s="39" t="n">
        <v>5566</v>
      </c>
      <c r="K52" s="39" t="n"/>
    </row>
    <row r="53">
      <c r="B53" s="39" t="inlineStr">
        <is>
          <t>카페24</t>
        </is>
      </c>
      <c r="C53" s="39" t="inlineStr">
        <is>
          <t>고체향수</t>
        </is>
      </c>
      <c r="D53" s="39" t="inlineStr">
        <is>
          <t>유즈 스테이포에버 솔리드퍼퓸 002 (12/4 부터 순차배송)제품선택=스테이포에버 솔리드퍼퓸 002[Pre-order 이벤트 17% 할인]</t>
        </is>
      </c>
      <c r="E53" s="39" t="inlineStr">
        <is>
          <t>스테이포에버</t>
        </is>
      </c>
      <c r="F53" s="39" t="n">
        <v>201210</v>
      </c>
      <c r="G53" s="42">
        <f>B53&amp;C53&amp;D53&amp;F53</f>
        <v/>
      </c>
      <c r="H53" s="39" t="n">
        <v>38000</v>
      </c>
      <c r="I53" s="40" t="n">
        <v>0.0585</v>
      </c>
      <c r="J53" s="39" t="n">
        <v>2783</v>
      </c>
      <c r="K53" s="39" t="n"/>
    </row>
    <row r="54">
      <c r="B54" s="39" t="inlineStr">
        <is>
          <t>카페24</t>
        </is>
      </c>
      <c r="C54" s="39" t="inlineStr">
        <is>
          <t>쇼핑백</t>
        </is>
      </c>
      <c r="D54" s="39" t="inlineStr">
        <is>
          <t>유즈 스테이포에버 솔리드퍼퓸 002 (스테이포에버 주문시 12/14 순차배송)쇼핑백=선물용 쇼핑백</t>
        </is>
      </c>
      <c r="E54" s="39" t="inlineStr">
        <is>
          <t>쇼핑백</t>
        </is>
      </c>
      <c r="F54" s="39" t="n">
        <v>201210</v>
      </c>
      <c r="G54" s="42">
        <f>B54&amp;C54&amp;D54&amp;F54</f>
        <v/>
      </c>
      <c r="H54" s="39" t="n">
        <v>2000</v>
      </c>
      <c r="I54" s="40" t="n">
        <v>0.0585</v>
      </c>
      <c r="J54" s="39" t="n">
        <v>1210</v>
      </c>
      <c r="K54" s="39" t="n"/>
    </row>
    <row r="55">
      <c r="B55" s="39" t="inlineStr">
        <is>
          <t>카페24</t>
        </is>
      </c>
      <c r="C55" s="39" t="inlineStr">
        <is>
          <t>고체향수</t>
        </is>
      </c>
      <c r="D55" s="39" t="inlineStr">
        <is>
          <t>유즈 스테이포에버 솔리드퍼퓸 002 (스테이포에버 주문시 12/14 순차배송)제품선택=스테이포에버 + 이그나이트 세트</t>
        </is>
      </c>
      <c r="E55" s="39" t="inlineStr">
        <is>
          <t>이그나이트 + 스테이포에버</t>
        </is>
      </c>
      <c r="F55" s="39" t="n">
        <v>201210</v>
      </c>
      <c r="G55" s="42">
        <f>B55&amp;C55&amp;D55&amp;F55</f>
        <v/>
      </c>
      <c r="H55" s="39" t="n">
        <v>69000</v>
      </c>
      <c r="I55" s="40" t="n">
        <v>0.0585</v>
      </c>
      <c r="J55" s="39" t="n">
        <v>5671</v>
      </c>
      <c r="K55" s="39" t="n"/>
    </row>
    <row r="56">
      <c r="B56" s="39" t="inlineStr">
        <is>
          <t>카페24</t>
        </is>
      </c>
      <c r="C56" s="39" t="inlineStr">
        <is>
          <t>고체향수</t>
        </is>
      </c>
      <c r="D56" s="39" t="inlineStr">
        <is>
          <t>유즈 스테이포에버 솔리드퍼퓸 002 (스테이포에버 주문시 12/14 순차배송)제품선택=스테이포에버 2개 세트[Pre-order 이벤트 28% 할인]</t>
        </is>
      </c>
      <c r="E56" s="39" t="inlineStr">
        <is>
          <t>스테이포에버 2set</t>
        </is>
      </c>
      <c r="F56" s="39" t="n">
        <v>201210</v>
      </c>
      <c r="G56" s="42">
        <f>B56&amp;C56&amp;D56&amp;F56</f>
        <v/>
      </c>
      <c r="H56" s="39" t="n">
        <v>58800</v>
      </c>
      <c r="I56" s="40" t="n">
        <v>0.0585</v>
      </c>
      <c r="J56" s="39" t="n">
        <v>5566</v>
      </c>
      <c r="K56" s="39" t="n"/>
    </row>
    <row r="57">
      <c r="B57" s="39" t="inlineStr">
        <is>
          <t>카페24</t>
        </is>
      </c>
      <c r="C57" s="39" t="inlineStr">
        <is>
          <t>고체향수</t>
        </is>
      </c>
      <c r="D57" s="39" t="inlineStr">
        <is>
          <t>유즈 스테이포에버 솔리드퍼퓸 002 (스테이포에버 주문시 12/14 순차배송)제품선택=스테이포에버 솔리드퍼퓸 002[Pre-order 이벤트 17% 할인]</t>
        </is>
      </c>
      <c r="E57" s="39" t="inlineStr">
        <is>
          <t>스테이포에버</t>
        </is>
      </c>
      <c r="F57" s="39" t="n">
        <v>201210</v>
      </c>
      <c r="G57" s="42">
        <f>B57&amp;C57&amp;D57&amp;F57</f>
        <v/>
      </c>
      <c r="H57" s="39" t="n">
        <v>38000</v>
      </c>
      <c r="I57" s="40" t="n">
        <v>0.0585</v>
      </c>
      <c r="J57" s="39" t="n">
        <v>2783</v>
      </c>
      <c r="K57" s="39" t="n"/>
    </row>
    <row r="58">
      <c r="B58" s="39" t="inlineStr">
        <is>
          <t>카페24</t>
        </is>
      </c>
      <c r="C58" s="39" t="inlineStr">
        <is>
          <t>쇼핑백</t>
        </is>
      </c>
      <c r="D58" s="39" t="inlineStr">
        <is>
          <t>유즈 스테이포에버 솔리드퍼퓸 002 (스테이포에버 주문시 12/15 순차배송)쇼핑백=선물용 쇼핑백</t>
        </is>
      </c>
      <c r="E58" s="39" t="inlineStr">
        <is>
          <t>쇼핑백</t>
        </is>
      </c>
      <c r="F58" s="39" t="n">
        <v>201210</v>
      </c>
      <c r="G58" s="42">
        <f>B58&amp;C58&amp;D58&amp;F58</f>
        <v/>
      </c>
      <c r="H58" s="39" t="n">
        <v>2000</v>
      </c>
      <c r="I58" s="40" t="n">
        <v>0.0585</v>
      </c>
      <c r="J58" s="39" t="n">
        <v>1210</v>
      </c>
      <c r="K58" s="39" t="n"/>
    </row>
    <row r="59">
      <c r="B59" s="39" t="inlineStr">
        <is>
          <t>카페24</t>
        </is>
      </c>
      <c r="C59" s="39" t="inlineStr">
        <is>
          <t>고체향수</t>
        </is>
      </c>
      <c r="D59" s="39" t="inlineStr">
        <is>
          <t>유즈 스테이포에버 솔리드퍼퓸 002 (스테이포에버 주문시 12/15 순차배송)제품선택=스테이포에버 + 이그나이트 세트</t>
        </is>
      </c>
      <c r="E59" s="39" t="inlineStr">
        <is>
          <t>이그나이트 + 스테이포에버</t>
        </is>
      </c>
      <c r="F59" s="39" t="n">
        <v>201210</v>
      </c>
      <c r="G59" s="42">
        <f>B59&amp;C59&amp;D59&amp;F59</f>
        <v/>
      </c>
      <c r="H59" s="39" t="n">
        <v>69000</v>
      </c>
      <c r="I59" s="40" t="n">
        <v>0.0585</v>
      </c>
      <c r="J59" s="39" t="n">
        <v>5671</v>
      </c>
      <c r="K59" s="39" t="n"/>
    </row>
    <row r="60">
      <c r="B60" s="39" t="inlineStr">
        <is>
          <t>카페24</t>
        </is>
      </c>
      <c r="C60" s="39" t="inlineStr">
        <is>
          <t>고체향수</t>
        </is>
      </c>
      <c r="D60" s="39" t="inlineStr">
        <is>
          <t>유즈 스테이포에버 솔리드퍼퓸 002 (스테이포에버 주문시 12/15 순차배송)제품선택=스테이포에버 2개 세트[Pre-order 이벤트 28% 할인]</t>
        </is>
      </c>
      <c r="E60" s="39" t="inlineStr">
        <is>
          <t>스테이포에버 2set</t>
        </is>
      </c>
      <c r="F60" s="39" t="n">
        <v>201210</v>
      </c>
      <c r="G60" s="42">
        <f>B60&amp;C60&amp;D60&amp;F60</f>
        <v/>
      </c>
      <c r="H60" s="39" t="n">
        <v>58800</v>
      </c>
      <c r="I60" s="40" t="n">
        <v>0.0585</v>
      </c>
      <c r="J60" s="39" t="n">
        <v>5566</v>
      </c>
      <c r="K60" s="39" t="n"/>
    </row>
    <row r="61">
      <c r="B61" s="39" t="inlineStr">
        <is>
          <t>카페24</t>
        </is>
      </c>
      <c r="C61" s="39" t="inlineStr">
        <is>
          <t>고체향수</t>
        </is>
      </c>
      <c r="D61" s="39" t="inlineStr">
        <is>
          <t>유즈 스테이포에버 솔리드퍼퓸 002 (스테이포에버 주문시 12/15 순차배송)제품선택=스테이포에버 솔리드퍼퓸 002[Pre-order 이벤트 17% 할인]</t>
        </is>
      </c>
      <c r="E61" s="39" t="inlineStr">
        <is>
          <t>스테이포에버</t>
        </is>
      </c>
      <c r="F61" s="39" t="n">
        <v>201210</v>
      </c>
      <c r="G61" s="42">
        <f>B61&amp;C61&amp;D61&amp;F61</f>
        <v/>
      </c>
      <c r="H61" s="39" t="n">
        <v>38000</v>
      </c>
      <c r="I61" s="40" t="n">
        <v>0.0585</v>
      </c>
      <c r="J61" s="39" t="n">
        <v>2783</v>
      </c>
      <c r="K61" s="39" t="n"/>
    </row>
    <row r="62">
      <c r="B62" s="39" t="inlineStr">
        <is>
          <t>카페24</t>
        </is>
      </c>
      <c r="C62" s="39" t="inlineStr">
        <is>
          <t>고체향수</t>
        </is>
      </c>
      <c r="D62" s="39" t="inlineStr">
        <is>
          <t>유즈 스테이포에버 솔리드퍼퓸 002제품선택=스테이포에버 솔리드퍼퓸</t>
        </is>
      </c>
      <c r="E62" s="39" t="inlineStr">
        <is>
          <t>스테이포에버</t>
        </is>
      </c>
      <c r="F62" s="39" t="n">
        <v>201210</v>
      </c>
      <c r="G62" s="42">
        <f>B62&amp;C62&amp;D62&amp;F62</f>
        <v/>
      </c>
      <c r="H62" s="39" t="n">
        <v>38000</v>
      </c>
      <c r="I62" s="40" t="n">
        <v>0.0585</v>
      </c>
      <c r="J62" s="39" t="n">
        <v>2783</v>
      </c>
      <c r="K62" s="39" t="n"/>
    </row>
    <row r="63">
      <c r="B63" s="39" t="inlineStr">
        <is>
          <t>카페24</t>
        </is>
      </c>
      <c r="C63" s="39" t="inlineStr">
        <is>
          <t>고체향수</t>
        </is>
      </c>
      <c r="D63" s="39" t="inlineStr">
        <is>
          <t>유즈 이그나이트 솔리드퍼퓸 001제품선택=이그나이트 2개 세트</t>
        </is>
      </c>
      <c r="E63" s="39" t="inlineStr">
        <is>
          <t>이그나이트 2set</t>
        </is>
      </c>
      <c r="F63" s="39" t="n">
        <v>201210</v>
      </c>
      <c r="G63" s="42">
        <f>B63&amp;C63&amp;D63&amp;F63</f>
        <v/>
      </c>
      <c r="H63" s="39" t="n">
        <v>58800</v>
      </c>
      <c r="I63" s="40" t="n">
        <v>0.0585</v>
      </c>
      <c r="J63" s="39" t="n">
        <v>5776</v>
      </c>
      <c r="K63" s="39" t="n"/>
    </row>
    <row r="64">
      <c r="B64" s="39" t="inlineStr">
        <is>
          <t>카페24</t>
        </is>
      </c>
      <c r="C64" s="39" t="inlineStr">
        <is>
          <t>고체향수</t>
        </is>
      </c>
      <c r="D64" s="39" t="inlineStr">
        <is>
          <t>유즈 이그나이트 솔리드퍼퓸 001제품선택=이그나이트 솔리드퍼퓸 - 30ml</t>
        </is>
      </c>
      <c r="E64" s="39" t="inlineStr">
        <is>
          <t>이그나이트</t>
        </is>
      </c>
      <c r="F64" s="39" t="n">
        <v>201210</v>
      </c>
      <c r="G64" s="42">
        <f>B64&amp;C64&amp;D64&amp;F64</f>
        <v/>
      </c>
      <c r="H64" s="39" t="n">
        <v>38000</v>
      </c>
      <c r="I64" s="40" t="n">
        <v>0.0585</v>
      </c>
      <c r="J64" s="39" t="n">
        <v>2888</v>
      </c>
      <c r="K64" s="39" t="n"/>
    </row>
    <row r="65">
      <c r="B65" s="39" t="inlineStr">
        <is>
          <t>유즈 CS</t>
        </is>
      </c>
      <c r="C65" s="39" t="inlineStr">
        <is>
          <t>고체향수</t>
        </is>
      </c>
      <c r="D65" s="39" t="inlineStr">
        <is>
          <t>솔리드퍼퓸 스테이포에버 002 30ml</t>
        </is>
      </c>
      <c r="E65" s="39" t="inlineStr">
        <is>
          <t>스테이포에버</t>
        </is>
      </c>
      <c r="F65" s="39" t="n">
        <v>201210</v>
      </c>
      <c r="G65" s="42">
        <f>B65&amp;C65&amp;D65&amp;F65</f>
        <v/>
      </c>
      <c r="H65" s="39" t="n">
        <v>0</v>
      </c>
      <c r="I65" s="40" t="n">
        <v>0</v>
      </c>
      <c r="J65" s="39" t="n">
        <v>2783</v>
      </c>
      <c r="K65" s="39" t="n"/>
    </row>
    <row r="66">
      <c r="B66" s="39" t="inlineStr">
        <is>
          <t>유즈 CS</t>
        </is>
      </c>
      <c r="C66" s="39" t="inlineStr">
        <is>
          <t>고체향수</t>
        </is>
      </c>
      <c r="D66" s="39" t="inlineStr">
        <is>
          <t>솔리드퍼퓸 이그나이트 001 30ml</t>
        </is>
      </c>
      <c r="E66" s="39" t="inlineStr">
        <is>
          <t>이그나이트</t>
        </is>
      </c>
      <c r="F66" s="39" t="n">
        <v>201210</v>
      </c>
      <c r="G66" s="42">
        <f>B66&amp;C66&amp;D66&amp;F66</f>
        <v/>
      </c>
      <c r="H66" s="39" t="n">
        <v>0</v>
      </c>
      <c r="I66" s="40" t="n">
        <v>0</v>
      </c>
      <c r="J66" s="39" t="n">
        <v>2888</v>
      </c>
      <c r="K66" s="39" t="n"/>
    </row>
    <row r="67">
      <c r="B67" s="39" t="inlineStr">
        <is>
          <t>카페24</t>
        </is>
      </c>
      <c r="C67" s="39" t="inlineStr">
        <is>
          <t>고체향수</t>
        </is>
      </c>
      <c r="D67" s="39" t="inlineStr">
        <is>
          <t>유즈 솔리드퍼퓸 - 30ml (스테이포에버 주문 시 12/15 순차배송)향=커플세트(이그나이트 + 스테이포에버), 세트 선택=1 SET</t>
        </is>
      </c>
      <c r="E67" s="39" t="inlineStr">
        <is>
          <t>이그나이트 + 스테이포에버</t>
        </is>
      </c>
      <c r="F67" s="39" t="n">
        <v>201210</v>
      </c>
      <c r="G67" s="42">
        <f>B67&amp;C67&amp;D67&amp;F67</f>
        <v/>
      </c>
      <c r="H67" s="39" t="n">
        <v>69000</v>
      </c>
      <c r="I67" s="40" t="n">
        <v>0.0585</v>
      </c>
      <c r="J67" s="39" t="n">
        <v>5671</v>
      </c>
      <c r="K67" s="39" t="n"/>
    </row>
    <row r="68">
      <c r="B68" s="39" t="inlineStr">
        <is>
          <t>카페24</t>
        </is>
      </c>
      <c r="C68" s="39" t="inlineStr">
        <is>
          <t>고체향수</t>
        </is>
      </c>
      <c r="D68" s="39" t="inlineStr">
        <is>
          <t>유즈 스테이포에버 솔리드퍼퓸 002 (스테이포에버 주문시 12/15 순차배송)제품선택=스테이포에버 [17% 할인]</t>
        </is>
      </c>
      <c r="E68" s="39" t="inlineStr">
        <is>
          <t>스테이포에버</t>
        </is>
      </c>
      <c r="F68" s="39" t="n">
        <v>201210</v>
      </c>
      <c r="G68" s="42">
        <f>B68&amp;C68&amp;D68&amp;F68</f>
        <v/>
      </c>
      <c r="H68" s="39" t="n">
        <v>38000</v>
      </c>
      <c r="I68" s="40" t="n">
        <v>0.0585</v>
      </c>
      <c r="J68" s="39" t="n">
        <v>2783</v>
      </c>
      <c r="K68" s="39" t="n"/>
    </row>
    <row r="69">
      <c r="B69" s="39" t="inlineStr">
        <is>
          <t>카페24</t>
        </is>
      </c>
      <c r="C69" s="39" t="inlineStr">
        <is>
          <t>고체향수</t>
        </is>
      </c>
      <c r="D69" s="39" t="inlineStr">
        <is>
          <t>유즈 스테이포에버 솔리드퍼퓸 002 (스테이포에버 주문시 12/15 순차배송)제품선택=best</t>
        </is>
      </c>
      <c r="E69" s="39" t="inlineStr">
        <is>
          <t>스테이포에버 2set</t>
        </is>
      </c>
      <c r="F69" s="39" t="n">
        <v>201210</v>
      </c>
      <c r="G69" s="42">
        <f>B69&amp;C69&amp;D69&amp;F69</f>
        <v/>
      </c>
      <c r="H69" s="39" t="n">
        <v>58800</v>
      </c>
      <c r="I69" s="40" t="n">
        <v>0.0585</v>
      </c>
      <c r="J69" s="39" t="n">
        <v>5566</v>
      </c>
      <c r="K69" s="39" t="n"/>
    </row>
    <row r="70">
      <c r="B70" s="39" t="inlineStr">
        <is>
          <t>카페24</t>
        </is>
      </c>
      <c r="C70" s="39" t="inlineStr">
        <is>
          <t>고체향수</t>
        </is>
      </c>
      <c r="D70" s="39" t="inlineStr">
        <is>
          <t>유즈 스테이포에버 솔리드퍼퓸 002 (스테이포에버 주문시 12/15 순차배송)제품선택=best스테이포에버 2개[28% 할인]</t>
        </is>
      </c>
      <c r="E70" s="39" t="inlineStr">
        <is>
          <t>스테이포에버 2set</t>
        </is>
      </c>
      <c r="F70" s="39" t="n">
        <v>201210</v>
      </c>
      <c r="G70" s="42">
        <f>B70&amp;C70&amp;D70&amp;F70</f>
        <v/>
      </c>
      <c r="H70" s="39" t="n">
        <v>58800</v>
      </c>
      <c r="I70" s="40" t="n">
        <v>0.0585</v>
      </c>
      <c r="J70" s="39" t="n">
        <v>5566</v>
      </c>
      <c r="K70" s="39" t="n"/>
    </row>
    <row r="71">
      <c r="B71" s="39" t="inlineStr">
        <is>
          <t>카페24</t>
        </is>
      </c>
      <c r="C71" s="39" t="inlineStr">
        <is>
          <t>고체향수</t>
        </is>
      </c>
      <c r="D71" s="39" t="inlineStr">
        <is>
          <t>솔리드퍼퓸 스테이포에버 002 30ml</t>
        </is>
      </c>
      <c r="E71" s="39" t="inlineStr">
        <is>
          <t>스테이포에버</t>
        </is>
      </c>
      <c r="F71" s="39" t="n">
        <v>201210</v>
      </c>
      <c r="G71" s="42">
        <f>B71&amp;C71&amp;D71&amp;F71</f>
        <v/>
      </c>
      <c r="H71" s="39" t="n">
        <v>38000</v>
      </c>
      <c r="I71" s="40" t="n">
        <v>0.0585</v>
      </c>
      <c r="J71" s="39" t="n">
        <v>2783</v>
      </c>
      <c r="K71" s="39" t="n"/>
    </row>
    <row r="72">
      <c r="B72" s="39" t="inlineStr">
        <is>
          <t>카페24</t>
        </is>
      </c>
      <c r="C72" s="39" t="inlineStr">
        <is>
          <t>고체향수</t>
        </is>
      </c>
      <c r="D72" s="39" t="inlineStr">
        <is>
          <t>유즈 솔리드퍼퓸 - 30ml (스테이포에버 주문 시 12/15 순차배송)향=스테이포에버 002 SOLID PERFUME, 세트 선택=1</t>
        </is>
      </c>
      <c r="E72" s="39" t="inlineStr">
        <is>
          <t>스테이포에버</t>
        </is>
      </c>
      <c r="F72" s="39" t="n">
        <v>201210</v>
      </c>
      <c r="G72" s="42">
        <f>B72&amp;C72&amp;D72&amp;F72</f>
        <v/>
      </c>
      <c r="H72" s="39">
        <f>VLOOKUP($E72,$E$42:$J$64,4,0)</f>
        <v/>
      </c>
      <c r="I72" s="40">
        <f>VLOOKUP($E72,$E$42:$J$64,5,0)</f>
        <v/>
      </c>
      <c r="J72" s="39">
        <f>VLOOKUP($E72,$E$42:$J$64,6,0)</f>
        <v/>
      </c>
      <c r="K72" s="39" t="n"/>
    </row>
    <row r="73">
      <c r="B73" s="39" t="inlineStr">
        <is>
          <t>카페24</t>
        </is>
      </c>
      <c r="C73" s="39" t="inlineStr">
        <is>
          <t>고체향수</t>
        </is>
      </c>
      <c r="D73" s="39" t="inlineStr">
        <is>
          <t>유즈 솔리드퍼퓸 - 30ml (스테이포에버 주문 시 12/15 순차배송)향=스테이포에버 002 SOLID PERFUME, 세트 선택=1 개(17% 할인)</t>
        </is>
      </c>
      <c r="E73" s="39" t="inlineStr">
        <is>
          <t>스테이포에버</t>
        </is>
      </c>
      <c r="F73" s="39" t="n">
        <v>201210</v>
      </c>
      <c r="G73" s="42">
        <f>B73&amp;C73&amp;D73&amp;F73</f>
        <v/>
      </c>
      <c r="H73" s="39">
        <f>VLOOKUP($E73,$E$42:$J$64,4,0)</f>
        <v/>
      </c>
      <c r="I73" s="40">
        <f>VLOOKUP($E73,$E$42:$J$64,5,0)</f>
        <v/>
      </c>
      <c r="J73" s="39">
        <f>VLOOKUP($E73,$E$42:$J$64,6,0)</f>
        <v/>
      </c>
      <c r="K73" s="39" t="n"/>
    </row>
    <row r="74">
      <c r="B74" s="39" t="inlineStr">
        <is>
          <t>카페24</t>
        </is>
      </c>
      <c r="C74" s="39" t="inlineStr">
        <is>
          <t>고체향수</t>
        </is>
      </c>
      <c r="D74" s="39" t="inlineStr">
        <is>
          <t>유즈 솔리드퍼퓸 - 30ml (스테이포에버 주문 시 12/15 순차배송)향=스테이포에버 002 SOLID PERFUME, 세트 선택=best</t>
        </is>
      </c>
      <c r="E74" s="39" t="inlineStr">
        <is>
          <t>스테이포에버</t>
        </is>
      </c>
      <c r="F74" s="39" t="n">
        <v>201210</v>
      </c>
      <c r="G74" s="42">
        <f>B74&amp;C74&amp;D74&amp;F74</f>
        <v/>
      </c>
      <c r="H74" s="39">
        <f>VLOOKUP($E74,$E$42:$J$64,4,0)</f>
        <v/>
      </c>
      <c r="I74" s="40">
        <f>VLOOKUP($E74,$E$42:$J$64,5,0)</f>
        <v/>
      </c>
      <c r="J74" s="39">
        <f>VLOOKUP($E74,$E$42:$J$64,6,0)</f>
        <v/>
      </c>
      <c r="K74" s="39" t="n"/>
    </row>
    <row r="75">
      <c r="B75" s="39" t="inlineStr">
        <is>
          <t>카페24</t>
        </is>
      </c>
      <c r="C75" s="39" t="inlineStr">
        <is>
          <t>고체향수</t>
        </is>
      </c>
      <c r="D75" s="39" t="inlineStr">
        <is>
          <t>유즈 솔리드퍼퓸 - 30ml (스테이포에버 주문 시 12/15 순차배송)향=스테이포에버 002 SOLID PERFUME, 세트 선택=best(28% 할인)2개</t>
        </is>
      </c>
      <c r="E75" s="39" t="inlineStr">
        <is>
          <t>스테이포에버 2set</t>
        </is>
      </c>
      <c r="F75" s="39" t="n">
        <v>201210</v>
      </c>
      <c r="G75" s="42">
        <f>B75&amp;C75&amp;D75&amp;F75</f>
        <v/>
      </c>
      <c r="H75" s="39">
        <f>VLOOKUP($E75,$E$42:$J$64,4,0)</f>
        <v/>
      </c>
      <c r="I75" s="40">
        <f>VLOOKUP($E75,$E$42:$J$64,5,0)</f>
        <v/>
      </c>
      <c r="J75" s="39">
        <f>VLOOKUP($E75,$E$42:$J$64,6,0)</f>
        <v/>
      </c>
      <c r="K75" s="39" t="n"/>
    </row>
    <row r="76">
      <c r="B76" s="39" t="inlineStr">
        <is>
          <t>카페24</t>
        </is>
      </c>
      <c r="C76" s="39" t="inlineStr">
        <is>
          <t>고체향수</t>
        </is>
      </c>
      <c r="D76" s="39" t="inlineStr">
        <is>
          <t>유즈 솔리드퍼퓸 - 30ml (스테이포에버 주문 시 12/15 순차배송)향=커플세트</t>
        </is>
      </c>
      <c r="E76" s="39" t="inlineStr">
        <is>
          <t>이그나이트 + 스테이포에버</t>
        </is>
      </c>
      <c r="F76" s="39" t="n">
        <v>201210</v>
      </c>
      <c r="G76" s="42">
        <f>B76&amp;C76&amp;D76&amp;F76</f>
        <v/>
      </c>
      <c r="H76" s="39">
        <f>VLOOKUP($E76,$E$42:$J$64,4,0)</f>
        <v/>
      </c>
      <c r="I76" s="40">
        <f>VLOOKUP($E76,$E$42:$J$64,5,0)</f>
        <v/>
      </c>
      <c r="J76" s="39">
        <f>VLOOKUP($E76,$E$42:$J$64,6,0)</f>
        <v/>
      </c>
      <c r="K76" s="39" t="n"/>
    </row>
    <row r="77">
      <c r="B77" s="39" t="inlineStr">
        <is>
          <t>카페24</t>
        </is>
      </c>
      <c r="C77" s="39" t="inlineStr">
        <is>
          <t>고체향수</t>
        </is>
      </c>
      <c r="D77" s="39" t="inlineStr">
        <is>
          <t>유즈 스테이포에버 솔리드퍼퓸 002 (스테이포에버 주문시 12/15 순차배송)제품선택=스테이포에버 1개</t>
        </is>
      </c>
      <c r="E77" s="39" t="inlineStr">
        <is>
          <t>스테이포에버</t>
        </is>
      </c>
      <c r="F77" s="39" t="n">
        <v>201210</v>
      </c>
      <c r="G77" s="42">
        <f>B77&amp;C77&amp;D77&amp;F77</f>
        <v/>
      </c>
      <c r="H77" s="39">
        <f>VLOOKUP($E77,$E$42:$J$64,4,0)</f>
        <v/>
      </c>
      <c r="I77" s="40">
        <f>VLOOKUP($E77,$E$42:$J$64,5,0)</f>
        <v/>
      </c>
      <c r="J77" s="39">
        <f>VLOOKUP($E77,$E$42:$J$64,6,0)</f>
        <v/>
      </c>
      <c r="K77" s="39" t="n"/>
    </row>
    <row r="78">
      <c r="B78" s="39" t="inlineStr">
        <is>
          <t>카페24</t>
        </is>
      </c>
      <c r="C78" s="39" t="inlineStr">
        <is>
          <t>고체향수</t>
        </is>
      </c>
      <c r="D78" s="39" t="inlineStr">
        <is>
          <t>유즈 스테이포에버 솔리드퍼퓸 002 (스테이포에버 주문시 12/15 순차배송)제품선택=스테이포에버 1개 [17% 할인]</t>
        </is>
      </c>
      <c r="E78" s="39" t="inlineStr">
        <is>
          <t>스테이포에버</t>
        </is>
      </c>
      <c r="F78" s="39" t="n">
        <v>201210</v>
      </c>
      <c r="G78" s="42">
        <f>B78&amp;C78&amp;D78&amp;F78</f>
        <v/>
      </c>
      <c r="H78" s="39">
        <f>VLOOKUP($E78,$E$42:$J$64,4,0)</f>
        <v/>
      </c>
      <c r="I78" s="40">
        <f>VLOOKUP($E78,$E$42:$J$64,5,0)</f>
        <v/>
      </c>
      <c r="J78" s="39">
        <f>VLOOKUP($E78,$E$42:$J$64,6,0)</f>
        <v/>
      </c>
      <c r="K78" s="39" t="n"/>
    </row>
    <row r="79">
      <c r="B79" s="39" t="inlineStr">
        <is>
          <t>카페24</t>
        </is>
      </c>
      <c r="C79" s="39" t="inlineStr">
        <is>
          <t>고체향수</t>
        </is>
      </c>
      <c r="D79" s="39" t="inlineStr">
        <is>
          <t>유즈 스테이포에버 솔리드퍼퓸 002 (스테이포에버 주문시 12/15 순차배송)제품선택=커플추천</t>
        </is>
      </c>
      <c r="E79" s="39" t="inlineStr">
        <is>
          <t>이그나이트 + 스테이포에버</t>
        </is>
      </c>
      <c r="F79" s="39" t="n">
        <v>201210</v>
      </c>
      <c r="G79" s="42">
        <f>B79&amp;C79&amp;D79&amp;F79</f>
        <v/>
      </c>
      <c r="H79" s="39">
        <f>VLOOKUP($E79,$E$42:$J$64,4,0)</f>
        <v/>
      </c>
      <c r="I79" s="40">
        <f>VLOOKUP($E79,$E$42:$J$64,5,0)</f>
        <v/>
      </c>
      <c r="J79" s="39">
        <f>VLOOKUP($E79,$E$42:$J$64,6,0)</f>
        <v/>
      </c>
      <c r="K79" s="39" t="n"/>
    </row>
    <row r="80">
      <c r="B80" s="39" t="inlineStr">
        <is>
          <t>카페24</t>
        </is>
      </c>
      <c r="C80" s="39" t="inlineStr">
        <is>
          <t>고체향수</t>
        </is>
      </c>
      <c r="D80" s="39" t="inlineStr">
        <is>
          <t>유즈 솔리드퍼퓸 - 30ml (스테이포에버 주문 시 12/15 순차배송)향=이그나이트 001 SOLID PERFUME, 세트 선택=1</t>
        </is>
      </c>
      <c r="E80" s="39" t="inlineStr">
        <is>
          <t>이그나이트</t>
        </is>
      </c>
      <c r="F80" s="39" t="n">
        <v>201210</v>
      </c>
      <c r="G80" s="42">
        <f>B80&amp;C80&amp;D80&amp;F80</f>
        <v/>
      </c>
      <c r="H80" s="39">
        <f>VLOOKUP($E80,$E$42:$J$64,4,0)</f>
        <v/>
      </c>
      <c r="I80" s="40">
        <f>VLOOKUP($E80,$E$42:$J$64,5,0)</f>
        <v/>
      </c>
      <c r="J80" s="39">
        <f>VLOOKUP($E80,$E$42:$J$64,6,0)</f>
        <v/>
      </c>
      <c r="K80" s="39" t="n"/>
    </row>
    <row r="81">
      <c r="B81" s="39" t="inlineStr">
        <is>
          <t>카페24</t>
        </is>
      </c>
      <c r="C81" s="39" t="inlineStr">
        <is>
          <t>고체향수</t>
        </is>
      </c>
      <c r="D81" s="39" t="inlineStr">
        <is>
          <t>유즈 솔리드퍼퓸 - 30ml (스테이포에버 주문 시 12/15 순차배송)향=커플세트(이그나이트 + 스테이포에버), 세트 선택=2 SET (42% 할인)</t>
        </is>
      </c>
      <c r="E81" s="39" t="inlineStr">
        <is>
          <t>이그나이트 + 스테이포에버</t>
        </is>
      </c>
      <c r="F81" s="39" t="n">
        <v>201210</v>
      </c>
      <c r="G81" s="42">
        <f>B81&amp;C81&amp;D81&amp;F81</f>
        <v/>
      </c>
      <c r="H81" s="39">
        <f>VLOOKUP($E81,$E$42:$J$64,4,0)</f>
        <v/>
      </c>
      <c r="I81" s="40">
        <f>VLOOKUP($E81,$E$42:$J$64,5,0)</f>
        <v/>
      </c>
      <c r="J81" s="39">
        <f>VLOOKUP($E81,$E$42:$J$64,6,0)</f>
        <v/>
      </c>
      <c r="K81" s="39" t="n"/>
    </row>
    <row r="82">
      <c r="B82" s="39" t="inlineStr">
        <is>
          <t>카페24</t>
        </is>
      </c>
      <c r="C82" s="39" t="inlineStr">
        <is>
          <t>고체향수</t>
        </is>
      </c>
      <c r="D82" s="39" t="inlineStr">
        <is>
          <t>유즈 스테이포에버 솔리드퍼퓸 002 (스테이포에버 주문시 12/15 순차배송)제품선택=커플추천스테이포에버 + 이그나이트 세트</t>
        </is>
      </c>
      <c r="E82" s="39" t="inlineStr">
        <is>
          <t>이그나이트 + 스테이포에버</t>
        </is>
      </c>
      <c r="F82" s="39" t="n">
        <v>201210</v>
      </c>
      <c r="G82" s="42">
        <f>B82&amp;C82&amp;D82&amp;F82</f>
        <v/>
      </c>
      <c r="H82" s="39">
        <f>VLOOKUP($E82,$E$42:$J$64,4,0)</f>
        <v/>
      </c>
      <c r="I82" s="40">
        <f>VLOOKUP($E82,$E$42:$J$64,5,0)</f>
        <v/>
      </c>
      <c r="J82" s="39">
        <f>VLOOKUP($E82,$E$42:$J$64,6,0)</f>
        <v/>
      </c>
      <c r="K82" s="39" t="n"/>
    </row>
    <row r="83">
      <c r="B83" s="39" t="inlineStr">
        <is>
          <t>카페24</t>
        </is>
      </c>
      <c r="C83" s="39" t="inlineStr">
        <is>
          <t>고체향수</t>
        </is>
      </c>
      <c r="D83" s="39" t="inlineStr">
        <is>
          <t>스테이포에버 솔리드퍼퓸 002 (10차 재입고 완료제품선택=스테이포에버 1개</t>
        </is>
      </c>
      <c r="E83" s="39" t="inlineStr">
        <is>
          <t>스테이포에버</t>
        </is>
      </c>
      <c r="F83" s="39" t="n">
        <v>201210</v>
      </c>
      <c r="G83" s="42">
        <f>B83&amp;C83&amp;D83&amp;F83</f>
        <v/>
      </c>
      <c r="H83" s="39">
        <f>VLOOKUP($E83,$E$42:$J$64,4,0)</f>
        <v/>
      </c>
      <c r="I83" s="40">
        <f>VLOOKUP($E83,$E$42:$J$64,5,0)</f>
        <v/>
      </c>
      <c r="J83" s="39">
        <f>VLOOKUP($E83,$E$42:$J$64,6,0)</f>
        <v/>
      </c>
      <c r="K83" s="39" t="n"/>
    </row>
    <row r="84">
      <c r="B84" s="39" t="inlineStr">
        <is>
          <t>카페24</t>
        </is>
      </c>
      <c r="C84" s="39" t="inlineStr">
        <is>
          <t>고체향수</t>
        </is>
      </c>
      <c r="D84" s="39" t="inlineStr">
        <is>
          <t>스테이포에버 솔리드퍼퓸 002 (10차 재입고 완료제품선택=best</t>
        </is>
      </c>
      <c r="E84" s="39" t="inlineStr">
        <is>
          <t>스테이포에버 2set</t>
        </is>
      </c>
      <c r="F84" s="39" t="n">
        <v>201210</v>
      </c>
      <c r="G84" s="42">
        <f>B84&amp;C84&amp;D84&amp;F84</f>
        <v/>
      </c>
      <c r="H84" s="39">
        <f>VLOOKUP($E84,$E$42:$J$64,4,0)</f>
        <v/>
      </c>
      <c r="I84" s="40">
        <f>VLOOKUP($E84,$E$42:$J$64,5,0)</f>
        <v/>
      </c>
      <c r="J84" s="39">
        <f>VLOOKUP($E84,$E$42:$J$64,6,0)</f>
        <v/>
      </c>
      <c r="K84" s="39" t="n"/>
    </row>
    <row r="85">
      <c r="B85" s="39" t="inlineStr">
        <is>
          <t>카페24</t>
        </is>
      </c>
      <c r="C85" s="39" t="inlineStr">
        <is>
          <t>고체향수</t>
        </is>
      </c>
      <c r="D85" s="39" t="inlineStr">
        <is>
          <t>스테이포에버 솔리드퍼퓸 002 (10차 재입고 완료)제품선택=best스테이포에버 2개[28% 할인]</t>
        </is>
      </c>
      <c r="E85" s="39" t="inlineStr">
        <is>
          <t>스테이포에버 2set</t>
        </is>
      </c>
      <c r="F85" s="39" t="n">
        <v>201210</v>
      </c>
      <c r="G85" s="42">
        <f>B85&amp;C85&amp;D85&amp;F85</f>
        <v/>
      </c>
      <c r="H85" s="39">
        <f>VLOOKUP($E85,$E$42:$J$64,4,0)</f>
        <v/>
      </c>
      <c r="I85" s="40">
        <f>VLOOKUP($E85,$E$42:$J$64,5,0)</f>
        <v/>
      </c>
      <c r="J85" s="39">
        <f>VLOOKUP($E85,$E$42:$J$64,6,0)</f>
        <v/>
      </c>
      <c r="K85" s="39" t="n"/>
    </row>
    <row r="86">
      <c r="B86" s="39" t="inlineStr">
        <is>
          <t>카페24</t>
        </is>
      </c>
      <c r="C86" s="39" t="inlineStr">
        <is>
          <t>고체향수</t>
        </is>
      </c>
      <c r="D86" s="39" t="inlineStr">
        <is>
          <t>스테이포에버 솔리드퍼퓸 002 (10차 재입고 완료제품선택=커플추천</t>
        </is>
      </c>
      <c r="E86" s="39" t="inlineStr">
        <is>
          <t>이그나이트 + 스테이포에버</t>
        </is>
      </c>
      <c r="F86" s="39" t="n">
        <v>201210</v>
      </c>
      <c r="G86" s="42">
        <f>B86&amp;C86&amp;D86&amp;F86</f>
        <v/>
      </c>
      <c r="H86" s="39">
        <f>VLOOKUP($E86,$E$42:$J$64,4,0)</f>
        <v/>
      </c>
      <c r="I86" s="40">
        <f>VLOOKUP($E86,$E$42:$J$64,5,0)</f>
        <v/>
      </c>
      <c r="J86" s="39">
        <f>VLOOKUP($E86,$E$42:$J$64,6,0)</f>
        <v/>
      </c>
      <c r="K86" s="39" t="n"/>
    </row>
    <row r="87">
      <c r="B87" s="39" t="inlineStr">
        <is>
          <t>카페24</t>
        </is>
      </c>
      <c r="C87" s="39" t="inlineStr">
        <is>
          <t>쇼핑백</t>
        </is>
      </c>
      <c r="D87" s="39" t="inlineStr">
        <is>
          <t>스테이포에버 솔리드퍼퓸 002 (10차 재입고 완료쇼핑백=선물용 쇼핑백</t>
        </is>
      </c>
      <c r="E87" s="39" t="inlineStr">
        <is>
          <t>쇼핑백</t>
        </is>
      </c>
      <c r="F87" s="39" t="n">
        <v>201210</v>
      </c>
      <c r="G87" s="42">
        <f>B87&amp;C87&amp;D87&amp;F87</f>
        <v/>
      </c>
      <c r="H87" s="39">
        <f>VLOOKUP($E87,$E$42:$J$64,4,0)</f>
        <v/>
      </c>
      <c r="I87" s="40">
        <f>VLOOKUP($E87,$E$42:$J$64,5,0)</f>
        <v/>
      </c>
      <c r="J87" s="39">
        <f>VLOOKUP($E87,$E$42:$J$64,6,0)</f>
        <v/>
      </c>
      <c r="K87" s="39" t="n"/>
    </row>
    <row r="88">
      <c r="B88" s="39" t="inlineStr">
        <is>
          <t>카페24</t>
        </is>
      </c>
      <c r="C88" s="39" t="inlineStr">
        <is>
          <t>고체향수</t>
        </is>
      </c>
      <c r="D88" s="39" t="inlineStr">
        <is>
          <t>스테이포에버 솔리드퍼퓸 002 (10차 재입고 완료)제품선택=스테이포에버 1개</t>
        </is>
      </c>
      <c r="E88" s="39" t="inlineStr">
        <is>
          <t>스테이포에버</t>
        </is>
      </c>
      <c r="F88" s="39" t="n">
        <v>201210</v>
      </c>
      <c r="G88" s="42">
        <f>B88&amp;C88&amp;D88&amp;F88</f>
        <v/>
      </c>
      <c r="H88" s="39">
        <f>VLOOKUP($E88,$E$42:$J$64,4,0)</f>
        <v/>
      </c>
      <c r="I88" s="40">
        <f>VLOOKUP($E88,$E$42:$J$64,5,0)</f>
        <v/>
      </c>
      <c r="J88" s="39">
        <f>VLOOKUP($E88,$E$42:$J$64,6,0)</f>
        <v/>
      </c>
      <c r="K88" s="39" t="n"/>
    </row>
    <row r="89">
      <c r="B89" s="39" t="inlineStr">
        <is>
          <t>카페24</t>
        </is>
      </c>
      <c r="C89" s="39" t="inlineStr">
        <is>
          <t>고체향수</t>
        </is>
      </c>
      <c r="D89" s="39" t="inlineStr">
        <is>
          <t>스테이포에버 솔리드퍼퓸 002 (10차 재입고 완료)제품선택=커플추천스테이포에버 + 이그나이트 세트</t>
        </is>
      </c>
      <c r="E89" s="39" t="inlineStr">
        <is>
          <t>이그나이트 + 스테이포에버</t>
        </is>
      </c>
      <c r="F89" s="39" t="n">
        <v>201210</v>
      </c>
      <c r="G89" s="42">
        <f>B89&amp;C89&amp;D89&amp;F89</f>
        <v/>
      </c>
      <c r="H89" s="39">
        <f>VLOOKUP($E89,$E$42:$J$64,4,0)</f>
        <v/>
      </c>
      <c r="I89" s="40">
        <f>VLOOKUP($E89,$E$42:$J$64,5,0)</f>
        <v/>
      </c>
      <c r="J89" s="39">
        <f>VLOOKUP($E89,$E$42:$J$64,6,0)</f>
        <v/>
      </c>
      <c r="K89" s="39" t="n"/>
    </row>
    <row r="90">
      <c r="B90" s="39" t="inlineStr">
        <is>
          <t>카페24</t>
        </is>
      </c>
      <c r="C90" s="39" t="inlineStr">
        <is>
          <t>쇼핑백</t>
        </is>
      </c>
      <c r="D90" s="39" t="inlineStr">
        <is>
          <t>스테이포에버 솔리드퍼퓸 002 (10차 재입고 완료)쇼핑백=선물용 쇼핑백</t>
        </is>
      </c>
      <c r="E90" s="39" t="inlineStr">
        <is>
          <t>쇼핑백</t>
        </is>
      </c>
      <c r="F90" s="39" t="n">
        <v>201210</v>
      </c>
      <c r="G90" s="42">
        <f>B90&amp;C90&amp;D90&amp;F90</f>
        <v/>
      </c>
      <c r="H90" s="39">
        <f>VLOOKUP($E90,$E$42:$J$64,4,0)</f>
        <v/>
      </c>
      <c r="I90" s="40">
        <f>VLOOKUP($E90,$E$42:$J$64,5,0)</f>
        <v/>
      </c>
      <c r="J90" s="39">
        <f>VLOOKUP($E90,$E$42:$J$64,6,0)</f>
        <v/>
      </c>
      <c r="K90" s="39" t="n"/>
    </row>
    <row r="91">
      <c r="B91" s="39" t="inlineStr">
        <is>
          <t>카페24</t>
        </is>
      </c>
      <c r="C91" s="39" t="inlineStr">
        <is>
          <t>고체향수</t>
        </is>
      </c>
      <c r="D91" s="39" t="inlineStr">
        <is>
          <t>유즈 솔리드퍼퓸 - 30ml (10차 재입고 완료향=스테이포에버 002 SOLID PERFUME, 세트 선택=1개</t>
        </is>
      </c>
      <c r="E91" s="39" t="inlineStr">
        <is>
          <t>스테이포에버</t>
        </is>
      </c>
      <c r="F91" s="39" t="n">
        <v>201210</v>
      </c>
      <c r="G91" s="42">
        <f>B91&amp;C91&amp;D91&amp;F91</f>
        <v/>
      </c>
      <c r="H91" s="39">
        <f>VLOOKUP($E91,$E$42:$J$64,4,0)</f>
        <v/>
      </c>
      <c r="I91" s="40">
        <f>VLOOKUP($E91,$E$42:$J$64,5,0)</f>
        <v/>
      </c>
      <c r="J91" s="39">
        <f>VLOOKUP($E91,$E$42:$J$64,6,0)</f>
        <v/>
      </c>
      <c r="K91" s="39" t="n"/>
    </row>
    <row r="92">
      <c r="B92" s="39" t="inlineStr">
        <is>
          <t>카페24</t>
        </is>
      </c>
      <c r="C92" s="39" t="inlineStr">
        <is>
          <t>고체향수</t>
        </is>
      </c>
      <c r="D92" s="39" t="inlineStr">
        <is>
          <t>유즈 솔리드퍼퓸 - 30ml (10차 재입고 완료 )향=스테이포에버 002 SOLID PERFUME, 세트 선택=1개</t>
        </is>
      </c>
      <c r="E92" s="39" t="inlineStr">
        <is>
          <t>스테이포에버</t>
        </is>
      </c>
      <c r="F92" s="39" t="n">
        <v>201210</v>
      </c>
      <c r="G92" s="42">
        <f>B92&amp;C92&amp;D92&amp;F92</f>
        <v/>
      </c>
      <c r="H92" s="39">
        <f>VLOOKUP($E92,$E$42:$J$64,4,0)</f>
        <v/>
      </c>
      <c r="I92" s="40">
        <f>VLOOKUP($E92,$E$42:$J$64,5,0)</f>
        <v/>
      </c>
      <c r="J92" s="39">
        <f>VLOOKUP($E92,$E$42:$J$64,6,0)</f>
        <v/>
      </c>
      <c r="K92" s="39" t="n"/>
    </row>
    <row r="93">
      <c r="B93" s="39" t="inlineStr">
        <is>
          <t>카페24</t>
        </is>
      </c>
      <c r="C93" s="39" t="inlineStr">
        <is>
          <t>고체향수</t>
        </is>
      </c>
      <c r="D93" s="39" t="inlineStr">
        <is>
          <t>유즈 솔리드퍼퓸 - 30ml (10차 재입고 완료 )향=스테이포에버 002 SOLID PERFUME, 세트 선택=best 2개 (28% 할인)</t>
        </is>
      </c>
      <c r="E93" s="39" t="inlineStr">
        <is>
          <t>스테이포에버 2set</t>
        </is>
      </c>
      <c r="F93" s="39" t="n">
        <v>201210</v>
      </c>
      <c r="G93" s="42">
        <f>B93&amp;C93&amp;D93&amp;F93</f>
        <v/>
      </c>
      <c r="H93" s="39">
        <f>VLOOKUP($E93,$E$42:$J$64,4,0)</f>
        <v/>
      </c>
      <c r="I93" s="40">
        <f>VLOOKUP($E93,$E$42:$J$64,5,0)</f>
        <v/>
      </c>
      <c r="J93" s="39">
        <f>VLOOKUP($E93,$E$42:$J$64,6,0)</f>
        <v/>
      </c>
      <c r="K93" s="39" t="n"/>
    </row>
    <row r="94">
      <c r="B94" s="39" t="inlineStr">
        <is>
          <t>카페24</t>
        </is>
      </c>
      <c r="C94" s="39" t="inlineStr">
        <is>
          <t>고체향수</t>
        </is>
      </c>
      <c r="D94" s="39" t="inlineStr">
        <is>
          <t>유즈 스테이포에버 솔리드퍼퓸 002 (10차 재입고 완료제품선택=커플추천</t>
        </is>
      </c>
      <c r="E94" s="39" t="inlineStr">
        <is>
          <t>이그나이트 + 스테이포에버</t>
        </is>
      </c>
      <c r="F94" s="39" t="n">
        <v>201210</v>
      </c>
      <c r="G94" s="42">
        <f>B94&amp;C94&amp;D94&amp;F94</f>
        <v/>
      </c>
      <c r="H94" s="39">
        <f>VLOOKUP($E94,$E$42:$J$64,4,0)</f>
        <v/>
      </c>
      <c r="I94" s="40">
        <f>VLOOKUP($E94,$E$42:$J$64,5,0)</f>
        <v/>
      </c>
      <c r="J94" s="39">
        <f>VLOOKUP($E94,$E$42:$J$64,6,0)</f>
        <v/>
      </c>
      <c r="K94" s="39" t="n"/>
    </row>
    <row r="95">
      <c r="B95" s="39" t="inlineStr">
        <is>
          <t>카페24</t>
        </is>
      </c>
      <c r="C95" s="39" t="inlineStr">
        <is>
          <t>고체향수</t>
        </is>
      </c>
      <c r="D95" s="39" t="inlineStr">
        <is>
          <t>유즈 스테이포에버 솔리드퍼퓸 002 (10차 재입고 완료)제품선택=스테이포에버 1개</t>
        </is>
      </c>
      <c r="E95" s="39" t="inlineStr">
        <is>
          <t>스테이포에버</t>
        </is>
      </c>
      <c r="F95" s="39" t="n">
        <v>201210</v>
      </c>
      <c r="G95" s="42">
        <f>B95&amp;C95&amp;D95&amp;F95</f>
        <v/>
      </c>
      <c r="H95" s="39">
        <f>VLOOKUP($E95,$E$42:$J$64,4,0)</f>
        <v/>
      </c>
      <c r="I95" s="40">
        <f>VLOOKUP($E95,$E$42:$J$64,5,0)</f>
        <v/>
      </c>
      <c r="J95" s="39">
        <f>VLOOKUP($E95,$E$42:$J$64,6,0)</f>
        <v/>
      </c>
      <c r="K95" s="39" t="n"/>
    </row>
    <row r="96">
      <c r="B96" s="39" t="inlineStr">
        <is>
          <t>카페24</t>
        </is>
      </c>
      <c r="C96" s="39" t="inlineStr">
        <is>
          <t>쇼핑백</t>
        </is>
      </c>
      <c r="D96" s="39" t="inlineStr">
        <is>
          <t>유즈 스테이포에버 솔리드퍼퓸 002 (스테이포에버 주문시 12/15 순차배송)쇼핑백=선물용 쇼핑백</t>
        </is>
      </c>
      <c r="E96" s="39" t="inlineStr">
        <is>
          <t>쇼핑백</t>
        </is>
      </c>
      <c r="F96" s="39" t="n">
        <v>201210</v>
      </c>
      <c r="G96" s="42">
        <f>B96&amp;C96&amp;D96&amp;F96</f>
        <v/>
      </c>
      <c r="H96" s="39">
        <f>VLOOKUP($E96,$E$42:$J$64,4,0)</f>
        <v/>
      </c>
      <c r="I96" s="40">
        <f>VLOOKUP($E96,$E$42:$J$64,5,0)</f>
        <v/>
      </c>
      <c r="J96" s="39">
        <f>VLOOKUP($E96,$E$42:$J$64,6,0)</f>
        <v/>
      </c>
    </row>
    <row r="97">
      <c r="B97" s="39" t="inlineStr">
        <is>
          <t>카페24</t>
        </is>
      </c>
      <c r="C97" s="39" t="inlineStr">
        <is>
          <t>고체향수</t>
        </is>
      </c>
      <c r="D97" s="39" t="inlineStr">
        <is>
          <t>유즈 솔리드퍼퓸 - 30ml (10차 재입고 완료향=이그나이트 001 SOLID PERFUME, 세트 선택=1개</t>
        </is>
      </c>
      <c r="E97" s="39" t="inlineStr">
        <is>
          <t>이그나이트</t>
        </is>
      </c>
      <c r="F97" s="39" t="n">
        <v>201210</v>
      </c>
      <c r="G97" s="42">
        <f>B97&amp;C97&amp;D97&amp;F97</f>
        <v/>
      </c>
      <c r="H97" s="39">
        <f>VLOOKUP($E97,$E$42:$J$64,4,0)</f>
        <v/>
      </c>
      <c r="I97" s="40">
        <f>VLOOKUP($E97,$E$42:$J$64,5,0)</f>
        <v/>
      </c>
      <c r="J97" s="39">
        <f>VLOOKUP($E97,$E$42:$J$64,6,0)</f>
        <v/>
      </c>
    </row>
    <row r="98">
      <c r="B98" s="39" t="inlineStr">
        <is>
          <t>카페24</t>
        </is>
      </c>
      <c r="C98" s="39" t="inlineStr">
        <is>
          <t>고체향수</t>
        </is>
      </c>
      <c r="D98" s="39" t="inlineStr">
        <is>
          <t>유즈 솔리드퍼퓸 - 30ml (10차 재입고 완료 )향=이그나이트 001 SOLID PERFUME, 세트 선택=1개</t>
        </is>
      </c>
      <c r="E98" s="39" t="inlineStr">
        <is>
          <t>이그나이트</t>
        </is>
      </c>
      <c r="F98" s="39" t="n">
        <v>201210</v>
      </c>
      <c r="G98" s="42">
        <f>B98&amp;C98&amp;D98&amp;F98</f>
        <v/>
      </c>
      <c r="H98" s="39">
        <f>VLOOKUP($E98,$E$42:$J$64,4,0)</f>
        <v/>
      </c>
      <c r="I98" s="40">
        <f>VLOOKUP($E98,$E$42:$J$64,5,0)</f>
        <v/>
      </c>
      <c r="J98" s="39">
        <f>VLOOKUP($E98,$E$42:$J$64,6,0)</f>
        <v/>
      </c>
    </row>
    <row r="99">
      <c r="B99" s="39" t="inlineStr">
        <is>
          <t>카페24</t>
        </is>
      </c>
      <c r="C99" s="39" t="inlineStr">
        <is>
          <t>고체향수</t>
        </is>
      </c>
      <c r="D99" s="39" t="inlineStr">
        <is>
          <t>유즈 솔리드퍼퓸 - 30ml (10차 재입고 완료향=스테이포에버 002 SOLID PERFUME, 세트 선택=best</t>
        </is>
      </c>
      <c r="E99" s="39" t="inlineStr">
        <is>
          <t>스테이포에버 2set</t>
        </is>
      </c>
      <c r="F99" s="39" t="n">
        <v>201210</v>
      </c>
      <c r="G99" s="42">
        <f>B99&amp;C99&amp;D99&amp;F99</f>
        <v/>
      </c>
      <c r="H99" s="39" t="n">
        <v>58800</v>
      </c>
      <c r="I99" s="40" t="n">
        <v>0.0585</v>
      </c>
      <c r="J99" s="39" t="n">
        <v>5566</v>
      </c>
    </row>
    <row r="100">
      <c r="B100" s="39" t="inlineStr">
        <is>
          <t>카페24</t>
        </is>
      </c>
      <c r="C100" s="39" t="inlineStr">
        <is>
          <t>고체향수</t>
        </is>
      </c>
      <c r="D100" s="39" t="inlineStr">
        <is>
          <t>유즈 솔리드퍼퓸 - 30ml (10차 재입고 완료 )향=커플세트(이그나이트 + 스테이포에버), 세트 선택=1 SET</t>
        </is>
      </c>
      <c r="E100" s="39" t="inlineStr">
        <is>
          <t>이그나이트 + 스테이포에버</t>
        </is>
      </c>
      <c r="F100" s="39" t="n">
        <v>201210</v>
      </c>
      <c r="G100" s="42">
        <f>B100&amp;C100&amp;D100&amp;F100</f>
        <v/>
      </c>
      <c r="H100" s="39" t="n">
        <v>69000</v>
      </c>
      <c r="I100" s="40" t="n">
        <v>0.0585</v>
      </c>
      <c r="J100" s="39" t="n">
        <v>5671</v>
      </c>
    </row>
    <row r="101">
      <c r="B101" s="39" t="inlineStr">
        <is>
          <t>카페24</t>
        </is>
      </c>
      <c r="C101" s="39" t="inlineStr">
        <is>
          <t>고체향수</t>
        </is>
      </c>
      <c r="D101" s="39" t="inlineStr">
        <is>
          <t>유즈 솔리드퍼퓸 - 30ml (10차 재입고 완료향=커플세트</t>
        </is>
      </c>
      <c r="E101" s="39" t="inlineStr">
        <is>
          <t>이그나이트 + 스테이포에버</t>
        </is>
      </c>
      <c r="F101" s="39" t="n">
        <v>201210</v>
      </c>
      <c r="G101" s="42">
        <f>B101&amp;C101&amp;D101&amp;F101</f>
        <v/>
      </c>
      <c r="H101" s="39" t="n">
        <v>69000</v>
      </c>
      <c r="I101" s="40" t="n">
        <v>0.0585</v>
      </c>
      <c r="J101" s="39" t="n">
        <v>5671</v>
      </c>
    </row>
    <row r="102">
      <c r="B102" s="39" t="inlineStr">
        <is>
          <t>유즈 CS</t>
        </is>
      </c>
      <c r="C102" s="39" t="inlineStr">
        <is>
          <t>고체향수</t>
        </is>
      </c>
      <c r="D102" s="39" t="inlineStr">
        <is>
          <t>유즈 솔리드퍼퓸 - 30ml (10차 재입고 완료향=커플세트</t>
        </is>
      </c>
      <c r="E102" s="39" t="inlineStr">
        <is>
          <t>이그나이트 + 스테이포에버</t>
        </is>
      </c>
      <c r="F102" s="39" t="n">
        <v>201210</v>
      </c>
      <c r="G102" s="42">
        <f>B102&amp;C102&amp;D102&amp;F102</f>
        <v/>
      </c>
      <c r="H102" s="39" t="n">
        <v>0</v>
      </c>
      <c r="I102" s="40" t="n">
        <v>0</v>
      </c>
      <c r="J102" s="39" t="n">
        <v>5671</v>
      </c>
    </row>
    <row r="103">
      <c r="B103" s="39" t="inlineStr">
        <is>
          <t>카페24</t>
        </is>
      </c>
      <c r="C103" s="39" t="inlineStr">
        <is>
          <t>고체향수</t>
        </is>
      </c>
      <c r="D103" s="39" t="inlineStr">
        <is>
          <t>유즈 솔리드퍼퓸 - 30ml (10차 재입고 완료향=이그나이트 001 SOLID PERFUME, 세트 선택=best</t>
        </is>
      </c>
      <c r="E103" s="39" t="inlineStr">
        <is>
          <t>이그나이트 2set</t>
        </is>
      </c>
      <c r="F103" s="39" t="n">
        <v>201210</v>
      </c>
      <c r="G103" s="42">
        <f>B103&amp;C103&amp;D103&amp;F103</f>
        <v/>
      </c>
      <c r="H103" s="39" t="n">
        <v>58800</v>
      </c>
      <c r="I103" s="39" t="n">
        <v>0.0585</v>
      </c>
      <c r="J103" s="39" t="n">
        <v>5776</v>
      </c>
    </row>
    <row r="104">
      <c r="B104" s="39" t="inlineStr">
        <is>
          <t>카페24</t>
        </is>
      </c>
      <c r="C104" s="39" t="inlineStr">
        <is>
          <t>쇼핑백</t>
        </is>
      </c>
      <c r="D104" s="39" t="inlineStr">
        <is>
          <t>SHOPPING BAG</t>
        </is>
      </c>
      <c r="E104" s="39" t="inlineStr">
        <is>
          <t>쇼핑백</t>
        </is>
      </c>
      <c r="F104" s="39" t="n">
        <v>201210</v>
      </c>
      <c r="G104" s="42">
        <f>B104&amp;C104&amp;D104&amp;F104</f>
        <v/>
      </c>
      <c r="H104" s="39">
        <f>VLOOKUP($E104,$E$42:$J$64,4,0)</f>
        <v/>
      </c>
      <c r="I104" s="40">
        <f>VLOOKUP($E104,$E$42:$J$64,5,0)</f>
        <v/>
      </c>
      <c r="J104" s="39">
        <f>VLOOKUP($E104,$E$42:$J$64,6,0)</f>
        <v/>
      </c>
      <c r="K104" s="39" t="n"/>
    </row>
    <row r="105">
      <c r="B105" s="39" t="inlineStr">
        <is>
          <t>카페24</t>
        </is>
      </c>
      <c r="C105" s="39" t="inlineStr">
        <is>
          <t>쇼핑백</t>
        </is>
      </c>
      <c r="D105" s="39" t="inlineStr">
        <is>
          <t>유즈 이그나이트 솔리드퍼퓸 001쇼핑백=선물용 쇼핑백</t>
        </is>
      </c>
      <c r="E105" s="39" t="inlineStr">
        <is>
          <t>쇼핑백</t>
        </is>
      </c>
      <c r="F105" s="39" t="n">
        <v>201210</v>
      </c>
      <c r="G105" s="42">
        <f>B105&amp;C105&amp;D105&amp;F105</f>
        <v/>
      </c>
      <c r="H105" s="39">
        <f>VLOOKUP($E105,$E$42:$J$64,4,0)</f>
        <v/>
      </c>
      <c r="I105" s="40">
        <f>VLOOKUP($E105,$E$42:$J$64,5,0)</f>
        <v/>
      </c>
      <c r="J105" s="39">
        <f>VLOOKUP($E105,$E$42:$J$64,6,0)</f>
        <v/>
      </c>
      <c r="K105" s="39" t="n"/>
    </row>
    <row r="106">
      <c r="B106" s="39" t="inlineStr">
        <is>
          <t>카페24</t>
        </is>
      </c>
      <c r="C106" s="39" t="inlineStr">
        <is>
          <t>고체향수</t>
        </is>
      </c>
      <c r="D106" s="39" t="inlineStr">
        <is>
          <t>유즈 스테이포에버 솔리드퍼퓸 002 (10차 재입고 완료제품선택=스테이포에버 1개</t>
        </is>
      </c>
      <c r="E106" s="39" t="inlineStr">
        <is>
          <t>스테이포에버</t>
        </is>
      </c>
      <c r="F106" s="39" t="n">
        <v>201210</v>
      </c>
      <c r="G106" s="42">
        <f>B106&amp;C106&amp;D106&amp;F106</f>
        <v/>
      </c>
      <c r="H106" s="39">
        <f>VLOOKUP($E106,$E$42:$J$64,4,0)</f>
        <v/>
      </c>
      <c r="I106" s="40">
        <f>VLOOKUP($E106,$E$42:$J$64,5,0)</f>
        <v/>
      </c>
      <c r="J106" s="39">
        <f>VLOOKUP($E106,$E$42:$J$64,6,0)</f>
        <v/>
      </c>
    </row>
    <row r="107">
      <c r="B107" s="39" t="inlineStr">
        <is>
          <t>카페24</t>
        </is>
      </c>
      <c r="C107" s="39" t="inlineStr">
        <is>
          <t>고체향수</t>
        </is>
      </c>
      <c r="D107" s="39" t="inlineStr">
        <is>
          <t>유즈 스테이포에버 솔리드퍼퓸 002 (10차 재입고 완료제품선택=best</t>
        </is>
      </c>
      <c r="E107" s="39" t="inlineStr">
        <is>
          <t>스테이포에버 2set</t>
        </is>
      </c>
      <c r="F107" s="39" t="n">
        <v>201210</v>
      </c>
      <c r="G107" s="42">
        <f>B107&amp;C107&amp;D107&amp;F107</f>
        <v/>
      </c>
      <c r="H107" s="39" t="n">
        <v>58800</v>
      </c>
      <c r="I107" s="40" t="n">
        <v>0.0585</v>
      </c>
      <c r="J107" s="39" t="n">
        <v>5566</v>
      </c>
    </row>
    <row r="108">
      <c r="B108" s="39" t="inlineStr">
        <is>
          <t>카페24</t>
        </is>
      </c>
      <c r="C108" s="39" t="inlineStr">
        <is>
          <t>고체향수</t>
        </is>
      </c>
      <c r="D108" s="39" t="inlineStr">
        <is>
          <t>유즈 스테이포에버 솔리드퍼퓸 002 (10차 재입고 완료쇼핑백=선물용 쇼핑백</t>
        </is>
      </c>
      <c r="E108" s="39" t="inlineStr">
        <is>
          <t>쇼핑백</t>
        </is>
      </c>
      <c r="F108" s="39" t="n">
        <v>201210</v>
      </c>
      <c r="G108" s="42">
        <f>B108&amp;C108&amp;D108&amp;F108</f>
        <v/>
      </c>
      <c r="H108" s="39">
        <f>VLOOKUP($E108,$E$42:$J$64,4,0)</f>
        <v/>
      </c>
      <c r="I108" s="40">
        <f>VLOOKUP($E108,$E$42:$J$64,5,0)</f>
        <v/>
      </c>
      <c r="J108" s="39">
        <f>VLOOKUP($E108,$E$42:$J$64,6,0)</f>
        <v/>
      </c>
    </row>
    <row r="109">
      <c r="B109" s="39" t="inlineStr">
        <is>
          <t>카페24</t>
        </is>
      </c>
      <c r="C109" s="39" t="inlineStr">
        <is>
          <t>고체향수</t>
        </is>
      </c>
      <c r="D109" s="39" t="inlineStr">
        <is>
          <t>유즈 스테이포에버 솔리드퍼퓸 002 (10차 재입고 완료)제품선택=best스테이포에버 2개[28% 할인]</t>
        </is>
      </c>
      <c r="E109" s="39" t="inlineStr">
        <is>
          <t>스테이포에버 2set</t>
        </is>
      </c>
      <c r="F109" s="39" t="n">
        <v>201210</v>
      </c>
      <c r="G109" s="42">
        <f>B109&amp;C109&amp;D109&amp;F109</f>
        <v/>
      </c>
      <c r="H109" s="39" t="n">
        <v>58800</v>
      </c>
      <c r="I109" s="40" t="n">
        <v>0.0585</v>
      </c>
      <c r="J109" s="39" t="n">
        <v>5566</v>
      </c>
    </row>
    <row r="110">
      <c r="B110" s="39" t="inlineStr">
        <is>
          <t>카페24</t>
        </is>
      </c>
      <c r="C110" s="39" t="inlineStr">
        <is>
          <t>고체향수</t>
        </is>
      </c>
      <c r="D110" s="39" t="inlineStr">
        <is>
          <t>유즈 스테이포에버 솔리드퍼퓸 002 (10차 재입고 완료)제품선택=커플추천스테이포에버 + 이그나이트 세트</t>
        </is>
      </c>
      <c r="E110" s="39" t="inlineStr">
        <is>
          <t>이그나이트 + 스테이포에버</t>
        </is>
      </c>
      <c r="F110" s="39" t="n">
        <v>201210</v>
      </c>
      <c r="G110" s="42">
        <f>B110&amp;C110&amp;D110&amp;F110</f>
        <v/>
      </c>
      <c r="H110" s="39" t="n">
        <v>0</v>
      </c>
      <c r="I110" s="40" t="n">
        <v>0</v>
      </c>
      <c r="J110" s="39" t="n">
        <v>5671</v>
      </c>
    </row>
    <row r="111">
      <c r="B111" s="39" t="inlineStr">
        <is>
          <t>카페24</t>
        </is>
      </c>
      <c r="C111" s="39" t="inlineStr">
        <is>
          <t>고체향수</t>
        </is>
      </c>
      <c r="D111" s="39" t="inlineStr">
        <is>
          <t>유즈 스테이포에버 솔리드퍼퓸 002 (10차 재입고 완료)쇼핑백=선물용 쇼핑백</t>
        </is>
      </c>
      <c r="E111" s="39" t="inlineStr">
        <is>
          <t>쇼핑백</t>
        </is>
      </c>
      <c r="F111" s="39" t="n">
        <v>201210</v>
      </c>
      <c r="G111" s="42">
        <f>B111&amp;C111&amp;D111&amp;F111</f>
        <v/>
      </c>
      <c r="H111" s="39">
        <f>VLOOKUP($E111,$E$42:$J$64,4,0)</f>
        <v/>
      </c>
      <c r="I111" s="40">
        <f>VLOOKUP($E111,$E$42:$J$64,5,0)</f>
        <v/>
      </c>
      <c r="J111" s="39">
        <f>VLOOKUP($E111,$E$42:$J$64,6,0)</f>
        <v/>
      </c>
    </row>
    <row r="112">
      <c r="B112" s="39" t="inlineStr">
        <is>
          <t>카페24</t>
        </is>
      </c>
      <c r="C112" s="39" t="inlineStr">
        <is>
          <t>고체향수</t>
        </is>
      </c>
      <c r="D112" s="39" t="inlineStr">
        <is>
          <t>유즈 솔리드퍼퓸 - 30ml (10차 재입고 완료 )향=이그나이트 001 SOLID PERFUME, 세트 선택=best 2개 (28% 할인)</t>
        </is>
      </c>
      <c r="E112" s="39" t="inlineStr">
        <is>
          <t>이그나이트 2set</t>
        </is>
      </c>
      <c r="F112" s="39" t="n">
        <v>201210</v>
      </c>
      <c r="G112" s="42">
        <f>B112&amp;C112&amp;D112&amp;F112</f>
        <v/>
      </c>
      <c r="H112" s="39" t="n">
        <v>58800</v>
      </c>
      <c r="I112" s="39" t="n">
        <v>0.0585</v>
      </c>
      <c r="J112" s="39" t="n">
        <v>5776</v>
      </c>
    </row>
    <row r="113">
      <c r="B113" s="39" t="inlineStr">
        <is>
          <t>카페24</t>
        </is>
      </c>
      <c r="C113" s="39" t="inlineStr">
        <is>
          <t>고체향수</t>
        </is>
      </c>
      <c r="D113" s="39" t="inlineStr">
        <is>
          <t>유즈 솔리드퍼퓸 - 30ml (10차 재입고 완료 )향=커플세트(이그나이트 + 스테이포에버), 세트 선택=2 SET (42% 할인)</t>
        </is>
      </c>
      <c r="E113" s="39" t="inlineStr">
        <is>
          <t>이그나이트 + 스테이포에버</t>
        </is>
      </c>
      <c r="F113" s="39" t="n">
        <v>201210</v>
      </c>
      <c r="G113" s="42">
        <f>B113&amp;C113&amp;D113&amp;F113</f>
        <v/>
      </c>
      <c r="H113" s="39" t="n">
        <v>0</v>
      </c>
      <c r="I113" s="40" t="n">
        <v>0</v>
      </c>
      <c r="J113" s="39" t="n">
        <v>5671</v>
      </c>
    </row>
    <row r="114">
      <c r="B114" s="39" t="inlineStr">
        <is>
          <t>유즈 CS</t>
        </is>
      </c>
      <c r="C114" s="39" t="inlineStr">
        <is>
          <t>고체향수</t>
        </is>
      </c>
      <c r="D114" s="39" t="inlineStr">
        <is>
          <t>유즈 스테이포에버 솔리드퍼퓸 002 (10차 재입고 완료)제품선택=커플추천스테이포에버 + 이그나이트 세트</t>
        </is>
      </c>
      <c r="E114" s="39" t="inlineStr">
        <is>
          <t>이그나이트 + 스테이포에버</t>
        </is>
      </c>
      <c r="F114" s="39" t="n">
        <v>201210</v>
      </c>
      <c r="G114" s="42">
        <f>B114&amp;C114&amp;D114&amp;F114</f>
        <v/>
      </c>
      <c r="H114" s="39" t="n">
        <v>0</v>
      </c>
      <c r="I114" s="40" t="n">
        <v>0</v>
      </c>
      <c r="J114" s="39" t="n">
        <v>5671</v>
      </c>
    </row>
    <row r="115">
      <c r="B115" s="39" t="inlineStr">
        <is>
          <t>카페24</t>
        </is>
      </c>
      <c r="C115" s="39" t="inlineStr">
        <is>
          <t>고체향수</t>
        </is>
      </c>
      <c r="D115" s="39" t="inlineStr">
        <is>
          <t>유즈 솔리드퍼퓸 - 30ml (10차 재입고 완료)향=커플세트</t>
        </is>
      </c>
      <c r="E115" s="39" t="inlineStr">
        <is>
          <t>이그나이트 + 스테이포에버</t>
        </is>
      </c>
      <c r="F115" s="39" t="n">
        <v>201210</v>
      </c>
      <c r="G115" s="42">
        <f>B115&amp;C115&amp;D115&amp;F115</f>
        <v/>
      </c>
      <c r="H115" s="39" t="n">
        <v>69000</v>
      </c>
      <c r="I115" s="40" t="n">
        <v>0.0585</v>
      </c>
      <c r="J115" s="39" t="n">
        <v>5671</v>
      </c>
    </row>
    <row r="116">
      <c r="B116" s="39" t="inlineStr">
        <is>
          <t>카페24</t>
        </is>
      </c>
      <c r="C116" s="39" t="inlineStr">
        <is>
          <t>고체향수</t>
        </is>
      </c>
      <c r="D116" s="39" t="inlineStr">
        <is>
          <t>유즈 솔리드퍼퓸 - 30ml (10차 재입고 완료)향=이그나이트 001 SOLID PERFUME, 세트 선택=1개</t>
        </is>
      </c>
      <c r="E116" s="39" t="inlineStr">
        <is>
          <t>이그나이트</t>
        </is>
      </c>
      <c r="F116" s="39" t="n">
        <v>201210</v>
      </c>
      <c r="G116" s="42">
        <f>B116&amp;C116&amp;D116&amp;F116</f>
        <v/>
      </c>
      <c r="H116" s="39">
        <f>VLOOKUP($E116,$E$42:$J$64,4,0)</f>
        <v/>
      </c>
      <c r="I116" s="40">
        <f>VLOOKUP($E116,$E$42:$J$64,5,0)</f>
        <v/>
      </c>
      <c r="J116" s="39">
        <f>VLOOKUP($E116,$E$42:$J$64,6,0)</f>
        <v/>
      </c>
    </row>
    <row r="117">
      <c r="B117" s="39" t="inlineStr">
        <is>
          <t>카페24</t>
        </is>
      </c>
      <c r="C117" s="39" t="inlineStr">
        <is>
          <t>고체향수</t>
        </is>
      </c>
      <c r="D117" s="39" t="inlineStr">
        <is>
          <t>유즈 솔리드퍼퓸 - 30ml (10차 재입고 완료)향=이그나이트 001 SOLID PERFUME, 세트 선택=best</t>
        </is>
      </c>
      <c r="E117" s="39" t="inlineStr">
        <is>
          <t>이그나이트 2set</t>
        </is>
      </c>
      <c r="F117" s="39" t="n">
        <v>201210</v>
      </c>
      <c r="G117" s="42">
        <f>B117&amp;C117&amp;D117&amp;F117</f>
        <v/>
      </c>
      <c r="H117" s="39" t="n">
        <v>58800</v>
      </c>
      <c r="I117" s="39" t="n">
        <v>0.0585</v>
      </c>
      <c r="J117" s="39" t="n">
        <v>5776</v>
      </c>
    </row>
    <row r="118">
      <c r="B118" s="39" t="inlineStr">
        <is>
          <t>카페24</t>
        </is>
      </c>
      <c r="C118" s="39" t="inlineStr">
        <is>
          <t>고체향수</t>
        </is>
      </c>
      <c r="D118" s="39" t="inlineStr">
        <is>
          <t>유즈 솔리드퍼퓸 - 30ml (10차 재입고 완료)향=스테이포에버 002 SOLID PERFUME, 세트 선택=1개</t>
        </is>
      </c>
      <c r="E118" s="39" t="inlineStr">
        <is>
          <t>스테이포에버</t>
        </is>
      </c>
      <c r="F118" s="39" t="n">
        <v>201210</v>
      </c>
      <c r="G118" s="42">
        <f>B118&amp;C118&amp;D118&amp;F118</f>
        <v/>
      </c>
      <c r="H118" s="39">
        <f>VLOOKUP($E118,$E$42:$J$64,4,0)</f>
        <v/>
      </c>
      <c r="I118" s="40">
        <f>VLOOKUP($E118,$E$42:$J$64,5,0)</f>
        <v/>
      </c>
      <c r="J118" s="39">
        <f>VLOOKUP($E118,$E$42:$J$64,6,0)</f>
        <v/>
      </c>
    </row>
    <row r="119">
      <c r="B119" s="39" t="inlineStr">
        <is>
          <t>카페24</t>
        </is>
      </c>
      <c r="C119" s="39" t="inlineStr">
        <is>
          <t>고체향수</t>
        </is>
      </c>
      <c r="D119" s="39" t="inlineStr">
        <is>
          <t>유즈 솔리드퍼퓸 - 30ml (10차 재입고 완료)향=스테이포에버 002 SOLID PERFUME, 세트 선택=best 2개 (28% 할인)</t>
        </is>
      </c>
      <c r="E119" s="39" t="inlineStr">
        <is>
          <t>스테이포에버 2set</t>
        </is>
      </c>
      <c r="F119" s="39" t="n">
        <v>201210</v>
      </c>
      <c r="G119" s="42">
        <f>B119&amp;C119&amp;D119&amp;F119</f>
        <v/>
      </c>
      <c r="H119" s="39" t="n">
        <v>58800</v>
      </c>
      <c r="I119" s="40" t="n">
        <v>0.0585</v>
      </c>
      <c r="J119" s="39" t="n">
        <v>5566</v>
      </c>
    </row>
    <row r="120">
      <c r="B120" s="39" t="inlineStr">
        <is>
          <t>카페24</t>
        </is>
      </c>
      <c r="C120" s="39" t="inlineStr">
        <is>
          <t>고체향수</t>
        </is>
      </c>
      <c r="D120" s="39" t="inlineStr">
        <is>
          <t>유즈 솔리드퍼퓸 - 30ml (10차 재입고 완료)향=커플세트(이그나이트 + 스테이포에버), 세트 선택=1 SET</t>
        </is>
      </c>
      <c r="E120" s="39" t="inlineStr">
        <is>
          <t>이그나이트 + 스테이포에버</t>
        </is>
      </c>
      <c r="F120" s="39" t="n">
        <v>201210</v>
      </c>
      <c r="G120" s="42">
        <f>B120&amp;C120&amp;D120&amp;F120</f>
        <v/>
      </c>
      <c r="H120" s="39" t="n">
        <v>69000</v>
      </c>
      <c r="I120" s="40" t="n">
        <v>0.0585</v>
      </c>
      <c r="J120" s="39" t="n">
        <v>5671</v>
      </c>
    </row>
    <row r="121">
      <c r="B121" s="39" t="inlineStr">
        <is>
          <t>카페24</t>
        </is>
      </c>
      <c r="C121" s="39" t="inlineStr">
        <is>
          <t>고체향수</t>
        </is>
      </c>
      <c r="D121" s="39" t="inlineStr">
        <is>
          <t>유즈 스테이포에버 솔리드퍼퓸 002 (10차 재입고 완료)제품선택=best</t>
        </is>
      </c>
      <c r="E121" s="39" t="inlineStr">
        <is>
          <t>스테이포에버 2set</t>
        </is>
      </c>
      <c r="F121" s="39" t="n">
        <v>201210</v>
      </c>
      <c r="G121" s="42">
        <f>B121&amp;C121&amp;D121&amp;F121</f>
        <v/>
      </c>
      <c r="H121" s="39" t="n">
        <v>58800</v>
      </c>
      <c r="I121" s="40" t="n">
        <v>0.0585</v>
      </c>
      <c r="J121" s="39" t="n">
        <v>5566</v>
      </c>
    </row>
    <row r="122">
      <c r="B122" s="39" t="inlineStr">
        <is>
          <t>카페24</t>
        </is>
      </c>
      <c r="C122" s="39" t="inlineStr">
        <is>
          <t>고체향수</t>
        </is>
      </c>
      <c r="D122" s="39" t="inlineStr">
        <is>
          <t>유즈 스테이포에버 솔리드퍼퓸 002 (10차 재입고 완료)제품선택=커플추천</t>
        </is>
      </c>
      <c r="E122" s="39" t="inlineStr">
        <is>
          <t>이그나이트 + 스테이포에버</t>
        </is>
      </c>
      <c r="F122" s="39" t="n">
        <v>201210</v>
      </c>
      <c r="G122" s="42">
        <f>B122&amp;C122&amp;D122&amp;F122</f>
        <v/>
      </c>
      <c r="H122" s="39" t="n">
        <v>58800</v>
      </c>
      <c r="I122" s="39" t="n">
        <v>0.0585</v>
      </c>
      <c r="J122" s="39" t="n">
        <v>5776</v>
      </c>
    </row>
    <row r="123">
      <c r="B123" s="39" t="inlineStr">
        <is>
          <t>카페24</t>
        </is>
      </c>
      <c r="C123" s="39" t="inlineStr">
        <is>
          <t>고체향수</t>
        </is>
      </c>
      <c r="D123" s="39" t="inlineStr">
        <is>
          <t>유즈 솔리드퍼퓸 - 30ml (10차 재입고 완료)향=스테이포에버 002 SOLID PERFUME, 세트 선택=best</t>
        </is>
      </c>
      <c r="E123" s="39" t="inlineStr">
        <is>
          <t>스테이포에버 2set</t>
        </is>
      </c>
      <c r="F123" s="39" t="n">
        <v>201210</v>
      </c>
      <c r="G123" s="42">
        <f>B123&amp;C123&amp;D123&amp;F123</f>
        <v/>
      </c>
      <c r="H123" s="39" t="n">
        <v>58800</v>
      </c>
      <c r="I123" s="40" t="n">
        <v>0.0585</v>
      </c>
      <c r="J123" s="39" t="n">
        <v>5566</v>
      </c>
    </row>
    <row r="124">
      <c r="B124" s="39" t="inlineStr">
        <is>
          <t>카페24</t>
        </is>
      </c>
      <c r="C124" s="39" t="inlineStr">
        <is>
          <t>고체향수</t>
        </is>
      </c>
      <c r="D124" s="39" t="inlineStr">
        <is>
          <t>유즈 솔리드퍼퓸 - 30ml (10차 재입고 완료)향=커플세트(이그나이트 + 스테이포에버), 세트 선택=2 SET (42% 할인)</t>
        </is>
      </c>
      <c r="E124" s="39" t="inlineStr">
        <is>
          <t>이그나이트 + 스테이포에버</t>
        </is>
      </c>
      <c r="F124" s="39" t="n">
        <v>201210</v>
      </c>
      <c r="G124" s="42">
        <f>B124&amp;C124&amp;D124&amp;F124</f>
        <v/>
      </c>
      <c r="H124" s="39" t="n">
        <v>58800</v>
      </c>
      <c r="I124" s="39" t="n">
        <v>0.0585</v>
      </c>
      <c r="J124" s="39" t="n">
        <v>5776</v>
      </c>
    </row>
    <row r="125">
      <c r="B125" s="39" t="inlineStr">
        <is>
          <t>카페24</t>
        </is>
      </c>
      <c r="C125" s="39" t="inlineStr">
        <is>
          <t>고체향수</t>
        </is>
      </c>
      <c r="D125" s="39" t="inlineStr">
        <is>
          <t>유즈 솔리드퍼퓸 - 30ml (11차 예약구매 진행중)향=스테이포에버 002 SOLID PERFUME, 세트 선택=1개</t>
        </is>
      </c>
      <c r="E125" s="39" t="inlineStr">
        <is>
          <t>스테이포에버</t>
        </is>
      </c>
      <c r="F125" s="39" t="n">
        <v>201210</v>
      </c>
      <c r="G125" s="42">
        <f>B125&amp;C125&amp;D125&amp;F125</f>
        <v/>
      </c>
      <c r="H125" s="39" t="n">
        <v>34000</v>
      </c>
      <c r="I125" s="40">
        <f>VLOOKUP($E125,$E$42:$J$64,5,0)</f>
        <v/>
      </c>
      <c r="J125" s="39">
        <f>VLOOKUP($E125,$E$42:$J$64,6,0)</f>
        <v/>
      </c>
    </row>
    <row r="126">
      <c r="B126" s="39" t="inlineStr">
        <is>
          <t>카페24</t>
        </is>
      </c>
      <c r="C126" s="39" t="inlineStr">
        <is>
          <t>고체향수</t>
        </is>
      </c>
      <c r="D126" s="39" t="inlineStr">
        <is>
          <t>유즈 솔리드퍼퓸 - 30ml (11차 예약구매 진행중)향=스테이포에버 002 SOLID PERFUME, 세트 선택=best 2개 (28% 할인)</t>
        </is>
      </c>
      <c r="E126" s="39" t="inlineStr">
        <is>
          <t>스테이포에버 2set</t>
        </is>
      </c>
      <c r="F126" s="39" t="n">
        <v>201210</v>
      </c>
      <c r="G126" s="42">
        <f>B126&amp;C126&amp;D126&amp;F126</f>
        <v/>
      </c>
      <c r="H126" s="39" t="n">
        <v>58800</v>
      </c>
      <c r="I126" s="40" t="n">
        <v>0.0585</v>
      </c>
      <c r="J126" s="39" t="n">
        <v>5566</v>
      </c>
    </row>
    <row r="127">
      <c r="B127" s="39" t="inlineStr">
        <is>
          <t>카페24</t>
        </is>
      </c>
      <c r="C127" s="39" t="inlineStr">
        <is>
          <t>고체향수</t>
        </is>
      </c>
      <c r="D127" s="39" t="inlineStr">
        <is>
          <t>유즈 스테이포에버 솔리드퍼퓸 002 (11차 예약구매 진행중)제품선택=스테이포에버 1개</t>
        </is>
      </c>
      <c r="E127" s="39" t="inlineStr">
        <is>
          <t>스테이포에버</t>
        </is>
      </c>
      <c r="F127" s="39" t="n">
        <v>201210</v>
      </c>
      <c r="G127" s="42">
        <f>B127&amp;C127&amp;D127&amp;F127</f>
        <v/>
      </c>
      <c r="H127" s="39" t="n">
        <v>34000</v>
      </c>
      <c r="I127" s="40">
        <f>VLOOKUP($E127,$E$42:$J$64,5,0)</f>
        <v/>
      </c>
      <c r="J127" s="39">
        <f>VLOOKUP($E127,$E$42:$J$64,6,0)</f>
        <v/>
      </c>
    </row>
    <row r="128">
      <c r="B128" s="39" t="inlineStr">
        <is>
          <t>카페24</t>
        </is>
      </c>
      <c r="C128" s="39" t="inlineStr">
        <is>
          <t>고체향수</t>
        </is>
      </c>
      <c r="D128" s="39" t="inlineStr">
        <is>
          <t>유즈 스테이포에버 솔리드퍼퓸 002 (11차 예약구매 진행중)제품선택=best</t>
        </is>
      </c>
      <c r="E128" s="39" t="inlineStr">
        <is>
          <t>스테이포에버</t>
        </is>
      </c>
      <c r="F128" s="39" t="n">
        <v>201210</v>
      </c>
      <c r="G128" s="42">
        <f>B128&amp;C128&amp;D128&amp;F128</f>
        <v/>
      </c>
      <c r="H128" s="39" t="n">
        <v>34000</v>
      </c>
      <c r="I128" s="40">
        <f>VLOOKUP($E128,$E$42:$J$64,5,0)</f>
        <v/>
      </c>
      <c r="J128" s="39">
        <f>VLOOKUP($E128,$E$42:$J$64,6,0)</f>
        <v/>
      </c>
    </row>
    <row r="129">
      <c r="B129" s="39" t="inlineStr">
        <is>
          <t>카페24</t>
        </is>
      </c>
      <c r="C129" s="39" t="inlineStr">
        <is>
          <t>고체향수</t>
        </is>
      </c>
      <c r="D129" s="39" t="inlineStr">
        <is>
          <t>유즈 스테이포에버 솔리드퍼퓸 002 (11차 예약구매 진행중)제품선택=best스테이포에버 2개[28% 할인]</t>
        </is>
      </c>
      <c r="E129" s="39" t="inlineStr">
        <is>
          <t>스테이포에버 2set</t>
        </is>
      </c>
      <c r="F129" s="39" t="n">
        <v>201210</v>
      </c>
      <c r="G129" s="42">
        <f>B129&amp;C129&amp;D129&amp;F129</f>
        <v/>
      </c>
      <c r="H129" s="39" t="n">
        <v>58800</v>
      </c>
      <c r="I129" s="40" t="n">
        <v>0.0585</v>
      </c>
      <c r="J129" s="39" t="n">
        <v>5566</v>
      </c>
    </row>
    <row r="130">
      <c r="B130" s="39" t="inlineStr">
        <is>
          <t>카페24</t>
        </is>
      </c>
      <c r="C130" s="39" t="inlineStr">
        <is>
          <t>고체향수</t>
        </is>
      </c>
      <c r="D130" s="39" t="inlineStr">
        <is>
          <t>유즈 스테이포에버 솔리드퍼퓸 002 (11차 예약구매 진행중)제품선택=커플추천</t>
        </is>
      </c>
      <c r="E130" s="39" t="inlineStr">
        <is>
          <t>스테이포에버</t>
        </is>
      </c>
      <c r="F130" s="39" t="n">
        <v>201210</v>
      </c>
      <c r="G130" s="42">
        <f>B130&amp;C130&amp;D130&amp;F130</f>
        <v/>
      </c>
      <c r="H130" s="39" t="n">
        <v>34000</v>
      </c>
      <c r="I130" s="40">
        <f>VLOOKUP($E130,$E$42:$J$64,5,0)</f>
        <v/>
      </c>
      <c r="J130" s="39">
        <f>VLOOKUP($E130,$E$42:$J$64,6,0)</f>
        <v/>
      </c>
    </row>
    <row r="131">
      <c r="B131" s="39" t="inlineStr">
        <is>
          <t>카페24</t>
        </is>
      </c>
      <c r="C131" s="39" t="inlineStr">
        <is>
          <t>고체향수</t>
        </is>
      </c>
      <c r="D131" s="39" t="inlineStr">
        <is>
          <t>유즈 스테이포에버 솔리드퍼퓸 002 (11차 예약구매 진행중)제품선택=커플추천스테이포에버 + 이그나이트 세트</t>
        </is>
      </c>
      <c r="E131" s="39" t="inlineStr">
        <is>
          <t>이그나이트 + 스테이포에버</t>
        </is>
      </c>
      <c r="F131" s="39" t="n">
        <v>201210</v>
      </c>
      <c r="G131" s="42">
        <f>B131&amp;C131&amp;D131&amp;F131</f>
        <v/>
      </c>
      <c r="H131" s="39" t="n">
        <v>58800</v>
      </c>
      <c r="I131" s="39" t="n">
        <v>0.0585</v>
      </c>
      <c r="J131" s="39" t="n">
        <v>5776</v>
      </c>
    </row>
    <row r="132">
      <c r="B132" s="39" t="inlineStr">
        <is>
          <t>카페24</t>
        </is>
      </c>
      <c r="C132" s="39" t="inlineStr">
        <is>
          <t>고체향수</t>
        </is>
      </c>
      <c r="D132" s="39" t="inlineStr">
        <is>
          <t>유즈 스테이포에버 솔리드퍼퓸 002 (11차 예약구매 진행중)쇼핑백=선물용 쇼핑백</t>
        </is>
      </c>
      <c r="E132" s="39" t="inlineStr">
        <is>
          <t>쇼핑백</t>
        </is>
      </c>
      <c r="F132" s="39" t="n">
        <v>201210</v>
      </c>
      <c r="G132" s="42">
        <f>B132&amp;C132&amp;D132&amp;F132</f>
        <v/>
      </c>
      <c r="H132" s="39">
        <f>VLOOKUP($E132,$E$42:$J$64,4,0)</f>
        <v/>
      </c>
      <c r="I132" s="40">
        <f>VLOOKUP($E132,$E$42:$J$64,5,0)</f>
        <v/>
      </c>
      <c r="J132" s="39">
        <f>VLOOKUP($E132,$E$42:$J$64,6,0)</f>
        <v/>
      </c>
    </row>
    <row r="133">
      <c r="B133" s="39" t="inlineStr">
        <is>
          <t>카페24</t>
        </is>
      </c>
      <c r="C133" s="39" t="inlineStr">
        <is>
          <t>고체향수</t>
        </is>
      </c>
      <c r="D133" s="39" t="inlineStr">
        <is>
          <t>유즈 솔리드퍼퓸 - 30ml (11차 예약구매 진행중)향=이그나이트 001 SOLID PERFUME, 세트 선택=1개</t>
        </is>
      </c>
      <c r="E133" s="39" t="inlineStr">
        <is>
          <t>이그나이트</t>
        </is>
      </c>
      <c r="F133" s="39" t="n">
        <v>201210</v>
      </c>
      <c r="G133" s="42">
        <f>B133&amp;C133&amp;D133&amp;F133</f>
        <v/>
      </c>
      <c r="H133" s="39" t="n">
        <v>34000</v>
      </c>
      <c r="I133" s="40">
        <f>VLOOKUP($E133,$E$42:$J$64,5,0)</f>
        <v/>
      </c>
      <c r="J133" s="39">
        <f>VLOOKUP($E133,$E$42:$J$64,6,0)</f>
        <v/>
      </c>
    </row>
    <row r="134">
      <c r="B134" s="39" t="inlineStr">
        <is>
          <t>카페24</t>
        </is>
      </c>
      <c r="C134" s="39" t="inlineStr">
        <is>
          <t>고체향수</t>
        </is>
      </c>
      <c r="D134" s="39" t="inlineStr">
        <is>
          <t>유즈 솔리드퍼퓸 - 30ml (11차 예약구매 진행중)향=스테이포에버 002 SOLID PERFUME, 세트 선택=best</t>
        </is>
      </c>
      <c r="E134" s="39" t="inlineStr">
        <is>
          <t>스테이포에버</t>
        </is>
      </c>
      <c r="F134" s="39" t="n">
        <v>201210</v>
      </c>
      <c r="G134" s="42">
        <f>B134&amp;C134&amp;D134&amp;F134</f>
        <v/>
      </c>
      <c r="H134" s="39" t="n">
        <v>34000</v>
      </c>
      <c r="I134" s="40">
        <f>VLOOKUP($E134,$E$42:$J$64,5,0)</f>
        <v/>
      </c>
      <c r="J134" s="39">
        <f>VLOOKUP($E134,$E$42:$J$64,6,0)</f>
        <v/>
      </c>
    </row>
    <row r="135">
      <c r="B135" s="39" t="inlineStr">
        <is>
          <t>카페24</t>
        </is>
      </c>
      <c r="C135" s="39" t="inlineStr">
        <is>
          <t>고체향수</t>
        </is>
      </c>
      <c r="D135" s="39" t="inlineStr">
        <is>
          <t>유즈 솔리드퍼퓸 - 30ml (11차 예약구매 진행중)향=커플세트</t>
        </is>
      </c>
      <c r="E135" s="39" t="inlineStr">
        <is>
          <t>이그나이트 + 스테이포에버</t>
        </is>
      </c>
      <c r="F135" s="39" t="n">
        <v>201210</v>
      </c>
      <c r="G135" s="42">
        <f>B135&amp;C135&amp;D135&amp;F135</f>
        <v/>
      </c>
      <c r="H135" s="39" t="n">
        <v>58800</v>
      </c>
      <c r="I135" s="39" t="n">
        <v>0.0585</v>
      </c>
      <c r="J135" s="39" t="n">
        <v>5776</v>
      </c>
    </row>
    <row r="136">
      <c r="B136" s="39" t="inlineStr">
        <is>
          <t>카페24</t>
        </is>
      </c>
      <c r="C136" s="39" t="inlineStr">
        <is>
          <t>고체향수</t>
        </is>
      </c>
      <c r="D136" s="39" t="inlineStr">
        <is>
          <t>유즈 솔리드퍼퓸 - 30ml (11차 예약구매 진행중)향=커플세트(이그나이트 + 스테이포에버), 세트 선택=1 SET</t>
        </is>
      </c>
      <c r="E136" s="39" t="inlineStr">
        <is>
          <t>이그나이트 + 스테이포에버</t>
        </is>
      </c>
      <c r="F136" s="39" t="n">
        <v>201210</v>
      </c>
      <c r="G136" s="42">
        <f>B136&amp;C136&amp;D136&amp;F136</f>
        <v/>
      </c>
      <c r="H136" s="39" t="n">
        <v>58800</v>
      </c>
      <c r="I136" s="39" t="n">
        <v>0.0585</v>
      </c>
      <c r="J136" s="39" t="n">
        <v>5776</v>
      </c>
    </row>
    <row r="137">
      <c r="B137" s="39" t="inlineStr">
        <is>
          <t>카페24</t>
        </is>
      </c>
      <c r="C137" s="39" t="inlineStr">
        <is>
          <t>고체향수</t>
        </is>
      </c>
      <c r="D137" s="39" t="inlineStr">
        <is>
          <t>유즈 솔리드퍼퓸 - 30ml (11차 예약구매 진행중)향=커플세트(이그나이트 + 스테이포에버), 세트 선택=2 SET (42% 할인)</t>
        </is>
      </c>
      <c r="E137" s="39" t="inlineStr">
        <is>
          <t>이그나이트 + 스테이포에버</t>
        </is>
      </c>
      <c r="F137" s="39" t="n">
        <v>201210</v>
      </c>
      <c r="G137" s="42">
        <f>B137&amp;C137&amp;D137&amp;F137</f>
        <v/>
      </c>
      <c r="H137" s="39" t="n">
        <v>58800</v>
      </c>
      <c r="I137" s="39" t="n">
        <v>0.0585</v>
      </c>
      <c r="J137" s="39" t="n">
        <v>5776</v>
      </c>
    </row>
    <row r="138">
      <c r="B138" s="39" t="inlineStr">
        <is>
          <t>카페24</t>
        </is>
      </c>
      <c r="C138" s="39" t="inlineStr">
        <is>
          <t>고체향수</t>
        </is>
      </c>
      <c r="D138" s="39" t="inlineStr">
        <is>
          <t>유즈 솔리드퍼퓸 - 30ml (11차 예약구매 진행중)향=이그나이트 001 SOLID PERFUME, 세트 선택=best</t>
        </is>
      </c>
      <c r="E138" s="39" t="inlineStr">
        <is>
          <t>이그나이트</t>
        </is>
      </c>
      <c r="F138" s="39" t="n">
        <v>201210</v>
      </c>
      <c r="G138" s="42">
        <f>B138&amp;C138&amp;D138&amp;F138</f>
        <v/>
      </c>
      <c r="H138" s="39" t="n">
        <v>34000</v>
      </c>
      <c r="I138" s="40">
        <f>VLOOKUP($E138,$E$42:$J$64,5,0)</f>
        <v/>
      </c>
      <c r="J138" s="39">
        <f>VLOOKUP($E138,$E$42:$J$64,6,0)</f>
        <v/>
      </c>
    </row>
    <row r="139">
      <c r="B139" s="39" t="inlineStr">
        <is>
          <t>유즈 CS</t>
        </is>
      </c>
      <c r="C139" s="39" t="inlineStr">
        <is>
          <t>고체향수</t>
        </is>
      </c>
      <c r="D139" s="39" t="inlineStr">
        <is>
          <t>유즈 솔리드퍼퓸 - 30ml (스테이포에버 주문 시 12/14 순차배송)향=스테이포에버, 세트 선택=1 개</t>
        </is>
      </c>
      <c r="E139" s="39" t="inlineStr">
        <is>
          <t>스테이포에버</t>
        </is>
      </c>
      <c r="F139" s="39" t="n">
        <v>201210</v>
      </c>
      <c r="G139" s="42">
        <f>B139&amp;C139&amp;D139&amp;F139</f>
        <v/>
      </c>
      <c r="H139" s="39" t="n">
        <v>0</v>
      </c>
      <c r="I139" s="40" t="n">
        <v>0</v>
      </c>
      <c r="J139" s="39" t="n">
        <v>5671</v>
      </c>
    </row>
    <row r="140">
      <c r="B140" s="39" t="inlineStr">
        <is>
          <t>유즈 CS</t>
        </is>
      </c>
      <c r="C140" s="39" t="inlineStr">
        <is>
          <t>고체향수</t>
        </is>
      </c>
      <c r="D140" s="39" t="inlineStr">
        <is>
          <t>유즈 스테이포에버 솔리드퍼퓸 002 (스테이포에버 주문시 12/14 순차배송)제품선택=스테이포에버 솔리드퍼퓸 002[Pre-order 이벤트 17% 할인]</t>
        </is>
      </c>
      <c r="E140" s="39" t="inlineStr">
        <is>
          <t>스테이포에버</t>
        </is>
      </c>
      <c r="F140" s="39" t="n">
        <v>201210</v>
      </c>
      <c r="G140" s="42">
        <f>B140&amp;C140&amp;D140&amp;F140</f>
        <v/>
      </c>
      <c r="H140" s="39" t="n">
        <v>0</v>
      </c>
      <c r="I140" s="40" t="n">
        <v>0</v>
      </c>
      <c r="J140" s="39" t="n">
        <v>5671</v>
      </c>
    </row>
    <row r="141">
      <c r="B141" s="39" t="inlineStr">
        <is>
          <t>카페24</t>
        </is>
      </c>
      <c r="C141" s="39" t="inlineStr">
        <is>
          <t>고체향수</t>
        </is>
      </c>
      <c r="D141" s="39" t="inlineStr">
        <is>
          <t>유즈 솔리드퍼퓸 - 30ml (11차 예약구매 진행중)향=이그나이트 001 SOLID PERFUME, 세트 선택=best 2개 (28% 할인)</t>
        </is>
      </c>
      <c r="E141" s="39" t="inlineStr">
        <is>
          <t>이그나이트 2set</t>
        </is>
      </c>
      <c r="F141" s="39" t="n">
        <v>201210</v>
      </c>
      <c r="G141" s="42">
        <f>B141&amp;C141&amp;D141&amp;F141</f>
        <v/>
      </c>
      <c r="H141" s="39" t="n">
        <v>58800</v>
      </c>
      <c r="I141" s="39" t="n">
        <v>0.0585</v>
      </c>
      <c r="J141" s="39" t="n">
        <v>5776</v>
      </c>
    </row>
    <row r="142">
      <c r="B142" s="39" t="inlineStr">
        <is>
          <t>카페24</t>
        </is>
      </c>
      <c r="C142" s="39" t="inlineStr">
        <is>
          <t>고체향수</t>
        </is>
      </c>
      <c r="D142" s="39" t="inlineStr">
        <is>
          <t>유즈 솔리드퍼퓸 - 30ml향=스테이포에버 002 SOLID PERFUME, 세트 선택=1개</t>
        </is>
      </c>
      <c r="E142" s="39" t="inlineStr">
        <is>
          <t>스테이포에버</t>
        </is>
      </c>
      <c r="F142" s="39" t="n">
        <v>201210</v>
      </c>
      <c r="G142" s="42">
        <f>B142&amp;C142&amp;D142&amp;F142</f>
        <v/>
      </c>
      <c r="H142" s="39" t="n">
        <v>34000</v>
      </c>
      <c r="I142" s="40">
        <f>VLOOKUP($E142,$E$42:$J$64,5,0)</f>
        <v/>
      </c>
      <c r="J142" s="39">
        <f>VLOOKUP($E142,$E$42:$J$64,6,0)</f>
        <v/>
      </c>
    </row>
    <row r="143">
      <c r="B143" s="39" t="inlineStr">
        <is>
          <t>카페24</t>
        </is>
      </c>
      <c r="C143" s="39" t="inlineStr">
        <is>
          <t>고체향수</t>
        </is>
      </c>
      <c r="D143" s="39" t="inlineStr">
        <is>
          <t>유즈 솔리드퍼퓸 - 30ml향=스테이포에버 002 SOLID PERFUME, 세트 선택=best</t>
        </is>
      </c>
      <c r="E143" s="39" t="inlineStr">
        <is>
          <t>스테이포에버</t>
        </is>
      </c>
      <c r="F143" s="39" t="n">
        <v>201210</v>
      </c>
      <c r="G143" s="42">
        <f>B143&amp;C143&amp;D143&amp;F143</f>
        <v/>
      </c>
      <c r="H143" s="39" t="n">
        <v>34000</v>
      </c>
      <c r="I143" s="40">
        <f>VLOOKUP($E143,$E$42:$J$64,5,0)</f>
        <v/>
      </c>
      <c r="J143" s="39">
        <f>VLOOKUP($E143,$E$42:$J$64,6,0)</f>
        <v/>
      </c>
    </row>
    <row r="144">
      <c r="B144" s="39" t="inlineStr">
        <is>
          <t>카페24</t>
        </is>
      </c>
      <c r="C144" s="39" t="inlineStr">
        <is>
          <t>고체향수</t>
        </is>
      </c>
      <c r="D144" s="39" t="inlineStr">
        <is>
          <t>유즈 솔리드퍼퓸 - 30ml향=커플세트</t>
        </is>
      </c>
      <c r="E144" s="39" t="inlineStr">
        <is>
          <t>이그나이트 + 스테이포에버</t>
        </is>
      </c>
      <c r="F144" s="39" t="n">
        <v>201210</v>
      </c>
      <c r="G144" s="42">
        <f>B144&amp;C144&amp;D144&amp;F144</f>
        <v/>
      </c>
      <c r="H144" s="39" t="n">
        <v>58800</v>
      </c>
      <c r="I144" s="39" t="n">
        <v>0.0585</v>
      </c>
      <c r="J144" s="39" t="n">
        <v>5776</v>
      </c>
    </row>
    <row r="145">
      <c r="B145" s="39" t="inlineStr">
        <is>
          <t>카페24</t>
        </is>
      </c>
      <c r="C145" s="39" t="inlineStr">
        <is>
          <t>고체향수</t>
        </is>
      </c>
      <c r="D145" s="39" t="inlineStr">
        <is>
          <t>유즈 솔리드퍼퓸 - 30ml향=커플세트(이그나이트 + 스테이포에버), 세트 선택=1 SET</t>
        </is>
      </c>
      <c r="E145" s="39" t="inlineStr">
        <is>
          <t>이그나이트 + 스테이포에버</t>
        </is>
      </c>
      <c r="F145" s="39" t="n">
        <v>201210</v>
      </c>
      <c r="G145" s="42">
        <f>B145&amp;C145&amp;D145&amp;F145</f>
        <v/>
      </c>
      <c r="H145" s="39" t="n">
        <v>58800</v>
      </c>
      <c r="I145" s="39" t="n">
        <v>0.0585</v>
      </c>
      <c r="J145" s="39" t="n">
        <v>5776</v>
      </c>
    </row>
    <row r="146">
      <c r="B146" s="39" t="inlineStr">
        <is>
          <t>카페24</t>
        </is>
      </c>
      <c r="C146" s="39" t="inlineStr">
        <is>
          <t>고체향수</t>
        </is>
      </c>
      <c r="D146" s="39" t="inlineStr">
        <is>
          <t>유즈 스테이포에버 솔리드퍼퓸 002제품선택=스테이포에버 1개</t>
        </is>
      </c>
      <c r="E146" s="39" t="inlineStr">
        <is>
          <t>스테이포에버</t>
        </is>
      </c>
      <c r="F146" s="39" t="n">
        <v>201210</v>
      </c>
      <c r="G146" s="42">
        <f>B146&amp;C146&amp;D146&amp;F146</f>
        <v/>
      </c>
      <c r="H146" s="39" t="n">
        <v>34000</v>
      </c>
      <c r="I146" s="40">
        <f>VLOOKUP($E146,$E$42:$J$64,5,0)</f>
        <v/>
      </c>
      <c r="J146" s="39">
        <f>VLOOKUP($E146,$E$42:$J$64,6,0)</f>
        <v/>
      </c>
    </row>
    <row r="147">
      <c r="B147" s="39" t="inlineStr">
        <is>
          <t>카페24</t>
        </is>
      </c>
      <c r="C147" s="39" t="inlineStr">
        <is>
          <t>고체향수</t>
        </is>
      </c>
      <c r="D147" s="39" t="inlineStr">
        <is>
          <t>유즈 스테이포에버 솔리드퍼퓸 002제품선택=best</t>
        </is>
      </c>
      <c r="E147" s="39" t="inlineStr">
        <is>
          <t>스테이포에버</t>
        </is>
      </c>
      <c r="F147" s="39" t="n">
        <v>201210</v>
      </c>
      <c r="G147" s="42">
        <f>B147&amp;C147&amp;D147&amp;F147</f>
        <v/>
      </c>
      <c r="H147" s="39" t="n">
        <v>34000</v>
      </c>
      <c r="I147" s="40">
        <f>VLOOKUP($E147,$E$42:$J$64,5,0)</f>
        <v/>
      </c>
      <c r="J147" s="39">
        <f>VLOOKUP($E147,$E$42:$J$64,6,0)</f>
        <v/>
      </c>
    </row>
    <row r="148">
      <c r="B148" s="39" t="inlineStr">
        <is>
          <t>카페24</t>
        </is>
      </c>
      <c r="C148" s="39" t="inlineStr">
        <is>
          <t>고체향수</t>
        </is>
      </c>
      <c r="D148" s="39" t="inlineStr">
        <is>
          <t>유즈 스테이포에버 솔리드퍼퓸 002제품선택=best스테이포에버 2개[28% 할인]</t>
        </is>
      </c>
      <c r="E148" s="39" t="inlineStr">
        <is>
          <t>스테이포에버</t>
        </is>
      </c>
      <c r="F148" s="39" t="n">
        <v>201210</v>
      </c>
      <c r="G148" s="42">
        <f>B148&amp;C148&amp;D148&amp;F148</f>
        <v/>
      </c>
      <c r="H148" s="39" t="n">
        <v>34000</v>
      </c>
      <c r="I148" s="40">
        <f>VLOOKUP($E148,$E$42:$J$64,5,0)</f>
        <v/>
      </c>
      <c r="J148" s="39">
        <f>VLOOKUP($E148,$E$42:$J$64,6,0)</f>
        <v/>
      </c>
    </row>
    <row r="149">
      <c r="B149" s="39" t="inlineStr">
        <is>
          <t>카페24</t>
        </is>
      </c>
      <c r="C149" s="39" t="inlineStr">
        <is>
          <t>고체향수</t>
        </is>
      </c>
      <c r="D149" s="39" t="inlineStr">
        <is>
          <t>유즈 스테이포에버 솔리드퍼퓸 002제품선택=커플추천</t>
        </is>
      </c>
      <c r="E149" s="39" t="inlineStr">
        <is>
          <t>이그나이트 + 스테이포에버</t>
        </is>
      </c>
      <c r="F149" s="39" t="n">
        <v>201210</v>
      </c>
      <c r="G149" s="42">
        <f>B149&amp;C149&amp;D149&amp;F149</f>
        <v/>
      </c>
      <c r="H149" s="39" t="n">
        <v>58800</v>
      </c>
      <c r="I149" s="39" t="n">
        <v>0.0585</v>
      </c>
      <c r="J149" s="39" t="n">
        <v>5776</v>
      </c>
    </row>
    <row r="150">
      <c r="B150" s="39" t="inlineStr">
        <is>
          <t>카페24</t>
        </is>
      </c>
      <c r="C150" s="39" t="inlineStr">
        <is>
          <t>고체향수</t>
        </is>
      </c>
      <c r="D150" s="39" t="inlineStr">
        <is>
          <t>유즈 스테이포에버 솔리드퍼퓸 002제품선택=커플추천스테이포에버 + 이그나이트 세트</t>
        </is>
      </c>
      <c r="E150" s="39" t="inlineStr">
        <is>
          <t>이그나이트 + 스테이포에버</t>
        </is>
      </c>
      <c r="F150" s="39" t="n">
        <v>201210</v>
      </c>
      <c r="G150" s="42">
        <f>B150&amp;C150&amp;D150&amp;F150</f>
        <v/>
      </c>
      <c r="H150" s="39" t="n">
        <v>58800</v>
      </c>
      <c r="I150" s="39" t="n">
        <v>0.0585</v>
      </c>
      <c r="J150" s="39" t="n">
        <v>5776</v>
      </c>
    </row>
    <row r="151">
      <c r="B151" s="39" t="inlineStr">
        <is>
          <t>카페24</t>
        </is>
      </c>
      <c r="C151" s="39" t="inlineStr">
        <is>
          <t>고체향수</t>
        </is>
      </c>
      <c r="D151" s="39" t="inlineStr">
        <is>
          <t>유즈 스테이포에버 솔리드퍼퓸 002쇼핑백=선물용 쇼핑백</t>
        </is>
      </c>
      <c r="E151" s="39" t="inlineStr">
        <is>
          <t>쇼핑백</t>
        </is>
      </c>
      <c r="F151" s="39" t="n">
        <v>201210</v>
      </c>
      <c r="G151" s="42">
        <f>B151&amp;C151&amp;D151&amp;F151</f>
        <v/>
      </c>
      <c r="H151" s="39">
        <f>VLOOKUP($E151,$E$42:$J$64,4,0)</f>
        <v/>
      </c>
      <c r="I151" s="40">
        <f>VLOOKUP($E151,$E$42:$J$64,5,0)</f>
        <v/>
      </c>
      <c r="J151" s="39">
        <f>VLOOKUP($E151,$E$42:$J$64,6,0)</f>
        <v/>
      </c>
    </row>
    <row r="152">
      <c r="B152" s="39" t="inlineStr">
        <is>
          <t>카페24</t>
        </is>
      </c>
      <c r="C152" s="39" t="inlineStr">
        <is>
          <t>고체향수</t>
        </is>
      </c>
      <c r="D152" s="39" t="inlineStr">
        <is>
          <t>유즈 솔리드퍼퓸 - 30ml향=이그나이트 001 SOLID PERFUME, 세트 선택=1개</t>
        </is>
      </c>
      <c r="E152" s="39" t="inlineStr">
        <is>
          <t>이그나이트</t>
        </is>
      </c>
      <c r="F152" s="39" t="n">
        <v>201210</v>
      </c>
      <c r="G152" s="42">
        <f>B152&amp;C152&amp;D152&amp;F152</f>
        <v/>
      </c>
      <c r="H152" s="39" t="n">
        <v>34000</v>
      </c>
      <c r="I152" s="40">
        <f>VLOOKUP($E152,$E$42:$J$64,5,0)</f>
        <v/>
      </c>
      <c r="J152" s="39">
        <f>VLOOKUP($E152,$E$42:$J$64,6,0)</f>
        <v/>
      </c>
    </row>
    <row r="153">
      <c r="B153" s="39" t="inlineStr">
        <is>
          <t>카페24</t>
        </is>
      </c>
      <c r="C153" s="39" t="inlineStr">
        <is>
          <t>고체향수</t>
        </is>
      </c>
      <c r="D153" s="39" t="inlineStr">
        <is>
          <t>유즈 솔리드퍼퓸 - 30ml향=스테이포에버 002 SOLID PERFUME, 세트 선택=best 2개 (28% 할인)</t>
        </is>
      </c>
      <c r="E153" s="39" t="inlineStr">
        <is>
          <t>스테이포에버 2set</t>
        </is>
      </c>
      <c r="F153" s="39" t="n">
        <v>201210</v>
      </c>
      <c r="G153" s="42">
        <f>B153&amp;C153&amp;D153&amp;F153</f>
        <v/>
      </c>
      <c r="H153" s="39" t="n">
        <v>58800</v>
      </c>
      <c r="I153" s="40" t="n">
        <v>0.0585</v>
      </c>
      <c r="J153" s="39" t="n">
        <v>5566</v>
      </c>
    </row>
    <row r="154">
      <c r="B154" s="39" t="inlineStr">
        <is>
          <t>카페24</t>
        </is>
      </c>
      <c r="C154" s="39" t="inlineStr">
        <is>
          <t>고체향수</t>
        </is>
      </c>
      <c r="D154" s="39" t="inlineStr">
        <is>
          <t>유즈 솔리드퍼퓸 - 30ml향=커플세트(이그나이트 + 스테이포에버), 세트 선택=2 SET (42% 할인)</t>
        </is>
      </c>
      <c r="E154" s="39" t="inlineStr">
        <is>
          <t>이그나이트 + 스테이포에버</t>
        </is>
      </c>
      <c r="F154" s="39" t="n">
        <v>201210</v>
      </c>
      <c r="G154" s="42">
        <f>B154&amp;C154&amp;D154&amp;F154</f>
        <v/>
      </c>
      <c r="H154" s="39" t="n">
        <v>58800</v>
      </c>
      <c r="I154" s="39" t="n">
        <v>0.0585</v>
      </c>
      <c r="J154" s="39" t="n">
        <v>5776</v>
      </c>
    </row>
    <row r="155">
      <c r="B155" s="39" t="inlineStr">
        <is>
          <t>카페24</t>
        </is>
      </c>
      <c r="C155" s="39" t="inlineStr">
        <is>
          <t>고체향수</t>
        </is>
      </c>
      <c r="D155" s="39" t="inlineStr">
        <is>
          <t>유즈 솔리드퍼퓸 - 30ml (스테이포에버 주문 시 12/14 부터 순차배송)향=스테이포에버, 세트 선택=1 개</t>
        </is>
      </c>
      <c r="E155" s="39" t="inlineStr">
        <is>
          <t>스테이포에버</t>
        </is>
      </c>
      <c r="F155" s="39" t="n">
        <v>210101</v>
      </c>
      <c r="G155" s="42">
        <f>B155&amp;C155&amp;D155&amp;F155</f>
        <v/>
      </c>
      <c r="H155" s="39" t="n">
        <v>38000</v>
      </c>
      <c r="I155" s="40" t="n">
        <v>0.0585</v>
      </c>
      <c r="J155" s="39" t="n">
        <v>2592</v>
      </c>
    </row>
    <row r="156">
      <c r="B156" s="39" t="inlineStr">
        <is>
          <t>카페24</t>
        </is>
      </c>
      <c r="C156" s="39" t="inlineStr">
        <is>
          <t>고체향수</t>
        </is>
      </c>
      <c r="D156" s="39" t="inlineStr">
        <is>
          <t>유즈 솔리드퍼퓸 - 30ml (스테이포에버 주문 시 12/14 부터 순차배송)향=스테이포에버, 세트 선택=2개 (28% off)</t>
        </is>
      </c>
      <c r="E156" s="39" t="inlineStr">
        <is>
          <t>스테이포에버 2set</t>
        </is>
      </c>
      <c r="F156" s="39" t="n">
        <v>210101</v>
      </c>
      <c r="G156" s="42">
        <f>B156&amp;C156&amp;D156&amp;F156</f>
        <v/>
      </c>
      <c r="H156" s="39" t="n">
        <v>58800</v>
      </c>
      <c r="I156" s="40" t="n">
        <v>0.0585</v>
      </c>
      <c r="J156" s="39">
        <f>2592*2</f>
        <v/>
      </c>
    </row>
    <row r="157">
      <c r="B157" s="39" t="inlineStr">
        <is>
          <t>카페24</t>
        </is>
      </c>
      <c r="C157" s="39" t="inlineStr">
        <is>
          <t>고체향수</t>
        </is>
      </c>
      <c r="D157" s="39" t="inlineStr">
        <is>
          <t>유즈 솔리드퍼퓸 - 30ml (스테이포에버 주문 시 12/14 부터 순차배송)향=이그나이트 + 스테이포에버, 세트 선택=1 SET</t>
        </is>
      </c>
      <c r="E157" s="39" t="inlineStr">
        <is>
          <t>이그나이트 + 스테이포에버</t>
        </is>
      </c>
      <c r="F157" s="39" t="n">
        <v>210101</v>
      </c>
      <c r="G157" s="42">
        <f>B157&amp;C157&amp;D157&amp;F157</f>
        <v/>
      </c>
      <c r="H157" s="39" t="n">
        <v>69000</v>
      </c>
      <c r="I157" s="40" t="n">
        <v>0.0585</v>
      </c>
      <c r="J157" s="39">
        <f>2592+2753</f>
        <v/>
      </c>
    </row>
    <row r="158">
      <c r="B158" s="39" t="inlineStr">
        <is>
          <t>카페24</t>
        </is>
      </c>
      <c r="C158" s="39" t="inlineStr">
        <is>
          <t>고체향수</t>
        </is>
      </c>
      <c r="D158" s="39" t="inlineStr">
        <is>
          <t>유즈 솔리드퍼퓸 - 30ml (스테이포에버 주문 시 12/14 부터 순차배송)향=이그나이트, 세트 선택=1 개</t>
        </is>
      </c>
      <c r="E158" s="39" t="inlineStr">
        <is>
          <t>이그나이트</t>
        </is>
      </c>
      <c r="F158" s="39" t="n">
        <v>210101</v>
      </c>
      <c r="G158" s="42">
        <f>B158&amp;C158&amp;D158&amp;F158</f>
        <v/>
      </c>
      <c r="H158" s="39" t="n">
        <v>38000</v>
      </c>
      <c r="I158" s="40" t="n">
        <v>0.0585</v>
      </c>
      <c r="J158" s="39" t="n">
        <v>2753</v>
      </c>
    </row>
    <row r="159">
      <c r="B159" s="39" t="inlineStr">
        <is>
          <t>카페24</t>
        </is>
      </c>
      <c r="C159" s="39" t="inlineStr">
        <is>
          <t>고체향수</t>
        </is>
      </c>
      <c r="D159" s="39" t="inlineStr">
        <is>
          <t>유즈 솔리드퍼퓸 - 30ml (스테이포에버 주문 시 12/14 순차배송)향=스테이포에버, 세트 선택=1 개</t>
        </is>
      </c>
      <c r="E159" s="39" t="inlineStr">
        <is>
          <t>스테이포에버</t>
        </is>
      </c>
      <c r="F159" s="39" t="n">
        <v>210101</v>
      </c>
      <c r="G159" s="42">
        <f>B159&amp;C159&amp;D159&amp;F159</f>
        <v/>
      </c>
      <c r="H159" s="39" t="n">
        <v>38000</v>
      </c>
      <c r="I159" s="40" t="n">
        <v>0.0585</v>
      </c>
      <c r="J159" s="39" t="n">
        <v>2592</v>
      </c>
    </row>
    <row r="160">
      <c r="B160" s="39" t="inlineStr">
        <is>
          <t>카페24</t>
        </is>
      </c>
      <c r="C160" s="39" t="inlineStr">
        <is>
          <t>고체향수</t>
        </is>
      </c>
      <c r="D160" s="39" t="inlineStr">
        <is>
          <t>유즈 솔리드퍼퓸 - 30ml (스테이포에버 주문 시 12/14 순차배송)향=스테이포에버, 세트 선택=2개 (28% off)</t>
        </is>
      </c>
      <c r="E160" s="39" t="inlineStr">
        <is>
          <t>스테이포에버 2set</t>
        </is>
      </c>
      <c r="F160" s="39" t="n">
        <v>210101</v>
      </c>
      <c r="G160" s="42">
        <f>B160&amp;C160&amp;D160&amp;F160</f>
        <v/>
      </c>
      <c r="H160" s="39" t="n">
        <v>58800</v>
      </c>
      <c r="I160" s="40" t="n">
        <v>0.0585</v>
      </c>
      <c r="J160" s="39">
        <f>2592*2</f>
        <v/>
      </c>
    </row>
    <row r="161">
      <c r="B161" s="39" t="inlineStr">
        <is>
          <t>카페24</t>
        </is>
      </c>
      <c r="C161" s="39" t="inlineStr">
        <is>
          <t>고체향수</t>
        </is>
      </c>
      <c r="D161" s="39" t="inlineStr">
        <is>
          <t>유즈 솔리드퍼퓸 - 30ml (스테이포에버 주문 시 12/14 순차배송)향=이그나이트 + 스테이포에버, 세트 선택=1 SET</t>
        </is>
      </c>
      <c r="E161" s="39" t="inlineStr">
        <is>
          <t>이그나이트 + 스테이포에버</t>
        </is>
      </c>
      <c r="F161" s="39" t="n">
        <v>210101</v>
      </c>
      <c r="G161" s="42">
        <f>B161&amp;C161&amp;D161&amp;F161</f>
        <v/>
      </c>
      <c r="H161" s="39" t="n">
        <v>69000</v>
      </c>
      <c r="I161" s="40" t="n">
        <v>0.0585</v>
      </c>
      <c r="J161" s="39">
        <f>2592+2753</f>
        <v/>
      </c>
    </row>
    <row r="162">
      <c r="B162" s="39" t="inlineStr">
        <is>
          <t>카페24</t>
        </is>
      </c>
      <c r="C162" s="39" t="inlineStr">
        <is>
          <t>고체향수</t>
        </is>
      </c>
      <c r="D162" s="39" t="inlineStr">
        <is>
          <t>유즈 솔리드퍼퓸 - 30ml (스테이포에버 주문 시 12/14 순차배송)향=이그나이트 + 스테이포에버, 세트 선택=2 SET (42% off)</t>
        </is>
      </c>
      <c r="E162" s="39" t="inlineStr">
        <is>
          <t>이그나이트 + 스테이포에버 2set</t>
        </is>
      </c>
      <c r="F162" s="39" t="n">
        <v>210101</v>
      </c>
      <c r="G162" s="42">
        <f>B162&amp;C162&amp;D162&amp;F162</f>
        <v/>
      </c>
      <c r="H162" s="39" t="n">
        <v>94800</v>
      </c>
      <c r="I162" s="40" t="n">
        <v>0.0585</v>
      </c>
      <c r="J162" s="39">
        <f>2*(2753+2592)</f>
        <v/>
      </c>
    </row>
    <row r="163">
      <c r="B163" s="39" t="inlineStr">
        <is>
          <t>카페24</t>
        </is>
      </c>
      <c r="C163" s="39" t="inlineStr">
        <is>
          <t>고체향수</t>
        </is>
      </c>
      <c r="D163" s="39" t="inlineStr">
        <is>
          <t>유즈 솔리드퍼퓸 - 30ml (스테이포에버 주문 시 12/14 순차배송)향=이그나이트, 세트 선택=1 개</t>
        </is>
      </c>
      <c r="E163" s="39" t="inlineStr">
        <is>
          <t>이그나이트</t>
        </is>
      </c>
      <c r="F163" s="39" t="n">
        <v>210101</v>
      </c>
      <c r="G163" s="42">
        <f>B163&amp;C163&amp;D163&amp;F163</f>
        <v/>
      </c>
      <c r="H163" s="39" t="n">
        <v>38000</v>
      </c>
      <c r="I163" s="40" t="n">
        <v>0.0585</v>
      </c>
      <c r="J163" s="39" t="n">
        <v>2753</v>
      </c>
    </row>
    <row r="164">
      <c r="B164" s="39" t="inlineStr">
        <is>
          <t>카페24</t>
        </is>
      </c>
      <c r="C164" s="39" t="inlineStr">
        <is>
          <t>고체향수</t>
        </is>
      </c>
      <c r="D164" s="39" t="inlineStr">
        <is>
          <t>유즈 솔리드퍼퓸 - 30ml (스테이포에버 주문 시 12/15 순차배송)향=스테이포에버, 세트 선택=1 개</t>
        </is>
      </c>
      <c r="E164" s="39" t="inlineStr">
        <is>
          <t>스테이포에버</t>
        </is>
      </c>
      <c r="F164" s="39" t="n">
        <v>210101</v>
      </c>
      <c r="G164" s="42">
        <f>B164&amp;C164&amp;D164&amp;F164</f>
        <v/>
      </c>
      <c r="H164" s="39" t="n">
        <v>38000</v>
      </c>
      <c r="I164" s="40" t="n">
        <v>0.0585</v>
      </c>
      <c r="J164" s="39" t="n">
        <v>2592</v>
      </c>
    </row>
    <row r="165">
      <c r="B165" s="39" t="inlineStr">
        <is>
          <t>카페24</t>
        </is>
      </c>
      <c r="C165" s="39" t="inlineStr">
        <is>
          <t>고체향수</t>
        </is>
      </c>
      <c r="D165" s="39" t="inlineStr">
        <is>
          <t>유즈 솔리드퍼퓸 - 30ml (스테이포에버 주문 시 12/15 순차배송)향=스테이포에버, 세트 선택=2개 (28% off)</t>
        </is>
      </c>
      <c r="E165" s="39" t="inlineStr">
        <is>
          <t>스테이포에버 2set</t>
        </is>
      </c>
      <c r="F165" s="39" t="n">
        <v>210101</v>
      </c>
      <c r="G165" s="42">
        <f>B165&amp;C165&amp;D165&amp;F165</f>
        <v/>
      </c>
      <c r="H165" s="39" t="n">
        <v>58800</v>
      </c>
      <c r="I165" s="40" t="n">
        <v>0.0585</v>
      </c>
      <c r="J165" s="39">
        <f>2592*2</f>
        <v/>
      </c>
    </row>
    <row r="166">
      <c r="B166" s="39" t="inlineStr">
        <is>
          <t>카페24</t>
        </is>
      </c>
      <c r="C166" s="39" t="inlineStr">
        <is>
          <t>고체향수</t>
        </is>
      </c>
      <c r="D166" s="39" t="inlineStr">
        <is>
          <t>유즈 솔리드퍼퓸 - 30ml (스테이포에버 주문 시 12/15 순차배송)향=이그나이트 + 스테이포에버, 세트 선택=1 SET</t>
        </is>
      </c>
      <c r="E166" s="39" t="inlineStr">
        <is>
          <t>이그나이트 + 스테이포에버</t>
        </is>
      </c>
      <c r="F166" s="39" t="n">
        <v>210101</v>
      </c>
      <c r="G166" s="42">
        <f>B166&amp;C166&amp;D166&amp;F166</f>
        <v/>
      </c>
      <c r="H166" s="39" t="n">
        <v>69000</v>
      </c>
      <c r="I166" s="40" t="n">
        <v>0.0585</v>
      </c>
      <c r="J166" s="39">
        <f>2592+2753</f>
        <v/>
      </c>
    </row>
    <row r="167">
      <c r="B167" s="39" t="inlineStr">
        <is>
          <t>카페24</t>
        </is>
      </c>
      <c r="C167" s="39" t="inlineStr">
        <is>
          <t>고체향수</t>
        </is>
      </c>
      <c r="D167" s="39" t="inlineStr">
        <is>
          <t>유즈 솔리드퍼퓸 - 30ml (스테이포에버 주문 시 12/15 순차배송)향=이그나이트 + 스테이포에버, 세트 선택=2 SET (42% off)</t>
        </is>
      </c>
      <c r="E167" s="39" t="inlineStr">
        <is>
          <t>스테이포에버 2set</t>
        </is>
      </c>
      <c r="F167" s="39" t="n">
        <v>210101</v>
      </c>
      <c r="G167" s="42">
        <f>B167&amp;C167&amp;D167&amp;F167</f>
        <v/>
      </c>
      <c r="H167" s="39" t="n">
        <v>58800</v>
      </c>
      <c r="I167" s="40" t="n">
        <v>0.0585</v>
      </c>
      <c r="J167" s="39">
        <f>2592*2</f>
        <v/>
      </c>
    </row>
    <row r="168">
      <c r="B168" s="39" t="inlineStr">
        <is>
          <t>카페24</t>
        </is>
      </c>
      <c r="C168" s="39" t="inlineStr">
        <is>
          <t>고체향수</t>
        </is>
      </c>
      <c r="D168" s="39" t="inlineStr">
        <is>
          <t>유즈 솔리드퍼퓸 - 30ml (스테이포에버 주문 시 12/15 순차배송)향=이그나이트, 세트 선택=1 개</t>
        </is>
      </c>
      <c r="E168" s="39" t="inlineStr">
        <is>
          <t>이그나이트</t>
        </is>
      </c>
      <c r="F168" s="39" t="n">
        <v>210101</v>
      </c>
      <c r="G168" s="42">
        <f>B168&amp;C168&amp;D168&amp;F168</f>
        <v/>
      </c>
      <c r="H168" s="39" t="n">
        <v>38000</v>
      </c>
      <c r="I168" s="40" t="n">
        <v>0.0585</v>
      </c>
      <c r="J168" s="39" t="n">
        <v>2753</v>
      </c>
    </row>
    <row r="169">
      <c r="B169" s="39" t="inlineStr">
        <is>
          <t>카페24</t>
        </is>
      </c>
      <c r="C169" s="39" t="inlineStr">
        <is>
          <t>고체향수</t>
        </is>
      </c>
      <c r="D169" s="39" t="inlineStr">
        <is>
          <t>유즈 솔리드퍼퓸 - 30ml (스테이포에버 주문 시 12/4 부터 순차배송)향=스테이포에버, 세트 선택=1 개</t>
        </is>
      </c>
      <c r="E169" s="39" t="inlineStr">
        <is>
          <t>스테이포에버</t>
        </is>
      </c>
      <c r="F169" s="39" t="n">
        <v>210101</v>
      </c>
      <c r="G169" s="42">
        <f>B169&amp;C169&amp;D169&amp;F169</f>
        <v/>
      </c>
      <c r="H169" s="39" t="n">
        <v>38000</v>
      </c>
      <c r="I169" s="40" t="n">
        <v>0.0585</v>
      </c>
      <c r="J169" s="39" t="n">
        <v>2592</v>
      </c>
    </row>
    <row r="170">
      <c r="B170" s="39" t="inlineStr">
        <is>
          <t>카페24</t>
        </is>
      </c>
      <c r="C170" s="39" t="inlineStr">
        <is>
          <t>고체향수</t>
        </is>
      </c>
      <c r="D170" s="39" t="inlineStr">
        <is>
          <t>유즈 솔리드퍼퓸 - 30ml (스테이포에버 주문 시 12/4 부터 순차배송)향=이그나이트 + 스테이포에버, 세트 선택=1 SET</t>
        </is>
      </c>
      <c r="E170" s="39" t="inlineStr">
        <is>
          <t>이그나이트 + 스테이포에버</t>
        </is>
      </c>
      <c r="F170" s="39" t="n">
        <v>210101</v>
      </c>
      <c r="G170" s="42">
        <f>B170&amp;C170&amp;D170&amp;F170</f>
        <v/>
      </c>
      <c r="H170" s="39" t="n">
        <v>69000</v>
      </c>
      <c r="I170" s="40" t="n">
        <v>0.0585</v>
      </c>
      <c r="J170" s="39">
        <f>2592+2753</f>
        <v/>
      </c>
    </row>
    <row r="171">
      <c r="B171" s="39" t="inlineStr">
        <is>
          <t>카페24</t>
        </is>
      </c>
      <c r="C171" s="39" t="inlineStr">
        <is>
          <t>쇼핑백</t>
        </is>
      </c>
      <c r="D171" s="39" t="inlineStr">
        <is>
          <t>유즈 스테이포에버 솔리드퍼퓸 002 (12/14 부터 순차배송)쇼핑백=선물용 쇼핑백</t>
        </is>
      </c>
      <c r="E171" s="39" t="inlineStr">
        <is>
          <t>쇼핑백</t>
        </is>
      </c>
      <c r="F171" s="39" t="n">
        <v>210101</v>
      </c>
      <c r="G171" s="42">
        <f>B171&amp;C171&amp;D171&amp;F171</f>
        <v/>
      </c>
      <c r="H171" s="39" t="n">
        <v>2000</v>
      </c>
      <c r="I171" s="40" t="n">
        <v>0.0585</v>
      </c>
      <c r="J171" s="39" t="n">
        <v>830</v>
      </c>
    </row>
    <row r="172">
      <c r="B172" s="39" t="inlineStr">
        <is>
          <t>카페24</t>
        </is>
      </c>
      <c r="C172" s="39" t="inlineStr">
        <is>
          <t>고체향수</t>
        </is>
      </c>
      <c r="D172" s="39" t="inlineStr">
        <is>
          <t>유즈 스테이포에버 솔리드퍼퓸 002 (12/14 부터 순차배송)제품선택=스테이포에버 + 이그나이트 세트</t>
        </is>
      </c>
      <c r="E172" s="39" t="inlineStr">
        <is>
          <t>이그나이트 + 스테이포에버</t>
        </is>
      </c>
      <c r="F172" s="39" t="n">
        <v>210101</v>
      </c>
      <c r="G172" s="42">
        <f>B172&amp;C172&amp;D172&amp;F172</f>
        <v/>
      </c>
      <c r="H172" s="39" t="n">
        <v>69000</v>
      </c>
      <c r="I172" s="40" t="n">
        <v>0.0585</v>
      </c>
      <c r="J172" s="39">
        <f>2592+2753</f>
        <v/>
      </c>
    </row>
    <row r="173">
      <c r="B173" s="39" t="inlineStr">
        <is>
          <t>카페24</t>
        </is>
      </c>
      <c r="C173" s="39" t="inlineStr">
        <is>
          <t>고체향수</t>
        </is>
      </c>
      <c r="D173" s="39" t="inlineStr">
        <is>
          <t>유즈 스테이포에버 솔리드퍼퓸 002 (12/14 부터 순차배송)제품선택=스테이포에버 2개 세트[Pre-order 이벤트 28% 할인]</t>
        </is>
      </c>
      <c r="E173" s="39" t="inlineStr">
        <is>
          <t>스테이포에버 2set</t>
        </is>
      </c>
      <c r="F173" s="39" t="n">
        <v>210101</v>
      </c>
      <c r="G173" s="42">
        <f>B173&amp;C173&amp;D173&amp;F173</f>
        <v/>
      </c>
      <c r="H173" s="39" t="n">
        <v>58800</v>
      </c>
      <c r="I173" s="40" t="n">
        <v>0.0585</v>
      </c>
      <c r="J173" s="39">
        <f>2592*2</f>
        <v/>
      </c>
    </row>
    <row r="174">
      <c r="B174" s="39" t="inlineStr">
        <is>
          <t>카페24</t>
        </is>
      </c>
      <c r="C174" s="39" t="inlineStr">
        <is>
          <t>고체향수</t>
        </is>
      </c>
      <c r="D174" s="39" t="inlineStr">
        <is>
          <t>유즈 스테이포에버 솔리드퍼퓸 002 (12/14 부터 순차배송)제품선택=스테이포에버 솔리드퍼퓸 002[Pre-order 이벤트 17% 할인]</t>
        </is>
      </c>
      <c r="E174" s="39" t="inlineStr">
        <is>
          <t>스테이포에버</t>
        </is>
      </c>
      <c r="F174" s="39" t="n">
        <v>210101</v>
      </c>
      <c r="G174" s="42">
        <f>B174&amp;C174&amp;D174&amp;F174</f>
        <v/>
      </c>
      <c r="H174" s="39" t="n">
        <v>38000</v>
      </c>
      <c r="I174" s="40" t="n">
        <v>0.0585</v>
      </c>
      <c r="J174" s="39" t="n">
        <v>2592</v>
      </c>
    </row>
    <row r="175">
      <c r="B175" s="39" t="inlineStr">
        <is>
          <t>카페24</t>
        </is>
      </c>
      <c r="C175" s="39" t="inlineStr">
        <is>
          <t>쇼핑백</t>
        </is>
      </c>
      <c r="D175" s="39" t="inlineStr">
        <is>
          <t>유즈 스테이포에버 솔리드퍼퓸 002 (12/14 순차배송)쇼핑백=선물용 쇼핑백</t>
        </is>
      </c>
      <c r="E175" s="39" t="inlineStr">
        <is>
          <t>쇼핑백</t>
        </is>
      </c>
      <c r="F175" s="39" t="n">
        <v>210101</v>
      </c>
      <c r="G175" s="42">
        <f>B175&amp;C175&amp;D175&amp;F175</f>
        <v/>
      </c>
      <c r="H175" s="39" t="n">
        <v>2000</v>
      </c>
      <c r="I175" s="40" t="n">
        <v>0.0585</v>
      </c>
      <c r="J175" s="39" t="n">
        <v>830</v>
      </c>
    </row>
    <row r="176">
      <c r="B176" s="39" t="inlineStr">
        <is>
          <t>카페24</t>
        </is>
      </c>
      <c r="C176" s="39" t="inlineStr">
        <is>
          <t>고체향수</t>
        </is>
      </c>
      <c r="D176" s="39" t="inlineStr">
        <is>
          <t>유즈 스테이포에버 솔리드퍼퓸 002 (12/14 순차배송)제품선택=스테이포에버 2개 세트[Pre-order 이벤트 28% 할인]</t>
        </is>
      </c>
      <c r="E176" s="39" t="inlineStr">
        <is>
          <t>스테이포에버 2set</t>
        </is>
      </c>
      <c r="F176" s="39" t="n">
        <v>210101</v>
      </c>
      <c r="G176" s="42">
        <f>B176&amp;C176&amp;D176&amp;F176</f>
        <v/>
      </c>
      <c r="H176" s="39" t="n">
        <v>58800</v>
      </c>
      <c r="I176" s="40" t="n">
        <v>0.0585</v>
      </c>
      <c r="J176" s="39">
        <f>2592*2</f>
        <v/>
      </c>
    </row>
    <row r="177">
      <c r="B177" s="39" t="inlineStr">
        <is>
          <t>카페24</t>
        </is>
      </c>
      <c r="C177" s="39" t="inlineStr">
        <is>
          <t>고체향수</t>
        </is>
      </c>
      <c r="D177" s="39" t="inlineStr">
        <is>
          <t>유즈 스테이포에버 솔리드퍼퓸 002 (12/14 순차배송)제품선택=스테이포에버 솔리드퍼퓸 002[Pre-order 이벤트 17% 할인]</t>
        </is>
      </c>
      <c r="E177" s="39" t="inlineStr">
        <is>
          <t>스테이포에버</t>
        </is>
      </c>
      <c r="F177" s="39" t="n">
        <v>210101</v>
      </c>
      <c r="G177" s="42">
        <f>B177&amp;C177&amp;D177&amp;F177</f>
        <v/>
      </c>
      <c r="H177" s="39" t="n">
        <v>38000</v>
      </c>
      <c r="I177" s="40" t="n">
        <v>0.0585</v>
      </c>
      <c r="J177" s="39" t="n">
        <v>2592</v>
      </c>
    </row>
    <row r="178">
      <c r="B178" s="39" t="inlineStr">
        <is>
          <t>카페24</t>
        </is>
      </c>
      <c r="C178" s="39" t="inlineStr">
        <is>
          <t>고체향수</t>
        </is>
      </c>
      <c r="D178" s="39" t="inlineStr">
        <is>
          <t>유즈 스테이포에버 솔리드퍼퓸 002 (12/14 입고 이후 순차배송)제품선택=스테이포에버 솔리드퍼퓸 002[Pre-order 이벤트 17% 할인]</t>
        </is>
      </c>
      <c r="E178" s="39" t="inlineStr">
        <is>
          <t>스테이포에버</t>
        </is>
      </c>
      <c r="F178" s="39" t="n">
        <v>210101</v>
      </c>
      <c r="G178" s="42">
        <f>B178&amp;C178&amp;D178&amp;F178</f>
        <v/>
      </c>
      <c r="H178" s="39" t="n">
        <v>38000</v>
      </c>
      <c r="I178" s="40" t="n">
        <v>0.0585</v>
      </c>
      <c r="J178" s="39" t="n">
        <v>2592</v>
      </c>
    </row>
    <row r="179">
      <c r="B179" s="39" t="inlineStr">
        <is>
          <t>카페24</t>
        </is>
      </c>
      <c r="C179" s="39" t="inlineStr">
        <is>
          <t>쇼핑백</t>
        </is>
      </c>
      <c r="D179" s="39" t="inlineStr">
        <is>
          <t>유즈 스테이포에버 솔리드퍼퓸 002 (12/4 부터 순차배송)쇼핑백=선물용 쇼핑백</t>
        </is>
      </c>
      <c r="E179" s="39" t="inlineStr">
        <is>
          <t>쇼핑백</t>
        </is>
      </c>
      <c r="F179" s="39" t="n">
        <v>210101</v>
      </c>
      <c r="G179" s="42">
        <f>B179&amp;C179&amp;D179&amp;F179</f>
        <v/>
      </c>
      <c r="H179" s="39" t="n">
        <v>2000</v>
      </c>
      <c r="I179" s="40" t="n">
        <v>0.0585</v>
      </c>
      <c r="J179" s="39" t="n">
        <v>830</v>
      </c>
    </row>
    <row r="180">
      <c r="B180" s="39" t="inlineStr">
        <is>
          <t>카페24</t>
        </is>
      </c>
      <c r="C180" s="39" t="inlineStr">
        <is>
          <t>고체향수</t>
        </is>
      </c>
      <c r="D180" s="39" t="inlineStr">
        <is>
          <t>유즈 스테이포에버 솔리드퍼퓸 002 (12/4 부터 순차배송)제품선택=스테이포에버 + 이그나이트 세트</t>
        </is>
      </c>
      <c r="E180" s="39" t="inlineStr">
        <is>
          <t>이그나이트 + 스테이포에버</t>
        </is>
      </c>
      <c r="F180" s="39" t="n">
        <v>210101</v>
      </c>
      <c r="G180" s="42">
        <f>B180&amp;C180&amp;D180&amp;F180</f>
        <v/>
      </c>
      <c r="H180" s="39" t="n">
        <v>69000</v>
      </c>
      <c r="I180" s="40" t="n">
        <v>0.0585</v>
      </c>
      <c r="J180" s="39">
        <f>2592+2753</f>
        <v/>
      </c>
    </row>
    <row r="181">
      <c r="B181" s="39" t="inlineStr">
        <is>
          <t>카페24</t>
        </is>
      </c>
      <c r="C181" s="39" t="inlineStr">
        <is>
          <t>고체향수</t>
        </is>
      </c>
      <c r="D181" s="39" t="inlineStr">
        <is>
          <t>유즈 스테이포에버 솔리드퍼퓸 002 (12/4 부터 순차배송)제품선택=스테이포에버 2개 세트[Pre-order 이벤트 28% 할인]</t>
        </is>
      </c>
      <c r="E181" s="39" t="inlineStr">
        <is>
          <t>스테이포에버 2set</t>
        </is>
      </c>
      <c r="F181" s="39" t="n">
        <v>210101</v>
      </c>
      <c r="G181" s="42">
        <f>B181&amp;C181&amp;D181&amp;F181</f>
        <v/>
      </c>
      <c r="H181" s="39" t="n">
        <v>58800</v>
      </c>
      <c r="I181" s="40" t="n">
        <v>0.0585</v>
      </c>
      <c r="J181" s="39">
        <f>2592*2</f>
        <v/>
      </c>
    </row>
    <row r="182">
      <c r="B182" s="39" t="inlineStr">
        <is>
          <t>카페24</t>
        </is>
      </c>
      <c r="C182" s="39" t="inlineStr">
        <is>
          <t>고체향수</t>
        </is>
      </c>
      <c r="D182" s="39" t="inlineStr">
        <is>
          <t>유즈 스테이포에버 솔리드퍼퓸 002 (12/4 부터 순차배송)제품선택=스테이포에버 솔리드퍼퓸 002[Pre-order 이벤트 17% 할인]</t>
        </is>
      </c>
      <c r="E182" s="39" t="inlineStr">
        <is>
          <t>스테이포에버</t>
        </is>
      </c>
      <c r="F182" s="39" t="n">
        <v>210101</v>
      </c>
      <c r="G182" s="42">
        <f>B182&amp;C182&amp;D182&amp;F182</f>
        <v/>
      </c>
      <c r="H182" s="39" t="n">
        <v>38000</v>
      </c>
      <c r="I182" s="40" t="n">
        <v>0.0585</v>
      </c>
      <c r="J182" s="39" t="n">
        <v>2592</v>
      </c>
    </row>
    <row r="183">
      <c r="B183" s="39" t="inlineStr">
        <is>
          <t>카페24</t>
        </is>
      </c>
      <c r="C183" s="39" t="inlineStr">
        <is>
          <t>쇼핑백</t>
        </is>
      </c>
      <c r="D183" s="39" t="inlineStr">
        <is>
          <t>유즈 스테이포에버 솔리드퍼퓸 002 (스테이포에버 주문시 12/14 순차배송)쇼핑백=선물용 쇼핑백</t>
        </is>
      </c>
      <c r="E183" s="39" t="inlineStr">
        <is>
          <t>쇼핑백</t>
        </is>
      </c>
      <c r="F183" s="39" t="n">
        <v>210101</v>
      </c>
      <c r="G183" s="42">
        <f>B183&amp;C183&amp;D183&amp;F183</f>
        <v/>
      </c>
      <c r="H183" s="39" t="n">
        <v>2000</v>
      </c>
      <c r="I183" s="40" t="n">
        <v>0.0585</v>
      </c>
      <c r="J183" s="39" t="n">
        <v>830</v>
      </c>
    </row>
    <row r="184">
      <c r="B184" s="39" t="inlineStr">
        <is>
          <t>카페24</t>
        </is>
      </c>
      <c r="C184" s="39" t="inlineStr">
        <is>
          <t>고체향수</t>
        </is>
      </c>
      <c r="D184" s="39" t="inlineStr">
        <is>
          <t>유즈 스테이포에버 솔리드퍼퓸 002 (스테이포에버 주문시 12/14 순차배송)제품선택=스테이포에버 + 이그나이트 세트</t>
        </is>
      </c>
      <c r="E184" s="39" t="inlineStr">
        <is>
          <t>이그나이트 + 스테이포에버</t>
        </is>
      </c>
      <c r="F184" s="39" t="n">
        <v>210101</v>
      </c>
      <c r="G184" s="42">
        <f>B184&amp;C184&amp;D184&amp;F184</f>
        <v/>
      </c>
      <c r="H184" s="39" t="n">
        <v>69000</v>
      </c>
      <c r="I184" s="40" t="n">
        <v>0.0585</v>
      </c>
      <c r="J184" s="39">
        <f>2592+2753</f>
        <v/>
      </c>
    </row>
    <row r="185">
      <c r="B185" s="39" t="inlineStr">
        <is>
          <t>카페24</t>
        </is>
      </c>
      <c r="C185" s="39" t="inlineStr">
        <is>
          <t>고체향수</t>
        </is>
      </c>
      <c r="D185" s="39" t="inlineStr">
        <is>
          <t>유즈 스테이포에버 솔리드퍼퓸 002 (스테이포에버 주문시 12/14 순차배송)제품선택=스테이포에버 2개 세트[Pre-order 이벤트 28% 할인]</t>
        </is>
      </c>
      <c r="E185" s="39" t="inlineStr">
        <is>
          <t>스테이포에버 2set</t>
        </is>
      </c>
      <c r="F185" s="39" t="n">
        <v>210101</v>
      </c>
      <c r="G185" s="42">
        <f>B185&amp;C185&amp;D185&amp;F185</f>
        <v/>
      </c>
      <c r="H185" s="39" t="n">
        <v>58800</v>
      </c>
      <c r="I185" s="40" t="n">
        <v>0.0585</v>
      </c>
      <c r="J185" s="39">
        <f>2592*2</f>
        <v/>
      </c>
    </row>
    <row r="186">
      <c r="B186" s="39" t="inlineStr">
        <is>
          <t>카페24</t>
        </is>
      </c>
      <c r="C186" s="39" t="inlineStr">
        <is>
          <t>고체향수</t>
        </is>
      </c>
      <c r="D186" s="39" t="inlineStr">
        <is>
          <t>유즈 스테이포에버 솔리드퍼퓸 002 (스테이포에버 주문시 12/14 순차배송)제품선택=스테이포에버 솔리드퍼퓸 002[Pre-order 이벤트 17% 할인]</t>
        </is>
      </c>
      <c r="E186" s="39" t="inlineStr">
        <is>
          <t>스테이포에버</t>
        </is>
      </c>
      <c r="F186" s="39" t="n">
        <v>210101</v>
      </c>
      <c r="G186" s="42">
        <f>B186&amp;C186&amp;D186&amp;F186</f>
        <v/>
      </c>
      <c r="H186" s="39" t="n">
        <v>38000</v>
      </c>
      <c r="I186" s="40" t="n">
        <v>0.0585</v>
      </c>
      <c r="J186" s="39" t="n">
        <v>2592</v>
      </c>
    </row>
    <row r="187">
      <c r="B187" s="39" t="inlineStr">
        <is>
          <t>카페24</t>
        </is>
      </c>
      <c r="C187" s="39" t="inlineStr">
        <is>
          <t>쇼핑백</t>
        </is>
      </c>
      <c r="D187" s="39" t="inlineStr">
        <is>
          <t>유즈 스테이포에버 솔리드퍼퓸 002 (스테이포에버 주문시 12/15 순차배송)쇼핑백=선물용 쇼핑백</t>
        </is>
      </c>
      <c r="E187" s="39" t="inlineStr">
        <is>
          <t>쇼핑백</t>
        </is>
      </c>
      <c r="F187" s="39" t="n">
        <v>210101</v>
      </c>
      <c r="G187" s="42">
        <f>B187&amp;C187&amp;D187&amp;F187</f>
        <v/>
      </c>
      <c r="H187" s="39" t="n">
        <v>2000</v>
      </c>
      <c r="I187" s="40" t="n">
        <v>0.0585</v>
      </c>
      <c r="J187" s="39" t="n">
        <v>830</v>
      </c>
    </row>
    <row r="188">
      <c r="B188" s="39" t="inlineStr">
        <is>
          <t>카페24</t>
        </is>
      </c>
      <c r="C188" s="39" t="inlineStr">
        <is>
          <t>고체향수</t>
        </is>
      </c>
      <c r="D188" s="39" t="inlineStr">
        <is>
          <t>유즈 스테이포에버 솔리드퍼퓸 002 (스테이포에버 주문시 12/15 순차배송)제품선택=스테이포에버 + 이그나이트 세트</t>
        </is>
      </c>
      <c r="E188" s="39" t="inlineStr">
        <is>
          <t>이그나이트 + 스테이포에버</t>
        </is>
      </c>
      <c r="F188" s="39" t="n">
        <v>210101</v>
      </c>
      <c r="G188" s="42">
        <f>B188&amp;C188&amp;D188&amp;F188</f>
        <v/>
      </c>
      <c r="H188" s="39" t="n">
        <v>69000</v>
      </c>
      <c r="I188" s="40" t="n">
        <v>0.0585</v>
      </c>
      <c r="J188" s="39">
        <f>2592+2753</f>
        <v/>
      </c>
    </row>
    <row r="189">
      <c r="B189" s="39" t="inlineStr">
        <is>
          <t>카페24</t>
        </is>
      </c>
      <c r="C189" s="39" t="inlineStr">
        <is>
          <t>고체향수</t>
        </is>
      </c>
      <c r="D189" s="39" t="inlineStr">
        <is>
          <t>유즈 스테이포에버 솔리드퍼퓸 002 (스테이포에버 주문시 12/15 순차배송)제품선택=스테이포에버 2개 세트[Pre-order 이벤트 28% 할인]</t>
        </is>
      </c>
      <c r="E189" s="39" t="inlineStr">
        <is>
          <t>스테이포에버 2set</t>
        </is>
      </c>
      <c r="F189" s="39" t="n">
        <v>210101</v>
      </c>
      <c r="G189" s="42">
        <f>B189&amp;C189&amp;D189&amp;F189</f>
        <v/>
      </c>
      <c r="H189" s="39" t="n">
        <v>58800</v>
      </c>
      <c r="I189" s="40" t="n">
        <v>0.0585</v>
      </c>
      <c r="J189" s="39">
        <f>2592*2</f>
        <v/>
      </c>
    </row>
    <row r="190">
      <c r="B190" s="39" t="inlineStr">
        <is>
          <t>카페24</t>
        </is>
      </c>
      <c r="C190" s="39" t="inlineStr">
        <is>
          <t>고체향수</t>
        </is>
      </c>
      <c r="D190" s="39" t="inlineStr">
        <is>
          <t>유즈 스테이포에버 솔리드퍼퓸 002 (스테이포에버 주문시 12/15 순차배송)제품선택=스테이포에버 솔리드퍼퓸 002[Pre-order 이벤트 17% 할인]</t>
        </is>
      </c>
      <c r="E190" s="39" t="inlineStr">
        <is>
          <t>스테이포에버</t>
        </is>
      </c>
      <c r="F190" s="39" t="n">
        <v>210101</v>
      </c>
      <c r="G190" s="42">
        <f>B190&amp;C190&amp;D190&amp;F190</f>
        <v/>
      </c>
      <c r="H190" s="39" t="n">
        <v>38000</v>
      </c>
      <c r="I190" s="40" t="n">
        <v>0.0585</v>
      </c>
      <c r="J190" s="39" t="n">
        <v>2592</v>
      </c>
    </row>
    <row r="191">
      <c r="B191" s="39" t="inlineStr">
        <is>
          <t>카페24</t>
        </is>
      </c>
      <c r="C191" s="39" t="inlineStr">
        <is>
          <t>고체향수</t>
        </is>
      </c>
      <c r="D191" s="39" t="inlineStr">
        <is>
          <t>유즈 스테이포에버 솔리드퍼퓸 002제품선택=스테이포에버 솔리드퍼퓸</t>
        </is>
      </c>
      <c r="E191" s="39" t="inlineStr">
        <is>
          <t>스테이포에버</t>
        </is>
      </c>
      <c r="F191" s="39" t="n">
        <v>210101</v>
      </c>
      <c r="G191" s="42">
        <f>B191&amp;C191&amp;D191&amp;F191</f>
        <v/>
      </c>
      <c r="H191" s="39" t="n">
        <v>38000</v>
      </c>
      <c r="I191" s="40" t="n">
        <v>0.0585</v>
      </c>
      <c r="J191" s="39" t="n">
        <v>2592</v>
      </c>
    </row>
    <row r="192">
      <c r="B192" s="39" t="inlineStr">
        <is>
          <t>카페24</t>
        </is>
      </c>
      <c r="C192" s="39" t="inlineStr">
        <is>
          <t>고체향수</t>
        </is>
      </c>
      <c r="D192" s="39" t="inlineStr">
        <is>
          <t>유즈 이그나이트 솔리드퍼퓸 001제품선택=이그나이트 2개 세트</t>
        </is>
      </c>
      <c r="E192" s="39" t="inlineStr">
        <is>
          <t>이그나이트 2set</t>
        </is>
      </c>
      <c r="F192" s="39" t="n">
        <v>210101</v>
      </c>
      <c r="G192" s="42">
        <f>B192&amp;C192&amp;D192&amp;F192</f>
        <v/>
      </c>
      <c r="H192" s="39" t="n">
        <v>58800</v>
      </c>
      <c r="I192" s="40" t="n">
        <v>0.0585</v>
      </c>
      <c r="J192" s="39">
        <f>2753*2</f>
        <v/>
      </c>
    </row>
    <row r="193">
      <c r="B193" s="39" t="inlineStr">
        <is>
          <t>카페24</t>
        </is>
      </c>
      <c r="C193" s="39" t="inlineStr">
        <is>
          <t>고체향수</t>
        </is>
      </c>
      <c r="D193" s="39" t="inlineStr">
        <is>
          <t>유즈 이그나이트 솔리드퍼퓸 001제품선택=이그나이트 솔리드퍼퓸 - 30ml</t>
        </is>
      </c>
      <c r="E193" s="39" t="inlineStr">
        <is>
          <t>이그나이트</t>
        </is>
      </c>
      <c r="F193" s="39" t="n">
        <v>210101</v>
      </c>
      <c r="G193" s="42">
        <f>B193&amp;C193&amp;D193&amp;F193</f>
        <v/>
      </c>
      <c r="H193" s="39" t="n">
        <v>38000</v>
      </c>
      <c r="I193" s="40" t="n">
        <v>0.0585</v>
      </c>
      <c r="J193" s="39" t="n">
        <v>2753</v>
      </c>
    </row>
    <row r="194">
      <c r="B194" s="39" t="inlineStr">
        <is>
          <t>유즈 CS</t>
        </is>
      </c>
      <c r="C194" s="39" t="inlineStr">
        <is>
          <t>고체향수</t>
        </is>
      </c>
      <c r="D194" s="39" t="inlineStr">
        <is>
          <t>솔리드퍼퓸 스테이포에버 002 30ml</t>
        </is>
      </c>
      <c r="E194" s="39" t="inlineStr">
        <is>
          <t>스테이포에버</t>
        </is>
      </c>
      <c r="F194" s="39" t="n">
        <v>210101</v>
      </c>
      <c r="G194" s="42">
        <f>B194&amp;C194&amp;D194&amp;F194</f>
        <v/>
      </c>
      <c r="H194" s="39" t="n">
        <v>0</v>
      </c>
      <c r="I194" s="40" t="n">
        <v>0</v>
      </c>
      <c r="J194" s="39" t="n">
        <v>2592</v>
      </c>
    </row>
    <row r="195">
      <c r="B195" s="39" t="inlineStr">
        <is>
          <t>유즈 CS</t>
        </is>
      </c>
      <c r="C195" s="39" t="inlineStr">
        <is>
          <t>고체향수</t>
        </is>
      </c>
      <c r="D195" s="39" t="inlineStr">
        <is>
          <t>솔리드퍼퓸 이그나이트 001 30ml</t>
        </is>
      </c>
      <c r="E195" s="39" t="inlineStr">
        <is>
          <t>이그나이트</t>
        </is>
      </c>
      <c r="F195" s="39" t="n">
        <v>210101</v>
      </c>
      <c r="G195" s="42">
        <f>B195&amp;C195&amp;D195&amp;F195</f>
        <v/>
      </c>
      <c r="H195" s="39" t="n">
        <v>0</v>
      </c>
      <c r="I195" s="40" t="n">
        <v>0</v>
      </c>
      <c r="J195" s="39" t="n">
        <v>2753</v>
      </c>
    </row>
    <row r="196">
      <c r="B196" s="39" t="inlineStr">
        <is>
          <t>카페24</t>
        </is>
      </c>
      <c r="C196" s="39" t="inlineStr">
        <is>
          <t>고체향수</t>
        </is>
      </c>
      <c r="D196" s="39" t="inlineStr">
        <is>
          <t>유즈 솔리드퍼퓸 - 30ml (스테이포에버 주문 시 12/15 순차배송)향=커플세트(이그나이트 + 스테이포에버), 세트 선택=1 SET</t>
        </is>
      </c>
      <c r="E196" s="39" t="inlineStr">
        <is>
          <t>이그나이트 + 스테이포에버</t>
        </is>
      </c>
      <c r="F196" s="39" t="n">
        <v>210101</v>
      </c>
      <c r="G196" s="42">
        <f>B196&amp;C196&amp;D196&amp;F196</f>
        <v/>
      </c>
      <c r="H196" s="39" t="n">
        <v>69000</v>
      </c>
      <c r="I196" s="40" t="n">
        <v>0.0585</v>
      </c>
      <c r="J196" s="39">
        <f>2592+2753</f>
        <v/>
      </c>
    </row>
    <row r="197">
      <c r="B197" s="39" t="inlineStr">
        <is>
          <t>카페24</t>
        </is>
      </c>
      <c r="C197" s="39" t="inlineStr">
        <is>
          <t>고체향수</t>
        </is>
      </c>
      <c r="D197" s="39" t="inlineStr">
        <is>
          <t>유즈 스테이포에버 솔리드퍼퓸 002 (스테이포에버 주문시 12/15 순차배송)제품선택=스테이포에버 [17% 할인]</t>
        </is>
      </c>
      <c r="E197" s="39" t="inlineStr">
        <is>
          <t>스테이포에버</t>
        </is>
      </c>
      <c r="F197" s="39" t="n">
        <v>210101</v>
      </c>
      <c r="G197" s="42">
        <f>B197&amp;C197&amp;D197&amp;F197</f>
        <v/>
      </c>
      <c r="H197" s="39" t="n">
        <v>38000</v>
      </c>
      <c r="I197" s="40" t="n">
        <v>0.0585</v>
      </c>
      <c r="J197" s="39" t="n">
        <v>2592</v>
      </c>
    </row>
    <row r="198">
      <c r="B198" s="39" t="inlineStr">
        <is>
          <t>카페24</t>
        </is>
      </c>
      <c r="C198" s="39" t="inlineStr">
        <is>
          <t>고체향수</t>
        </is>
      </c>
      <c r="D198" s="39" t="inlineStr">
        <is>
          <t>유즈 스테이포에버 솔리드퍼퓸 002 (스테이포에버 주문시 12/15 순차배송)제품선택=best</t>
        </is>
      </c>
      <c r="E198" s="39" t="inlineStr">
        <is>
          <t>스테이포에버 2set</t>
        </is>
      </c>
      <c r="F198" s="39" t="n">
        <v>210101</v>
      </c>
      <c r="G198" s="42">
        <f>B198&amp;C198&amp;D198&amp;F198</f>
        <v/>
      </c>
      <c r="H198" s="39" t="n">
        <v>58800</v>
      </c>
      <c r="I198" s="40" t="n">
        <v>0.0585</v>
      </c>
      <c r="J198" s="39">
        <f>2592*2</f>
        <v/>
      </c>
    </row>
    <row r="199">
      <c r="B199" s="39" t="inlineStr">
        <is>
          <t>카페24</t>
        </is>
      </c>
      <c r="C199" s="39" t="inlineStr">
        <is>
          <t>고체향수</t>
        </is>
      </c>
      <c r="D199" s="39" t="inlineStr">
        <is>
          <t>유즈 스테이포에버 솔리드퍼퓸 002 (스테이포에버 주문시 12/15 순차배송)제품선택=best스테이포에버 2개[28% 할인]</t>
        </is>
      </c>
      <c r="E199" s="39" t="inlineStr">
        <is>
          <t>스테이포에버 2set</t>
        </is>
      </c>
      <c r="F199" s="39" t="n">
        <v>210101</v>
      </c>
      <c r="G199" s="42">
        <f>B199&amp;C199&amp;D199&amp;F199</f>
        <v/>
      </c>
      <c r="H199" s="39" t="n">
        <v>58800</v>
      </c>
      <c r="I199" s="40" t="n">
        <v>0.0585</v>
      </c>
      <c r="J199" s="39">
        <f>2592*2</f>
        <v/>
      </c>
    </row>
    <row r="200">
      <c r="B200" s="39" t="inlineStr">
        <is>
          <t>카페24</t>
        </is>
      </c>
      <c r="C200" s="39" t="inlineStr">
        <is>
          <t>고체향수</t>
        </is>
      </c>
      <c r="D200" s="39" t="inlineStr">
        <is>
          <t>솔리드퍼퓸 스테이포에버 002 30ml</t>
        </is>
      </c>
      <c r="E200" s="39" t="inlineStr">
        <is>
          <t>스테이포에버</t>
        </is>
      </c>
      <c r="F200" s="39" t="n">
        <v>210101</v>
      </c>
      <c r="G200" s="42">
        <f>B200&amp;C200&amp;D200&amp;F200</f>
        <v/>
      </c>
      <c r="H200" s="39" t="n">
        <v>38000</v>
      </c>
      <c r="I200" s="40" t="n">
        <v>0.0585</v>
      </c>
      <c r="J200" s="39" t="n">
        <v>2592</v>
      </c>
    </row>
    <row r="201">
      <c r="B201" s="39" t="inlineStr">
        <is>
          <t>카페24</t>
        </is>
      </c>
      <c r="C201" s="39" t="inlineStr">
        <is>
          <t>고체향수</t>
        </is>
      </c>
      <c r="D201" s="39" t="inlineStr">
        <is>
          <t>유즈 솔리드퍼퓸 - 30ml (스테이포에버 주문 시 12/15 순차배송)향=스테이포에버 002 SOLID PERFUME, 세트 선택=1</t>
        </is>
      </c>
      <c r="E201" s="39" t="inlineStr">
        <is>
          <t>스테이포에버</t>
        </is>
      </c>
      <c r="F201" s="39" t="n">
        <v>210101</v>
      </c>
      <c r="G201" s="42">
        <f>B201&amp;C201&amp;D201&amp;F201</f>
        <v/>
      </c>
      <c r="H201" s="39">
        <f>VLOOKUP($E201,$E$42:$J$64,4,0)</f>
        <v/>
      </c>
      <c r="I201" s="40">
        <f>VLOOKUP($E201,$E$42:$J$64,5,0)</f>
        <v/>
      </c>
      <c r="J201" s="39" t="n">
        <v>2592</v>
      </c>
    </row>
    <row r="202">
      <c r="B202" s="39" t="inlineStr">
        <is>
          <t>카페24</t>
        </is>
      </c>
      <c r="C202" s="39" t="inlineStr">
        <is>
          <t>고체향수</t>
        </is>
      </c>
      <c r="D202" s="39" t="inlineStr">
        <is>
          <t>유즈 솔리드퍼퓸 - 30ml (스테이포에버 주문 시 12/15 순차배송)향=스테이포에버 002 SOLID PERFUME, 세트 선택=1 개(17% 할인)</t>
        </is>
      </c>
      <c r="E202" s="39" t="inlineStr">
        <is>
          <t>스테이포에버</t>
        </is>
      </c>
      <c r="F202" s="39" t="n">
        <v>210101</v>
      </c>
      <c r="G202" s="42">
        <f>B202&amp;C202&amp;D202&amp;F202</f>
        <v/>
      </c>
      <c r="H202" s="39">
        <f>VLOOKUP($E202,$E$42:$J$64,4,0)</f>
        <v/>
      </c>
      <c r="I202" s="40">
        <f>VLOOKUP($E202,$E$42:$J$64,5,0)</f>
        <v/>
      </c>
      <c r="J202" s="39" t="n">
        <v>2592</v>
      </c>
    </row>
    <row r="203">
      <c r="B203" s="39" t="inlineStr">
        <is>
          <t>카페24</t>
        </is>
      </c>
      <c r="C203" s="39" t="inlineStr">
        <is>
          <t>고체향수</t>
        </is>
      </c>
      <c r="D203" s="39" t="inlineStr">
        <is>
          <t>유즈 솔리드퍼퓸 - 30ml (스테이포에버 주문 시 12/15 순차배송)향=스테이포에버 002 SOLID PERFUME, 세트 선택=best</t>
        </is>
      </c>
      <c r="E203" s="39" t="inlineStr">
        <is>
          <t>스테이포에버</t>
        </is>
      </c>
      <c r="F203" s="39" t="n">
        <v>210101</v>
      </c>
      <c r="G203" s="42">
        <f>B203&amp;C203&amp;D203&amp;F203</f>
        <v/>
      </c>
      <c r="H203" s="39">
        <f>VLOOKUP($E203,$E$42:$J$64,4,0)</f>
        <v/>
      </c>
      <c r="I203" s="40">
        <f>VLOOKUP($E203,$E$42:$J$64,5,0)</f>
        <v/>
      </c>
      <c r="J203" s="39" t="n">
        <v>2592</v>
      </c>
    </row>
    <row r="204">
      <c r="B204" s="39" t="inlineStr">
        <is>
          <t>카페24</t>
        </is>
      </c>
      <c r="C204" s="39" t="inlineStr">
        <is>
          <t>고체향수</t>
        </is>
      </c>
      <c r="D204" s="39" t="inlineStr">
        <is>
          <t>유즈 솔리드퍼퓸 - 30ml (스테이포에버 주문 시 12/15 순차배송)향=스테이포에버 002 SOLID PERFUME, 세트 선택=best(28% 할인)2개</t>
        </is>
      </c>
      <c r="E204" s="39" t="inlineStr">
        <is>
          <t>스테이포에버 2set</t>
        </is>
      </c>
      <c r="F204" s="39" t="n">
        <v>210101</v>
      </c>
      <c r="G204" s="42">
        <f>B204&amp;C204&amp;D204&amp;F204</f>
        <v/>
      </c>
      <c r="H204" s="39">
        <f>VLOOKUP($E204,$E$42:$J$64,4,0)</f>
        <v/>
      </c>
      <c r="I204" s="40">
        <f>VLOOKUP($E204,$E$42:$J$64,5,0)</f>
        <v/>
      </c>
      <c r="J204" s="39">
        <f>2592*2</f>
        <v/>
      </c>
    </row>
    <row r="205">
      <c r="B205" s="39" t="inlineStr">
        <is>
          <t>카페24</t>
        </is>
      </c>
      <c r="C205" s="39" t="inlineStr">
        <is>
          <t>고체향수</t>
        </is>
      </c>
      <c r="D205" s="39" t="inlineStr">
        <is>
          <t>유즈 솔리드퍼퓸 - 30ml (스테이포에버 주문 시 12/15 순차배송)향=커플세트</t>
        </is>
      </c>
      <c r="E205" s="39" t="inlineStr">
        <is>
          <t>이그나이트 + 스테이포에버</t>
        </is>
      </c>
      <c r="F205" s="39" t="n">
        <v>210101</v>
      </c>
      <c r="G205" s="42">
        <f>B205&amp;C205&amp;D205&amp;F205</f>
        <v/>
      </c>
      <c r="H205" s="39">
        <f>VLOOKUP($E205,$E$42:$J$64,4,0)</f>
        <v/>
      </c>
      <c r="I205" s="40">
        <f>VLOOKUP($E205,$E$42:$J$64,5,0)</f>
        <v/>
      </c>
      <c r="J205" s="39">
        <f>2592+2753</f>
        <v/>
      </c>
    </row>
    <row r="206">
      <c r="B206" s="39" t="inlineStr">
        <is>
          <t>카페24</t>
        </is>
      </c>
      <c r="C206" s="39" t="inlineStr">
        <is>
          <t>고체향수</t>
        </is>
      </c>
      <c r="D206" s="39" t="inlineStr">
        <is>
          <t>유즈 스테이포에버 솔리드퍼퓸 002 (스테이포에버 주문시 12/15 순차배송)제품선택=스테이포에버 1개</t>
        </is>
      </c>
      <c r="E206" s="39" t="inlineStr">
        <is>
          <t>스테이포에버</t>
        </is>
      </c>
      <c r="F206" s="39" t="n">
        <v>210101</v>
      </c>
      <c r="G206" s="42">
        <f>B206&amp;C206&amp;D206&amp;F206</f>
        <v/>
      </c>
      <c r="H206" s="39">
        <f>VLOOKUP($E206,$E$42:$J$64,4,0)</f>
        <v/>
      </c>
      <c r="I206" s="40">
        <f>VLOOKUP($E206,$E$42:$J$64,5,0)</f>
        <v/>
      </c>
      <c r="J206" s="39" t="n">
        <v>2592</v>
      </c>
    </row>
    <row r="207">
      <c r="B207" s="39" t="inlineStr">
        <is>
          <t>카페24</t>
        </is>
      </c>
      <c r="C207" s="39" t="inlineStr">
        <is>
          <t>고체향수</t>
        </is>
      </c>
      <c r="D207" s="39" t="inlineStr">
        <is>
          <t>유즈 스테이포에버 솔리드퍼퓸 002 (스테이포에버 주문시 12/15 순차배송)제품선택=스테이포에버 1개 [17% 할인]</t>
        </is>
      </c>
      <c r="E207" s="39" t="inlineStr">
        <is>
          <t>스테이포에버</t>
        </is>
      </c>
      <c r="F207" s="39" t="n">
        <v>210101</v>
      </c>
      <c r="G207" s="42">
        <f>B207&amp;C207&amp;D207&amp;F207</f>
        <v/>
      </c>
      <c r="H207" s="39">
        <f>VLOOKUP($E207,$E$42:$J$64,4,0)</f>
        <v/>
      </c>
      <c r="I207" s="40">
        <f>VLOOKUP($E207,$E$42:$J$64,5,0)</f>
        <v/>
      </c>
      <c r="J207" s="39" t="n">
        <v>2592</v>
      </c>
    </row>
    <row r="208">
      <c r="B208" s="39" t="inlineStr">
        <is>
          <t>카페24</t>
        </is>
      </c>
      <c r="C208" s="39" t="inlineStr">
        <is>
          <t>고체향수</t>
        </is>
      </c>
      <c r="D208" s="39" t="inlineStr">
        <is>
          <t>유즈 스테이포에버 솔리드퍼퓸 002 (스테이포에버 주문시 12/15 순차배송)제품선택=커플추천</t>
        </is>
      </c>
      <c r="E208" s="39" t="inlineStr">
        <is>
          <t>이그나이트 + 스테이포에버</t>
        </is>
      </c>
      <c r="F208" s="39" t="n">
        <v>210101</v>
      </c>
      <c r="G208" s="42">
        <f>B208&amp;C208&amp;D208&amp;F208</f>
        <v/>
      </c>
      <c r="H208" s="39">
        <f>VLOOKUP($E208,$E$42:$J$64,4,0)</f>
        <v/>
      </c>
      <c r="I208" s="40">
        <f>VLOOKUP($E208,$E$42:$J$64,5,0)</f>
        <v/>
      </c>
      <c r="J208" s="39">
        <f>2592+2753</f>
        <v/>
      </c>
    </row>
    <row r="209">
      <c r="B209" s="39" t="inlineStr">
        <is>
          <t>카페24</t>
        </is>
      </c>
      <c r="C209" s="39" t="inlineStr">
        <is>
          <t>고체향수</t>
        </is>
      </c>
      <c r="D209" s="39" t="inlineStr">
        <is>
          <t>유즈 솔리드퍼퓸 - 30ml (스테이포에버 주문 시 12/15 순차배송)향=이그나이트 001 SOLID PERFUME, 세트 선택=1</t>
        </is>
      </c>
      <c r="E209" s="39" t="inlineStr">
        <is>
          <t>이그나이트</t>
        </is>
      </c>
      <c r="F209" s="39" t="n">
        <v>210101</v>
      </c>
      <c r="G209" s="42">
        <f>B209&amp;C209&amp;D209&amp;F209</f>
        <v/>
      </c>
      <c r="H209" s="39">
        <f>VLOOKUP($E209,$E$42:$J$64,4,0)</f>
        <v/>
      </c>
      <c r="I209" s="40">
        <f>VLOOKUP($E209,$E$42:$J$64,5,0)</f>
        <v/>
      </c>
      <c r="J209" s="39" t="n">
        <v>2753</v>
      </c>
    </row>
    <row r="210">
      <c r="B210" s="39" t="inlineStr">
        <is>
          <t>카페24</t>
        </is>
      </c>
      <c r="C210" s="39" t="inlineStr">
        <is>
          <t>고체향수</t>
        </is>
      </c>
      <c r="D210" s="39" t="inlineStr">
        <is>
          <t>유즈 솔리드퍼퓸 - 30ml (스테이포에버 주문 시 12/15 순차배송)향=커플세트(이그나이트 + 스테이포에버), 세트 선택=2 SET (42% 할인)</t>
        </is>
      </c>
      <c r="E210" s="39" t="inlineStr">
        <is>
          <t>이그나이트 + 스테이포에버</t>
        </is>
      </c>
      <c r="F210" s="39" t="n">
        <v>210101</v>
      </c>
      <c r="G210" s="42">
        <f>B210&amp;C210&amp;D210&amp;F210</f>
        <v/>
      </c>
      <c r="H210" s="39">
        <f>VLOOKUP($E210,$E$42:$J$64,4,0)</f>
        <v/>
      </c>
      <c r="I210" s="40">
        <f>VLOOKUP($E210,$E$42:$J$64,5,0)</f>
        <v/>
      </c>
      <c r="J210" s="39">
        <f>2592+2753</f>
        <v/>
      </c>
    </row>
    <row r="211">
      <c r="B211" s="39" t="inlineStr">
        <is>
          <t>카페24</t>
        </is>
      </c>
      <c r="C211" s="39" t="inlineStr">
        <is>
          <t>고체향수</t>
        </is>
      </c>
      <c r="D211" s="39" t="inlineStr">
        <is>
          <t>유즈 스테이포에버 솔리드퍼퓸 002 (스테이포에버 주문시 12/15 순차배송)제품선택=커플추천스테이포에버 + 이그나이트 세트</t>
        </is>
      </c>
      <c r="E211" s="39" t="inlineStr">
        <is>
          <t>이그나이트 + 스테이포에버</t>
        </is>
      </c>
      <c r="F211" s="39" t="n">
        <v>210101</v>
      </c>
      <c r="G211" s="42">
        <f>B211&amp;C211&amp;D211&amp;F211</f>
        <v/>
      </c>
      <c r="H211" s="39">
        <f>VLOOKUP($E211,$E$42:$J$64,4,0)</f>
        <v/>
      </c>
      <c r="I211" s="40">
        <f>VLOOKUP($E211,$E$42:$J$64,5,0)</f>
        <v/>
      </c>
      <c r="J211" s="39">
        <f>2592+2753</f>
        <v/>
      </c>
    </row>
    <row r="212">
      <c r="B212" s="39" t="inlineStr">
        <is>
          <t>카페24</t>
        </is>
      </c>
      <c r="C212" s="39" t="inlineStr">
        <is>
          <t>고체향수</t>
        </is>
      </c>
      <c r="D212" s="39" t="inlineStr">
        <is>
          <t>스테이포에버 솔리드퍼퓸 002 (10차 재입고 완료제품선택=스테이포에버 1개</t>
        </is>
      </c>
      <c r="E212" s="39" t="inlineStr">
        <is>
          <t>스테이포에버</t>
        </is>
      </c>
      <c r="F212" s="39" t="n">
        <v>210101</v>
      </c>
      <c r="G212" s="42">
        <f>B212&amp;C212&amp;D212&amp;F212</f>
        <v/>
      </c>
      <c r="H212" s="39">
        <f>VLOOKUP($E212,$E$42:$J$64,4,0)</f>
        <v/>
      </c>
      <c r="I212" s="40">
        <f>VLOOKUP($E212,$E$42:$J$64,5,0)</f>
        <v/>
      </c>
      <c r="J212" s="39" t="n">
        <v>2592</v>
      </c>
    </row>
    <row r="213">
      <c r="B213" s="39" t="inlineStr">
        <is>
          <t>카페24</t>
        </is>
      </c>
      <c r="C213" s="39" t="inlineStr">
        <is>
          <t>고체향수</t>
        </is>
      </c>
      <c r="D213" s="39" t="inlineStr">
        <is>
          <t>스테이포에버 솔리드퍼퓸 002 (10차 재입고 완료제품선택=best</t>
        </is>
      </c>
      <c r="E213" s="39" t="inlineStr">
        <is>
          <t>스테이포에버 2set</t>
        </is>
      </c>
      <c r="F213" s="39" t="n">
        <v>210101</v>
      </c>
      <c r="G213" s="42">
        <f>B213&amp;C213&amp;D213&amp;F213</f>
        <v/>
      </c>
      <c r="H213" s="39">
        <f>VLOOKUP($E213,$E$42:$J$64,4,0)</f>
        <v/>
      </c>
      <c r="I213" s="40">
        <f>VLOOKUP($E213,$E$42:$J$64,5,0)</f>
        <v/>
      </c>
      <c r="J213" s="39">
        <f>2592*2</f>
        <v/>
      </c>
    </row>
    <row r="214">
      <c r="B214" s="39" t="inlineStr">
        <is>
          <t>카페24</t>
        </is>
      </c>
      <c r="C214" s="39" t="inlineStr">
        <is>
          <t>고체향수</t>
        </is>
      </c>
      <c r="D214" s="39" t="inlineStr">
        <is>
          <t>스테이포에버 솔리드퍼퓸 002 (10차 재입고 완료)제품선택=best스테이포에버 2개[28% 할인]</t>
        </is>
      </c>
      <c r="E214" s="39" t="inlineStr">
        <is>
          <t>스테이포에버 2set</t>
        </is>
      </c>
      <c r="F214" s="39" t="n">
        <v>210101</v>
      </c>
      <c r="G214" s="42">
        <f>B214&amp;C214&amp;D214&amp;F214</f>
        <v/>
      </c>
      <c r="H214" s="39">
        <f>VLOOKUP($E214,$E$42:$J$64,4,0)</f>
        <v/>
      </c>
      <c r="I214" s="40">
        <f>VLOOKUP($E214,$E$42:$J$64,5,0)</f>
        <v/>
      </c>
      <c r="J214" s="39">
        <f>2592*2</f>
        <v/>
      </c>
    </row>
    <row r="215">
      <c r="B215" s="39" t="inlineStr">
        <is>
          <t>카페24</t>
        </is>
      </c>
      <c r="C215" s="39" t="inlineStr">
        <is>
          <t>고체향수</t>
        </is>
      </c>
      <c r="D215" s="39" t="inlineStr">
        <is>
          <t>스테이포에버 솔리드퍼퓸 002 (10차 재입고 완료제품선택=커플추천</t>
        </is>
      </c>
      <c r="E215" s="39" t="inlineStr">
        <is>
          <t>이그나이트 + 스테이포에버</t>
        </is>
      </c>
      <c r="F215" s="39" t="n">
        <v>210101</v>
      </c>
      <c r="G215" s="42">
        <f>B215&amp;C215&amp;D215&amp;F215</f>
        <v/>
      </c>
      <c r="H215" s="39">
        <f>VLOOKUP($E215,$E$42:$J$64,4,0)</f>
        <v/>
      </c>
      <c r="I215" s="40">
        <f>VLOOKUP($E215,$E$42:$J$64,5,0)</f>
        <v/>
      </c>
      <c r="J215" s="39">
        <f>2592+2753</f>
        <v/>
      </c>
    </row>
    <row r="216">
      <c r="B216" s="39" t="inlineStr">
        <is>
          <t>카페24</t>
        </is>
      </c>
      <c r="C216" s="39" t="inlineStr">
        <is>
          <t>쇼핑백</t>
        </is>
      </c>
      <c r="D216" s="39" t="inlineStr">
        <is>
          <t>스테이포에버 솔리드퍼퓸 002 (10차 재입고 완료쇼핑백=선물용 쇼핑백</t>
        </is>
      </c>
      <c r="E216" s="39" t="inlineStr">
        <is>
          <t>쇼핑백</t>
        </is>
      </c>
      <c r="F216" s="39" t="n">
        <v>210101</v>
      </c>
      <c r="G216" s="42">
        <f>B216&amp;C216&amp;D216&amp;F216</f>
        <v/>
      </c>
      <c r="H216" s="39">
        <f>VLOOKUP($E216,$E$42:$J$64,4,0)</f>
        <v/>
      </c>
      <c r="I216" s="40">
        <f>VLOOKUP($E216,$E$42:$J$64,5,0)</f>
        <v/>
      </c>
      <c r="J216" s="39" t="n">
        <v>830</v>
      </c>
    </row>
    <row r="217">
      <c r="B217" s="39" t="inlineStr">
        <is>
          <t>카페24</t>
        </is>
      </c>
      <c r="C217" s="39" t="inlineStr">
        <is>
          <t>고체향수</t>
        </is>
      </c>
      <c r="D217" s="39" t="inlineStr">
        <is>
          <t>스테이포에버 솔리드퍼퓸 002 (10차 재입고 완료)제품선택=스테이포에버 1개</t>
        </is>
      </c>
      <c r="E217" s="39" t="inlineStr">
        <is>
          <t>스테이포에버</t>
        </is>
      </c>
      <c r="F217" s="39" t="n">
        <v>210101</v>
      </c>
      <c r="G217" s="42">
        <f>B217&amp;C217&amp;D217&amp;F217</f>
        <v/>
      </c>
      <c r="H217" s="39">
        <f>VLOOKUP($E217,$E$42:$J$64,4,0)</f>
        <v/>
      </c>
      <c r="I217" s="40">
        <f>VLOOKUP($E217,$E$42:$J$64,5,0)</f>
        <v/>
      </c>
      <c r="J217" s="39" t="n">
        <v>2592</v>
      </c>
    </row>
    <row r="218">
      <c r="B218" s="39" t="inlineStr">
        <is>
          <t>카페24</t>
        </is>
      </c>
      <c r="C218" s="39" t="inlineStr">
        <is>
          <t>고체향수</t>
        </is>
      </c>
      <c r="D218" s="39" t="inlineStr">
        <is>
          <t>스테이포에버 솔리드퍼퓸 002 (10차 재입고 완료)제품선택=커플추천스테이포에버 + 이그나이트 세트</t>
        </is>
      </c>
      <c r="E218" s="39" t="inlineStr">
        <is>
          <t>이그나이트 + 스테이포에버</t>
        </is>
      </c>
      <c r="F218" s="39" t="n">
        <v>210101</v>
      </c>
      <c r="G218" s="42">
        <f>B218&amp;C218&amp;D218&amp;F218</f>
        <v/>
      </c>
      <c r="H218" s="39">
        <f>VLOOKUP($E218,$E$42:$J$64,4,0)</f>
        <v/>
      </c>
      <c r="I218" s="40">
        <f>VLOOKUP($E218,$E$42:$J$64,5,0)</f>
        <v/>
      </c>
      <c r="J218" s="39">
        <f>2592+2753</f>
        <v/>
      </c>
    </row>
    <row r="219">
      <c r="B219" s="39" t="inlineStr">
        <is>
          <t>카페24</t>
        </is>
      </c>
      <c r="C219" s="39" t="inlineStr">
        <is>
          <t>쇼핑백</t>
        </is>
      </c>
      <c r="D219" s="39" t="inlineStr">
        <is>
          <t>스테이포에버 솔리드퍼퓸 002 (10차 재입고 완료)쇼핑백=선물용 쇼핑백</t>
        </is>
      </c>
      <c r="E219" s="39" t="inlineStr">
        <is>
          <t>쇼핑백</t>
        </is>
      </c>
      <c r="F219" s="39" t="n">
        <v>210101</v>
      </c>
      <c r="G219" s="42">
        <f>B219&amp;C219&amp;D219&amp;F219</f>
        <v/>
      </c>
      <c r="H219" s="39">
        <f>VLOOKUP($E219,$E$42:$J$64,4,0)</f>
        <v/>
      </c>
      <c r="I219" s="40">
        <f>VLOOKUP($E219,$E$42:$J$64,5,0)</f>
        <v/>
      </c>
      <c r="J219" s="39" t="n">
        <v>830</v>
      </c>
    </row>
    <row r="220">
      <c r="B220" s="39" t="inlineStr">
        <is>
          <t>카페24</t>
        </is>
      </c>
      <c r="C220" s="39" t="inlineStr">
        <is>
          <t>고체향수</t>
        </is>
      </c>
      <c r="D220" s="39" t="inlineStr">
        <is>
          <t>유즈 솔리드퍼퓸 - 30ml (10차 재입고 완료향=스테이포에버 002 SOLID PERFUME, 세트 선택=1개</t>
        </is>
      </c>
      <c r="E220" s="39" t="inlineStr">
        <is>
          <t>스테이포에버</t>
        </is>
      </c>
      <c r="F220" s="39" t="n">
        <v>210101</v>
      </c>
      <c r="G220" s="42">
        <f>B220&amp;C220&amp;D220&amp;F220</f>
        <v/>
      </c>
      <c r="H220" s="39">
        <f>VLOOKUP($E220,$E$42:$J$64,4,0)</f>
        <v/>
      </c>
      <c r="I220" s="40">
        <f>VLOOKUP($E220,$E$42:$J$64,5,0)</f>
        <v/>
      </c>
      <c r="J220" s="39" t="n">
        <v>2592</v>
      </c>
    </row>
    <row r="221">
      <c r="B221" s="39" t="inlineStr">
        <is>
          <t>카페24</t>
        </is>
      </c>
      <c r="C221" s="39" t="inlineStr">
        <is>
          <t>고체향수</t>
        </is>
      </c>
      <c r="D221" s="39" t="inlineStr">
        <is>
          <t>유즈 솔리드퍼퓸 - 30ml (10차 재입고 완료 )향=스테이포에버 002 SOLID PERFUME, 세트 선택=1개</t>
        </is>
      </c>
      <c r="E221" s="39" t="inlineStr">
        <is>
          <t>스테이포에버</t>
        </is>
      </c>
      <c r="F221" s="39" t="n">
        <v>210101</v>
      </c>
      <c r="G221" s="42">
        <f>B221&amp;C221&amp;D221&amp;F221</f>
        <v/>
      </c>
      <c r="H221" s="39">
        <f>VLOOKUP($E221,$E$42:$J$64,4,0)</f>
        <v/>
      </c>
      <c r="I221" s="40">
        <f>VLOOKUP($E221,$E$42:$J$64,5,0)</f>
        <v/>
      </c>
      <c r="J221" s="39" t="n">
        <v>2592</v>
      </c>
    </row>
    <row r="222">
      <c r="B222" s="39" t="inlineStr">
        <is>
          <t>카페24</t>
        </is>
      </c>
      <c r="C222" s="39" t="inlineStr">
        <is>
          <t>고체향수</t>
        </is>
      </c>
      <c r="D222" s="39" t="inlineStr">
        <is>
          <t>유즈 솔리드퍼퓸 - 30ml (10차 재입고 완료 )향=스테이포에버 002 SOLID PERFUME, 세트 선택=best 2개 (28% 할인)</t>
        </is>
      </c>
      <c r="E222" s="39" t="inlineStr">
        <is>
          <t>스테이포에버 2set</t>
        </is>
      </c>
      <c r="F222" s="39" t="n">
        <v>210101</v>
      </c>
      <c r="G222" s="42">
        <f>B222&amp;C222&amp;D222&amp;F222</f>
        <v/>
      </c>
      <c r="H222" s="39">
        <f>VLOOKUP($E222,$E$42:$J$64,4,0)</f>
        <v/>
      </c>
      <c r="I222" s="40">
        <f>VLOOKUP($E222,$E$42:$J$64,5,0)</f>
        <v/>
      </c>
      <c r="J222" s="39">
        <f>2592*2</f>
        <v/>
      </c>
    </row>
    <row r="223">
      <c r="B223" s="39" t="inlineStr">
        <is>
          <t>카페24</t>
        </is>
      </c>
      <c r="C223" s="39" t="inlineStr">
        <is>
          <t>고체향수</t>
        </is>
      </c>
      <c r="D223" s="39" t="inlineStr">
        <is>
          <t>유즈 스테이포에버 솔리드퍼퓸 002 (10차 재입고 완료제품선택=커플추천</t>
        </is>
      </c>
      <c r="E223" s="39" t="inlineStr">
        <is>
          <t>이그나이트 + 스테이포에버</t>
        </is>
      </c>
      <c r="F223" s="39" t="n">
        <v>210101</v>
      </c>
      <c r="G223" s="42">
        <f>B223&amp;C223&amp;D223&amp;F223</f>
        <v/>
      </c>
      <c r="H223" s="39">
        <f>VLOOKUP($E223,$E$42:$J$64,4,0)</f>
        <v/>
      </c>
      <c r="I223" s="40">
        <f>VLOOKUP($E223,$E$42:$J$64,5,0)</f>
        <v/>
      </c>
      <c r="J223" s="39">
        <f>2592+2753</f>
        <v/>
      </c>
    </row>
    <row r="224">
      <c r="B224" s="39" t="inlineStr">
        <is>
          <t>카페24</t>
        </is>
      </c>
      <c r="C224" s="39" t="inlineStr">
        <is>
          <t>고체향수</t>
        </is>
      </c>
      <c r="D224" s="39" t="inlineStr">
        <is>
          <t>유즈 스테이포에버 솔리드퍼퓸 002 (10차 재입고 완료)제품선택=스테이포에버 1개</t>
        </is>
      </c>
      <c r="E224" s="39" t="inlineStr">
        <is>
          <t>스테이포에버</t>
        </is>
      </c>
      <c r="F224" s="39" t="n">
        <v>210101</v>
      </c>
      <c r="G224" s="42">
        <f>B224&amp;C224&amp;D224&amp;F224</f>
        <v/>
      </c>
      <c r="H224" s="39">
        <f>VLOOKUP($E224,$E$42:$J$64,4,0)</f>
        <v/>
      </c>
      <c r="I224" s="40">
        <f>VLOOKUP($E224,$E$42:$J$64,5,0)</f>
        <v/>
      </c>
      <c r="J224" s="39" t="n">
        <v>2592</v>
      </c>
    </row>
    <row r="225">
      <c r="B225" s="39" t="inlineStr">
        <is>
          <t>카페24</t>
        </is>
      </c>
      <c r="C225" s="39" t="inlineStr">
        <is>
          <t>쇼핑백</t>
        </is>
      </c>
      <c r="D225" s="39" t="inlineStr">
        <is>
          <t>유즈 스테이포에버 솔리드퍼퓸 002 (스테이포에버 주문시 12/15 순차배송)쇼핑백=선물용 쇼핑백</t>
        </is>
      </c>
      <c r="E225" s="39" t="inlineStr">
        <is>
          <t>쇼핑백</t>
        </is>
      </c>
      <c r="F225" s="39" t="n">
        <v>210101</v>
      </c>
      <c r="G225" s="42">
        <f>B225&amp;C225&amp;D225&amp;F225</f>
        <v/>
      </c>
      <c r="H225" s="39">
        <f>VLOOKUP($E225,$E$42:$J$64,4,0)</f>
        <v/>
      </c>
      <c r="I225" s="40">
        <f>VLOOKUP($E225,$E$42:$J$64,5,0)</f>
        <v/>
      </c>
      <c r="J225" s="39" t="n">
        <v>830</v>
      </c>
    </row>
    <row r="226">
      <c r="B226" s="39" t="inlineStr">
        <is>
          <t>카페24</t>
        </is>
      </c>
      <c r="C226" s="39" t="inlineStr">
        <is>
          <t>고체향수</t>
        </is>
      </c>
      <c r="D226" s="39" t="inlineStr">
        <is>
          <t>유즈 솔리드퍼퓸 - 30ml (10차 재입고 완료향=이그나이트 001 SOLID PERFUME, 세트 선택=1개</t>
        </is>
      </c>
      <c r="E226" s="39" t="inlineStr">
        <is>
          <t>이그나이트</t>
        </is>
      </c>
      <c r="F226" s="39" t="n">
        <v>210101</v>
      </c>
      <c r="G226" s="42">
        <f>B226&amp;C226&amp;D226&amp;F226</f>
        <v/>
      </c>
      <c r="H226" s="39">
        <f>VLOOKUP($E226,$E$42:$J$64,4,0)</f>
        <v/>
      </c>
      <c r="I226" s="40">
        <f>VLOOKUP($E226,$E$42:$J$64,5,0)</f>
        <v/>
      </c>
      <c r="J226" s="39" t="n">
        <v>2753</v>
      </c>
    </row>
    <row r="227">
      <c r="B227" s="39" t="inlineStr">
        <is>
          <t>카페24</t>
        </is>
      </c>
      <c r="C227" s="39" t="inlineStr">
        <is>
          <t>고체향수</t>
        </is>
      </c>
      <c r="D227" s="39" t="inlineStr">
        <is>
          <t>유즈 솔리드퍼퓸 - 30ml (10차 재입고 완료 )향=이그나이트 001 SOLID PERFUME, 세트 선택=1개</t>
        </is>
      </c>
      <c r="E227" s="39" t="inlineStr">
        <is>
          <t>이그나이트</t>
        </is>
      </c>
      <c r="F227" s="39" t="n">
        <v>210101</v>
      </c>
      <c r="G227" s="42">
        <f>B227&amp;C227&amp;D227&amp;F227</f>
        <v/>
      </c>
      <c r="H227" s="39">
        <f>VLOOKUP($E227,$E$42:$J$64,4,0)</f>
        <v/>
      </c>
      <c r="I227" s="40">
        <f>VLOOKUP($E227,$E$42:$J$64,5,0)</f>
        <v/>
      </c>
      <c r="J227" s="39" t="n">
        <v>2753</v>
      </c>
    </row>
    <row r="228">
      <c r="B228" s="39" t="inlineStr">
        <is>
          <t>카페24</t>
        </is>
      </c>
      <c r="C228" s="39" t="inlineStr">
        <is>
          <t>고체향수</t>
        </is>
      </c>
      <c r="D228" s="39" t="inlineStr">
        <is>
          <t>유즈 솔리드퍼퓸 - 30ml (10차 재입고 완료향=스테이포에버 002 SOLID PERFUME, 세트 선택=best</t>
        </is>
      </c>
      <c r="E228" s="39" t="inlineStr">
        <is>
          <t>스테이포에버 2set</t>
        </is>
      </c>
      <c r="F228" s="39" t="n">
        <v>210101</v>
      </c>
      <c r="G228" s="42">
        <f>B228&amp;C228&amp;D228&amp;F228</f>
        <v/>
      </c>
      <c r="H228" s="39" t="n">
        <v>58800</v>
      </c>
      <c r="I228" s="40" t="n">
        <v>0.0585</v>
      </c>
      <c r="J228" s="39">
        <f>2592*2</f>
        <v/>
      </c>
    </row>
    <row r="229">
      <c r="B229" s="39" t="inlineStr">
        <is>
          <t>카페24</t>
        </is>
      </c>
      <c r="C229" s="39" t="inlineStr">
        <is>
          <t>고체향수</t>
        </is>
      </c>
      <c r="D229" s="39" t="inlineStr">
        <is>
          <t>유즈 솔리드퍼퓸 - 30ml (10차 재입고 완료 )향=커플세트(이그나이트 + 스테이포에버), 세트 선택=1 SET</t>
        </is>
      </c>
      <c r="E229" s="39" t="inlineStr">
        <is>
          <t>이그나이트 + 스테이포에버</t>
        </is>
      </c>
      <c r="F229" s="39" t="n">
        <v>210101</v>
      </c>
      <c r="G229" s="42">
        <f>B229&amp;C229&amp;D229&amp;F229</f>
        <v/>
      </c>
      <c r="H229" s="39" t="n">
        <v>69000</v>
      </c>
      <c r="I229" s="40" t="n">
        <v>0.0585</v>
      </c>
      <c r="J229" s="39">
        <f>2592+2753</f>
        <v/>
      </c>
    </row>
    <row r="230">
      <c r="B230" s="39" t="inlineStr">
        <is>
          <t>카페24</t>
        </is>
      </c>
      <c r="C230" s="39" t="inlineStr">
        <is>
          <t>고체향수</t>
        </is>
      </c>
      <c r="D230" s="39" t="inlineStr">
        <is>
          <t>유즈 솔리드퍼퓸 - 30ml (10차 재입고 완료향=커플세트</t>
        </is>
      </c>
      <c r="E230" s="39" t="inlineStr">
        <is>
          <t>이그나이트 + 스테이포에버</t>
        </is>
      </c>
      <c r="F230" s="39" t="n">
        <v>210101</v>
      </c>
      <c r="G230" s="42">
        <f>B230&amp;C230&amp;D230&amp;F230</f>
        <v/>
      </c>
      <c r="H230" s="39" t="n">
        <v>69000</v>
      </c>
      <c r="I230" s="40" t="n">
        <v>0.0585</v>
      </c>
      <c r="J230" s="39">
        <f>2592+2753</f>
        <v/>
      </c>
    </row>
    <row r="231">
      <c r="B231" s="39" t="inlineStr">
        <is>
          <t>유즈 CS</t>
        </is>
      </c>
      <c r="C231" s="39" t="inlineStr">
        <is>
          <t>고체향수</t>
        </is>
      </c>
      <c r="D231" s="39" t="inlineStr">
        <is>
          <t>유즈 솔리드퍼퓸 - 30ml (10차 재입고 완료향=커플세트</t>
        </is>
      </c>
      <c r="E231" s="39" t="inlineStr">
        <is>
          <t>이그나이트 + 스테이포에버</t>
        </is>
      </c>
      <c r="F231" s="39" t="n">
        <v>210101</v>
      </c>
      <c r="G231" s="42">
        <f>B231&amp;C231&amp;D231&amp;F231</f>
        <v/>
      </c>
      <c r="H231" s="39" t="n">
        <v>0</v>
      </c>
      <c r="I231" s="40" t="n">
        <v>0</v>
      </c>
      <c r="J231" s="39">
        <f>2592+2753</f>
        <v/>
      </c>
    </row>
    <row r="232">
      <c r="B232" s="39" t="inlineStr">
        <is>
          <t>카페24</t>
        </is>
      </c>
      <c r="C232" s="39" t="inlineStr">
        <is>
          <t>고체향수</t>
        </is>
      </c>
      <c r="D232" s="39" t="inlineStr">
        <is>
          <t>유즈 솔리드퍼퓸 - 30ml (10차 재입고 완료향=이그나이트 001 SOLID PERFUME, 세트 선택=best</t>
        </is>
      </c>
      <c r="E232" s="39" t="inlineStr">
        <is>
          <t>이그나이트 2set</t>
        </is>
      </c>
      <c r="F232" s="39" t="n">
        <v>210101</v>
      </c>
      <c r="G232" s="42">
        <f>B232&amp;C232&amp;D232&amp;F232</f>
        <v/>
      </c>
      <c r="H232" s="39" t="n">
        <v>58800</v>
      </c>
      <c r="I232" s="39" t="n">
        <v>0.0585</v>
      </c>
      <c r="J232" s="39">
        <f>2753*2</f>
        <v/>
      </c>
    </row>
    <row r="233">
      <c r="B233" s="39" t="inlineStr">
        <is>
          <t>카페24</t>
        </is>
      </c>
      <c r="C233" s="39" t="inlineStr">
        <is>
          <t>쇼핑백</t>
        </is>
      </c>
      <c r="D233" s="39" t="inlineStr">
        <is>
          <t>SHOPPING BAG</t>
        </is>
      </c>
      <c r="E233" s="39" t="inlineStr">
        <is>
          <t>쇼핑백</t>
        </is>
      </c>
      <c r="F233" s="39" t="n">
        <v>210101</v>
      </c>
      <c r="G233" s="42">
        <f>B233&amp;C233&amp;D233&amp;F233</f>
        <v/>
      </c>
      <c r="H233" s="39">
        <f>VLOOKUP($E233,$E$42:$J$64,4,0)</f>
        <v/>
      </c>
      <c r="I233" s="40">
        <f>VLOOKUP($E233,$E$42:$J$64,5,0)</f>
        <v/>
      </c>
      <c r="J233" s="39" t="n">
        <v>830</v>
      </c>
    </row>
    <row r="234">
      <c r="B234" s="39" t="inlineStr">
        <is>
          <t>카페24</t>
        </is>
      </c>
      <c r="C234" s="39" t="inlineStr">
        <is>
          <t>쇼핑백</t>
        </is>
      </c>
      <c r="D234" s="39" t="inlineStr">
        <is>
          <t>유즈 이그나이트 솔리드퍼퓸 001쇼핑백=선물용 쇼핑백</t>
        </is>
      </c>
      <c r="E234" s="39" t="inlineStr">
        <is>
          <t>쇼핑백</t>
        </is>
      </c>
      <c r="F234" s="39" t="n">
        <v>210101</v>
      </c>
      <c r="G234" s="42">
        <f>B234&amp;C234&amp;D234&amp;F234</f>
        <v/>
      </c>
      <c r="H234" s="39">
        <f>VLOOKUP($E234,$E$42:$J$64,4,0)</f>
        <v/>
      </c>
      <c r="I234" s="40">
        <f>VLOOKUP($E234,$E$42:$J$64,5,0)</f>
        <v/>
      </c>
      <c r="J234" s="39" t="n">
        <v>830</v>
      </c>
    </row>
    <row r="235">
      <c r="B235" s="39" t="inlineStr">
        <is>
          <t>카페24</t>
        </is>
      </c>
      <c r="C235" s="39" t="inlineStr">
        <is>
          <t>고체향수</t>
        </is>
      </c>
      <c r="D235" s="39" t="inlineStr">
        <is>
          <t>유즈 스테이포에버 솔리드퍼퓸 002 (10차 재입고 완료제품선택=스테이포에버 1개</t>
        </is>
      </c>
      <c r="E235" s="39" t="inlineStr">
        <is>
          <t>스테이포에버</t>
        </is>
      </c>
      <c r="F235" s="39" t="n">
        <v>210101</v>
      </c>
      <c r="G235" s="42">
        <f>B235&amp;C235&amp;D235&amp;F235</f>
        <v/>
      </c>
      <c r="H235" s="39">
        <f>VLOOKUP($E235,$E$42:$J$64,4,0)</f>
        <v/>
      </c>
      <c r="I235" s="40">
        <f>VLOOKUP($E235,$E$42:$J$64,5,0)</f>
        <v/>
      </c>
      <c r="J235" s="39" t="n">
        <v>2592</v>
      </c>
    </row>
    <row r="236">
      <c r="B236" s="39" t="inlineStr">
        <is>
          <t>카페24</t>
        </is>
      </c>
      <c r="C236" s="39" t="inlineStr">
        <is>
          <t>고체향수</t>
        </is>
      </c>
      <c r="D236" s="39" t="inlineStr">
        <is>
          <t>유즈 스테이포에버 솔리드퍼퓸 002 (10차 재입고 완료제품선택=best</t>
        </is>
      </c>
      <c r="E236" s="39" t="inlineStr">
        <is>
          <t>스테이포에버 2set</t>
        </is>
      </c>
      <c r="F236" s="39" t="n">
        <v>210101</v>
      </c>
      <c r="G236" s="42">
        <f>B236&amp;C236&amp;D236&amp;F236</f>
        <v/>
      </c>
      <c r="H236" s="39" t="n">
        <v>58800</v>
      </c>
      <c r="I236" s="40" t="n">
        <v>0.0585</v>
      </c>
      <c r="J236" s="39">
        <f>2592*2</f>
        <v/>
      </c>
    </row>
    <row r="237">
      <c r="B237" s="39" t="inlineStr">
        <is>
          <t>카페24</t>
        </is>
      </c>
      <c r="C237" s="39" t="inlineStr">
        <is>
          <t>고체향수</t>
        </is>
      </c>
      <c r="D237" s="39" t="inlineStr">
        <is>
          <t>유즈 스테이포에버 솔리드퍼퓸 002 (10차 재입고 완료쇼핑백=선물용 쇼핑백</t>
        </is>
      </c>
      <c r="E237" s="39" t="inlineStr">
        <is>
          <t>쇼핑백</t>
        </is>
      </c>
      <c r="F237" s="39" t="n">
        <v>210101</v>
      </c>
      <c r="G237" s="42">
        <f>B237&amp;C237&amp;D237&amp;F237</f>
        <v/>
      </c>
      <c r="H237" s="39">
        <f>VLOOKUP($E237,$E$42:$J$64,4,0)</f>
        <v/>
      </c>
      <c r="I237" s="40">
        <f>VLOOKUP($E237,$E$42:$J$64,5,0)</f>
        <v/>
      </c>
      <c r="J237" s="39" t="n">
        <v>830</v>
      </c>
    </row>
    <row r="238">
      <c r="B238" s="39" t="inlineStr">
        <is>
          <t>카페24</t>
        </is>
      </c>
      <c r="C238" s="39" t="inlineStr">
        <is>
          <t>고체향수</t>
        </is>
      </c>
      <c r="D238" s="39" t="inlineStr">
        <is>
          <t>유즈 스테이포에버 솔리드퍼퓸 002 (10차 재입고 완료)제품선택=best스테이포에버 2개[28% 할인]</t>
        </is>
      </c>
      <c r="E238" s="39" t="inlineStr">
        <is>
          <t>스테이포에버 2set</t>
        </is>
      </c>
      <c r="F238" s="39" t="n">
        <v>210101</v>
      </c>
      <c r="G238" s="42">
        <f>B238&amp;C238&amp;D238&amp;F238</f>
        <v/>
      </c>
      <c r="H238" s="39" t="n">
        <v>58800</v>
      </c>
      <c r="I238" s="40" t="n">
        <v>0.0585</v>
      </c>
      <c r="J238" s="39">
        <f>2592*2</f>
        <v/>
      </c>
    </row>
    <row r="239">
      <c r="B239" s="39" t="inlineStr">
        <is>
          <t>카페24</t>
        </is>
      </c>
      <c r="C239" s="39" t="inlineStr">
        <is>
          <t>고체향수</t>
        </is>
      </c>
      <c r="D239" s="39" t="inlineStr">
        <is>
          <t>유즈 스테이포에버 솔리드퍼퓸 002 (10차 재입고 완료)제품선택=커플추천스테이포에버 + 이그나이트 세트</t>
        </is>
      </c>
      <c r="E239" s="39" t="inlineStr">
        <is>
          <t>이그나이트 + 스테이포에버</t>
        </is>
      </c>
      <c r="F239" s="39" t="n">
        <v>210101</v>
      </c>
      <c r="G239" s="42">
        <f>B239&amp;C239&amp;D239&amp;F239</f>
        <v/>
      </c>
      <c r="H239" s="39" t="n">
        <v>0</v>
      </c>
      <c r="I239" s="40" t="n">
        <v>0</v>
      </c>
      <c r="J239" s="39">
        <f>2592+2753</f>
        <v/>
      </c>
    </row>
    <row r="240">
      <c r="B240" s="39" t="inlineStr">
        <is>
          <t>카페24</t>
        </is>
      </c>
      <c r="C240" s="39" t="inlineStr">
        <is>
          <t>고체향수</t>
        </is>
      </c>
      <c r="D240" s="39" t="inlineStr">
        <is>
          <t>유즈 스테이포에버 솔리드퍼퓸 002 (10차 재입고 완료)쇼핑백=선물용 쇼핑백</t>
        </is>
      </c>
      <c r="E240" s="39" t="inlineStr">
        <is>
          <t>쇼핑백</t>
        </is>
      </c>
      <c r="F240" s="39" t="n">
        <v>210101</v>
      </c>
      <c r="G240" s="42">
        <f>B240&amp;C240&amp;D240&amp;F240</f>
        <v/>
      </c>
      <c r="H240" s="39">
        <f>VLOOKUP($E240,$E$42:$J$64,4,0)</f>
        <v/>
      </c>
      <c r="I240" s="40">
        <f>VLOOKUP($E240,$E$42:$J$64,5,0)</f>
        <v/>
      </c>
      <c r="J240" s="39" t="n">
        <v>830</v>
      </c>
    </row>
    <row r="241">
      <c r="B241" s="39" t="inlineStr">
        <is>
          <t>카페24</t>
        </is>
      </c>
      <c r="C241" s="39" t="inlineStr">
        <is>
          <t>고체향수</t>
        </is>
      </c>
      <c r="D241" s="39" t="inlineStr">
        <is>
          <t>유즈 솔리드퍼퓸 - 30ml (10차 재입고 완료 )향=이그나이트 001 SOLID PERFUME, 세트 선택=best 2개 (28% 할인)</t>
        </is>
      </c>
      <c r="E241" s="39" t="inlineStr">
        <is>
          <t>이그나이트 2set</t>
        </is>
      </c>
      <c r="F241" s="39" t="n">
        <v>210101</v>
      </c>
      <c r="G241" s="42">
        <f>B241&amp;C241&amp;D241&amp;F241</f>
        <v/>
      </c>
      <c r="H241" s="39" t="n">
        <v>58800</v>
      </c>
      <c r="I241" s="39" t="n">
        <v>0.0585</v>
      </c>
      <c r="J241" s="39">
        <f>2753*2</f>
        <v/>
      </c>
    </row>
    <row r="242">
      <c r="B242" s="39" t="inlineStr">
        <is>
          <t>카페24</t>
        </is>
      </c>
      <c r="C242" s="39" t="inlineStr">
        <is>
          <t>고체향수</t>
        </is>
      </c>
      <c r="D242" s="39" t="inlineStr">
        <is>
          <t>유즈 솔리드퍼퓸 - 30ml (10차 재입고 완료 )향=커플세트(이그나이트 + 스테이포에버), 세트 선택=2 SET (42% 할인)</t>
        </is>
      </c>
      <c r="E242" s="39" t="inlineStr">
        <is>
          <t>이그나이트 + 스테이포에버</t>
        </is>
      </c>
      <c r="F242" s="39" t="n">
        <v>210101</v>
      </c>
      <c r="G242" s="42">
        <f>B242&amp;C242&amp;D242&amp;F242</f>
        <v/>
      </c>
      <c r="H242" s="39" t="n">
        <v>0</v>
      </c>
      <c r="I242" s="40" t="n">
        <v>0</v>
      </c>
      <c r="J242" s="39">
        <f>2592+2753</f>
        <v/>
      </c>
    </row>
    <row r="243">
      <c r="B243" s="39" t="inlineStr">
        <is>
          <t>유즈 CS</t>
        </is>
      </c>
      <c r="C243" s="39" t="inlineStr">
        <is>
          <t>고체향수</t>
        </is>
      </c>
      <c r="D243" s="39" t="inlineStr">
        <is>
          <t>유즈 스테이포에버 솔리드퍼퓸 002 (10차 재입고 완료)제품선택=커플추천스테이포에버 + 이그나이트 세트</t>
        </is>
      </c>
      <c r="E243" s="39" t="inlineStr">
        <is>
          <t>이그나이트 + 스테이포에버</t>
        </is>
      </c>
      <c r="F243" s="39" t="n">
        <v>210101</v>
      </c>
      <c r="G243" s="42">
        <f>B243&amp;C243&amp;D243&amp;F243</f>
        <v/>
      </c>
      <c r="H243" s="39" t="n">
        <v>0</v>
      </c>
      <c r="I243" s="40" t="n">
        <v>0</v>
      </c>
      <c r="J243" s="39">
        <f>2592+2753</f>
        <v/>
      </c>
    </row>
    <row r="244">
      <c r="B244" s="39" t="inlineStr">
        <is>
          <t>카페24</t>
        </is>
      </c>
      <c r="C244" s="39" t="inlineStr">
        <is>
          <t>고체향수</t>
        </is>
      </c>
      <c r="D244" s="39" t="inlineStr">
        <is>
          <t>유즈 솔리드퍼퓸 - 30ml (10차 재입고 완료)향=커플세트</t>
        </is>
      </c>
      <c r="E244" s="39" t="inlineStr">
        <is>
          <t>이그나이트 + 스테이포에버</t>
        </is>
      </c>
      <c r="F244" s="39" t="n">
        <v>210101</v>
      </c>
      <c r="G244" s="42">
        <f>B244&amp;C244&amp;D244&amp;F244</f>
        <v/>
      </c>
      <c r="H244" s="39" t="n">
        <v>69000</v>
      </c>
      <c r="I244" s="40" t="n">
        <v>0.0585</v>
      </c>
      <c r="J244" s="39">
        <f>2592+2753</f>
        <v/>
      </c>
    </row>
    <row r="245">
      <c r="B245" s="39" t="inlineStr">
        <is>
          <t>카페24</t>
        </is>
      </c>
      <c r="C245" s="39" t="inlineStr">
        <is>
          <t>고체향수</t>
        </is>
      </c>
      <c r="D245" s="39" t="inlineStr">
        <is>
          <t>유즈 솔리드퍼퓸 - 30ml (10차 재입고 완료)향=이그나이트 001 SOLID PERFUME, 세트 선택=1개</t>
        </is>
      </c>
      <c r="E245" s="39" t="inlineStr">
        <is>
          <t>이그나이트</t>
        </is>
      </c>
      <c r="F245" s="39" t="n">
        <v>210101</v>
      </c>
      <c r="G245" s="42">
        <f>B245&amp;C245&amp;D245&amp;F245</f>
        <v/>
      </c>
      <c r="H245" s="39">
        <f>VLOOKUP($E245,$E$42:$J$64,4,0)</f>
        <v/>
      </c>
      <c r="I245" s="40">
        <f>VLOOKUP($E245,$E$42:$J$64,5,0)</f>
        <v/>
      </c>
      <c r="J245" s="39" t="n">
        <v>2753</v>
      </c>
    </row>
    <row r="246">
      <c r="B246" s="39" t="inlineStr">
        <is>
          <t>카페24</t>
        </is>
      </c>
      <c r="C246" s="39" t="inlineStr">
        <is>
          <t>고체향수</t>
        </is>
      </c>
      <c r="D246" s="39" t="inlineStr">
        <is>
          <t>유즈 솔리드퍼퓸 - 30ml (10차 재입고 완료)향=이그나이트 001 SOLID PERFUME, 세트 선택=best</t>
        </is>
      </c>
      <c r="E246" s="39" t="inlineStr">
        <is>
          <t>이그나이트 2set</t>
        </is>
      </c>
      <c r="F246" s="39" t="n">
        <v>210101</v>
      </c>
      <c r="G246" s="42">
        <f>B246&amp;C246&amp;D246&amp;F246</f>
        <v/>
      </c>
      <c r="H246" s="39" t="n">
        <v>58800</v>
      </c>
      <c r="I246" s="39" t="n">
        <v>0.0585</v>
      </c>
      <c r="J246" s="39">
        <f>2753*2</f>
        <v/>
      </c>
    </row>
    <row r="247">
      <c r="B247" s="39" t="inlineStr">
        <is>
          <t>카페24</t>
        </is>
      </c>
      <c r="C247" s="39" t="inlineStr">
        <is>
          <t>고체향수</t>
        </is>
      </c>
      <c r="D247" s="39" t="inlineStr">
        <is>
          <t>유즈 솔리드퍼퓸 - 30ml (10차 재입고 완료)향=스테이포에버 002 SOLID PERFUME, 세트 선택=1개</t>
        </is>
      </c>
      <c r="E247" s="39" t="inlineStr">
        <is>
          <t>스테이포에버</t>
        </is>
      </c>
      <c r="F247" s="39" t="n">
        <v>210101</v>
      </c>
      <c r="G247" s="42">
        <f>B247&amp;C247&amp;D247&amp;F247</f>
        <v/>
      </c>
      <c r="H247" s="39">
        <f>VLOOKUP($E247,$E$42:$J$64,4,0)</f>
        <v/>
      </c>
      <c r="I247" s="40">
        <f>VLOOKUP($E247,$E$42:$J$64,5,0)</f>
        <v/>
      </c>
      <c r="J247" s="39" t="n">
        <v>2592</v>
      </c>
    </row>
    <row r="248">
      <c r="B248" s="39" t="inlineStr">
        <is>
          <t>카페24</t>
        </is>
      </c>
      <c r="C248" s="39" t="inlineStr">
        <is>
          <t>고체향수</t>
        </is>
      </c>
      <c r="D248" s="39" t="inlineStr">
        <is>
          <t>유즈 솔리드퍼퓸 - 30ml (10차 재입고 완료)향=스테이포에버 002 SOLID PERFUME, 세트 선택=best 2개 (28% 할인)</t>
        </is>
      </c>
      <c r="E248" s="39" t="inlineStr">
        <is>
          <t>스테이포에버 2set</t>
        </is>
      </c>
      <c r="F248" s="39" t="n">
        <v>210101</v>
      </c>
      <c r="G248" s="42">
        <f>B248&amp;C248&amp;D248&amp;F248</f>
        <v/>
      </c>
      <c r="H248" s="39" t="n">
        <v>58800</v>
      </c>
      <c r="I248" s="40" t="n">
        <v>0.0585</v>
      </c>
      <c r="J248" s="39">
        <f>2592*2</f>
        <v/>
      </c>
    </row>
    <row r="249">
      <c r="B249" s="39" t="inlineStr">
        <is>
          <t>카페24</t>
        </is>
      </c>
      <c r="C249" s="39" t="inlineStr">
        <is>
          <t>고체향수</t>
        </is>
      </c>
      <c r="D249" s="39" t="inlineStr">
        <is>
          <t>유즈 솔리드퍼퓸 - 30ml (10차 재입고 완료)향=커플세트(이그나이트 + 스테이포에버), 세트 선택=1 SET</t>
        </is>
      </c>
      <c r="E249" s="39" t="inlineStr">
        <is>
          <t>이그나이트 + 스테이포에버</t>
        </is>
      </c>
      <c r="F249" s="39" t="n">
        <v>210101</v>
      </c>
      <c r="G249" s="42">
        <f>B249&amp;C249&amp;D249&amp;F249</f>
        <v/>
      </c>
      <c r="H249" s="39" t="n">
        <v>69000</v>
      </c>
      <c r="I249" s="40" t="n">
        <v>0.0585</v>
      </c>
      <c r="J249" s="39">
        <f>2592+2753</f>
        <v/>
      </c>
    </row>
    <row r="250">
      <c r="B250" s="39" t="inlineStr">
        <is>
          <t>카페24</t>
        </is>
      </c>
      <c r="C250" s="39" t="inlineStr">
        <is>
          <t>고체향수</t>
        </is>
      </c>
      <c r="D250" s="39" t="inlineStr">
        <is>
          <t>유즈 스테이포에버 솔리드퍼퓸 002 (10차 재입고 완료)제품선택=best</t>
        </is>
      </c>
      <c r="E250" s="39" t="inlineStr">
        <is>
          <t>스테이포에버 2set</t>
        </is>
      </c>
      <c r="F250" s="39" t="n">
        <v>210101</v>
      </c>
      <c r="G250" s="42">
        <f>B250&amp;C250&amp;D250&amp;F250</f>
        <v/>
      </c>
      <c r="H250" s="39" t="n">
        <v>58800</v>
      </c>
      <c r="I250" s="40" t="n">
        <v>0.0585</v>
      </c>
      <c r="J250" s="39">
        <f>2592*2</f>
        <v/>
      </c>
    </row>
    <row r="251">
      <c r="B251" s="39" t="inlineStr">
        <is>
          <t>카페24</t>
        </is>
      </c>
      <c r="C251" s="39" t="inlineStr">
        <is>
          <t>고체향수</t>
        </is>
      </c>
      <c r="D251" s="39" t="inlineStr">
        <is>
          <t>유즈 스테이포에버 솔리드퍼퓸 002 (10차 재입고 완료)제품선택=커플추천</t>
        </is>
      </c>
      <c r="E251" s="39" t="inlineStr">
        <is>
          <t>이그나이트 + 스테이포에버</t>
        </is>
      </c>
      <c r="F251" s="39" t="n">
        <v>210101</v>
      </c>
      <c r="G251" s="42">
        <f>B251&amp;C251&amp;D251&amp;F251</f>
        <v/>
      </c>
      <c r="H251" s="39" t="n">
        <v>58800</v>
      </c>
      <c r="I251" s="39" t="n">
        <v>0.0585</v>
      </c>
      <c r="J251" s="39">
        <f>2592+2753</f>
        <v/>
      </c>
    </row>
    <row r="252">
      <c r="B252" s="39" t="inlineStr">
        <is>
          <t>카페24</t>
        </is>
      </c>
      <c r="C252" s="39" t="inlineStr">
        <is>
          <t>고체향수</t>
        </is>
      </c>
      <c r="D252" s="39" t="inlineStr">
        <is>
          <t>유즈 솔리드퍼퓸 - 30ml (10차 재입고 완료)향=스테이포에버 002 SOLID PERFUME, 세트 선택=best</t>
        </is>
      </c>
      <c r="E252" s="39" t="inlineStr">
        <is>
          <t>스테이포에버 2set</t>
        </is>
      </c>
      <c r="F252" s="39" t="n">
        <v>210101</v>
      </c>
      <c r="G252" s="42">
        <f>B252&amp;C252&amp;D252&amp;F252</f>
        <v/>
      </c>
      <c r="H252" s="39" t="n">
        <v>58800</v>
      </c>
      <c r="I252" s="40" t="n">
        <v>0.0585</v>
      </c>
      <c r="J252" s="39">
        <f>2592*2</f>
        <v/>
      </c>
    </row>
    <row r="253">
      <c r="B253" s="39" t="inlineStr">
        <is>
          <t>카페24</t>
        </is>
      </c>
      <c r="C253" s="39" t="inlineStr">
        <is>
          <t>고체향수</t>
        </is>
      </c>
      <c r="D253" s="39" t="inlineStr">
        <is>
          <t>유즈 솔리드퍼퓸 - 30ml (10차 재입고 완료)향=커플세트(이그나이트 + 스테이포에버), 세트 선택=2 SET (42% 할인)</t>
        </is>
      </c>
      <c r="E253" s="39" t="inlineStr">
        <is>
          <t>이그나이트 + 스테이포에버</t>
        </is>
      </c>
      <c r="F253" s="39" t="n">
        <v>210101</v>
      </c>
      <c r="G253" s="42">
        <f>B253&amp;C253&amp;D253&amp;F253</f>
        <v/>
      </c>
      <c r="H253" s="39" t="n">
        <v>58800</v>
      </c>
      <c r="I253" s="39" t="n">
        <v>0.0585</v>
      </c>
      <c r="J253" s="39">
        <f>2592+2753</f>
        <v/>
      </c>
    </row>
    <row r="254">
      <c r="B254" s="39" t="inlineStr">
        <is>
          <t>카페24</t>
        </is>
      </c>
      <c r="C254" s="39" t="inlineStr">
        <is>
          <t>고체향수</t>
        </is>
      </c>
      <c r="D254" s="39" t="inlineStr">
        <is>
          <t>유즈 솔리드퍼퓸 - 30ml (11차 예약구매 진행중)향=스테이포에버 002 SOLID PERFUME, 세트 선택=1개</t>
        </is>
      </c>
      <c r="E254" s="39" t="inlineStr">
        <is>
          <t>스테이포에버</t>
        </is>
      </c>
      <c r="F254" s="39" t="n">
        <v>210101</v>
      </c>
      <c r="G254" s="42">
        <f>B254&amp;C254&amp;D254&amp;F254</f>
        <v/>
      </c>
      <c r="H254" s="39" t="n">
        <v>34000</v>
      </c>
      <c r="I254" s="40">
        <f>VLOOKUP($E254,$E$42:$J$64,5,0)</f>
        <v/>
      </c>
      <c r="J254" s="39" t="n">
        <v>2592</v>
      </c>
    </row>
    <row r="255">
      <c r="B255" s="39" t="inlineStr">
        <is>
          <t>카페24</t>
        </is>
      </c>
      <c r="C255" s="39" t="inlineStr">
        <is>
          <t>고체향수</t>
        </is>
      </c>
      <c r="D255" s="39" t="inlineStr">
        <is>
          <t>유즈 솔리드퍼퓸 - 30ml (11차 예약구매 진행중)향=스테이포에버 002 SOLID PERFUME, 세트 선택=best 2개 (28% 할인)</t>
        </is>
      </c>
      <c r="E255" s="39" t="inlineStr">
        <is>
          <t>스테이포에버 2set</t>
        </is>
      </c>
      <c r="F255" s="39" t="n">
        <v>210101</v>
      </c>
      <c r="G255" s="42">
        <f>B255&amp;C255&amp;D255&amp;F255</f>
        <v/>
      </c>
      <c r="H255" s="39" t="n">
        <v>58800</v>
      </c>
      <c r="I255" s="40" t="n">
        <v>0.0585</v>
      </c>
      <c r="J255" s="39">
        <f>2592*2</f>
        <v/>
      </c>
    </row>
    <row r="256">
      <c r="B256" s="39" t="inlineStr">
        <is>
          <t>카페24</t>
        </is>
      </c>
      <c r="C256" s="39" t="inlineStr">
        <is>
          <t>고체향수</t>
        </is>
      </c>
      <c r="D256" s="39" t="inlineStr">
        <is>
          <t>유즈 스테이포에버 솔리드퍼퓸 002 (11차 예약구매 진행중)제품선택=스테이포에버 1개</t>
        </is>
      </c>
      <c r="E256" s="39" t="inlineStr">
        <is>
          <t>스테이포에버</t>
        </is>
      </c>
      <c r="F256" s="39" t="n">
        <v>210101</v>
      </c>
      <c r="G256" s="42">
        <f>B256&amp;C256&amp;D256&amp;F256</f>
        <v/>
      </c>
      <c r="H256" s="39" t="n">
        <v>34000</v>
      </c>
      <c r="I256" s="40">
        <f>VLOOKUP($E256,$E$42:$J$64,5,0)</f>
        <v/>
      </c>
      <c r="J256" s="39" t="n">
        <v>2592</v>
      </c>
    </row>
    <row r="257">
      <c r="B257" s="39" t="inlineStr">
        <is>
          <t>카페24</t>
        </is>
      </c>
      <c r="C257" s="39" t="inlineStr">
        <is>
          <t>고체향수</t>
        </is>
      </c>
      <c r="D257" s="39" t="inlineStr">
        <is>
          <t>유즈 스테이포에버 솔리드퍼퓸 002 (11차 예약구매 진행중)제품선택=best</t>
        </is>
      </c>
      <c r="E257" s="39" t="inlineStr">
        <is>
          <t>스테이포에버</t>
        </is>
      </c>
      <c r="F257" s="39" t="n">
        <v>210101</v>
      </c>
      <c r="G257" s="42">
        <f>B257&amp;C257&amp;D257&amp;F257</f>
        <v/>
      </c>
      <c r="H257" s="39" t="n">
        <v>34000</v>
      </c>
      <c r="I257" s="40">
        <f>VLOOKUP($E257,$E$42:$J$64,5,0)</f>
        <v/>
      </c>
      <c r="J257" s="39" t="n">
        <v>2592</v>
      </c>
    </row>
    <row r="258">
      <c r="B258" s="39" t="inlineStr">
        <is>
          <t>카페24</t>
        </is>
      </c>
      <c r="C258" s="39" t="inlineStr">
        <is>
          <t>고체향수</t>
        </is>
      </c>
      <c r="D258" s="39" t="inlineStr">
        <is>
          <t>유즈 스테이포에버 솔리드퍼퓸 002 (11차 예약구매 진행중)제품선택=best스테이포에버 2개[28% 할인]</t>
        </is>
      </c>
      <c r="E258" s="39" t="inlineStr">
        <is>
          <t>스테이포에버 2set</t>
        </is>
      </c>
      <c r="F258" s="39" t="n">
        <v>210101</v>
      </c>
      <c r="G258" s="42">
        <f>B258&amp;C258&amp;D258&amp;F258</f>
        <v/>
      </c>
      <c r="H258" s="39" t="n">
        <v>58800</v>
      </c>
      <c r="I258" s="40" t="n">
        <v>0.0585</v>
      </c>
      <c r="J258" s="39">
        <f>2592*2</f>
        <v/>
      </c>
    </row>
    <row r="259">
      <c r="B259" s="39" t="inlineStr">
        <is>
          <t>카페24</t>
        </is>
      </c>
      <c r="C259" s="39" t="inlineStr">
        <is>
          <t>고체향수</t>
        </is>
      </c>
      <c r="D259" s="39" t="inlineStr">
        <is>
          <t>유즈 스테이포에버 솔리드퍼퓸 002 (11차 예약구매 진행중)제품선택=커플추천</t>
        </is>
      </c>
      <c r="E259" s="39" t="inlineStr">
        <is>
          <t>스테이포에버</t>
        </is>
      </c>
      <c r="F259" s="39" t="n">
        <v>210101</v>
      </c>
      <c r="G259" s="42">
        <f>B259&amp;C259&amp;D259&amp;F259</f>
        <v/>
      </c>
      <c r="H259" s="39" t="n">
        <v>34000</v>
      </c>
      <c r="I259" s="40">
        <f>VLOOKUP($E259,$E$42:$J$64,5,0)</f>
        <v/>
      </c>
      <c r="J259" s="39" t="n">
        <v>2592</v>
      </c>
    </row>
    <row r="260">
      <c r="B260" s="39" t="inlineStr">
        <is>
          <t>카페24</t>
        </is>
      </c>
      <c r="C260" s="39" t="inlineStr">
        <is>
          <t>고체향수</t>
        </is>
      </c>
      <c r="D260" s="39" t="inlineStr">
        <is>
          <t>유즈 스테이포에버 솔리드퍼퓸 002 (11차 예약구매 진행중)제품선택=커플추천스테이포에버 + 이그나이트 세트</t>
        </is>
      </c>
      <c r="E260" s="39" t="inlineStr">
        <is>
          <t>이그나이트 + 스테이포에버</t>
        </is>
      </c>
      <c r="F260" s="39" t="n">
        <v>210101</v>
      </c>
      <c r="G260" s="42">
        <f>B260&amp;C260&amp;D260&amp;F260</f>
        <v/>
      </c>
      <c r="H260" s="39" t="n">
        <v>58800</v>
      </c>
      <c r="I260" s="39" t="n">
        <v>0.0585</v>
      </c>
      <c r="J260" s="39">
        <f>2592+2753</f>
        <v/>
      </c>
    </row>
    <row r="261">
      <c r="B261" s="39" t="inlineStr">
        <is>
          <t>카페24</t>
        </is>
      </c>
      <c r="C261" s="39" t="inlineStr">
        <is>
          <t>고체향수</t>
        </is>
      </c>
      <c r="D261" s="39" t="inlineStr">
        <is>
          <t>유즈 스테이포에버 솔리드퍼퓸 002 (11차 예약구매 진행중)쇼핑백=선물용 쇼핑백</t>
        </is>
      </c>
      <c r="E261" s="39" t="inlineStr">
        <is>
          <t>쇼핑백</t>
        </is>
      </c>
      <c r="F261" s="39" t="n">
        <v>210101</v>
      </c>
      <c r="G261" s="42">
        <f>B261&amp;C261&amp;D261&amp;F261</f>
        <v/>
      </c>
      <c r="H261" s="39">
        <f>VLOOKUP($E261,$E$42:$J$64,4,0)</f>
        <v/>
      </c>
      <c r="I261" s="40">
        <f>VLOOKUP($E261,$E$42:$J$64,5,0)</f>
        <v/>
      </c>
      <c r="J261" s="39" t="n">
        <v>830</v>
      </c>
    </row>
    <row r="262">
      <c r="B262" s="39" t="inlineStr">
        <is>
          <t>카페24</t>
        </is>
      </c>
      <c r="C262" s="39" t="inlineStr">
        <is>
          <t>고체향수</t>
        </is>
      </c>
      <c r="D262" s="39" t="inlineStr">
        <is>
          <t>유즈 솔리드퍼퓸 - 30ml (11차 예약구매 진행중)향=이그나이트 001 SOLID PERFUME, 세트 선택=1개</t>
        </is>
      </c>
      <c r="E262" s="39" t="inlineStr">
        <is>
          <t>이그나이트</t>
        </is>
      </c>
      <c r="F262" s="39" t="n">
        <v>210101</v>
      </c>
      <c r="G262" s="42">
        <f>B262&amp;C262&amp;D262&amp;F262</f>
        <v/>
      </c>
      <c r="H262" s="39" t="n">
        <v>34000</v>
      </c>
      <c r="I262" s="40">
        <f>VLOOKUP($E262,$E$42:$J$64,5,0)</f>
        <v/>
      </c>
      <c r="J262" s="39" t="n">
        <v>2753</v>
      </c>
    </row>
    <row r="263">
      <c r="B263" s="39" t="inlineStr">
        <is>
          <t>카페24</t>
        </is>
      </c>
      <c r="C263" s="39" t="inlineStr">
        <is>
          <t>고체향수</t>
        </is>
      </c>
      <c r="D263" s="39" t="inlineStr">
        <is>
          <t>유즈 솔리드퍼퓸 - 30ml (11차 예약구매 진행중)향=스테이포에버 002 SOLID PERFUME, 세트 선택=best</t>
        </is>
      </c>
      <c r="E263" s="39" t="inlineStr">
        <is>
          <t>스테이포에버</t>
        </is>
      </c>
      <c r="F263" s="39" t="n">
        <v>210101</v>
      </c>
      <c r="G263" s="42">
        <f>B263&amp;C263&amp;D263&amp;F263</f>
        <v/>
      </c>
      <c r="H263" s="39" t="n">
        <v>34000</v>
      </c>
      <c r="I263" s="40">
        <f>VLOOKUP($E263,$E$42:$J$64,5,0)</f>
        <v/>
      </c>
      <c r="J263" s="39" t="n">
        <v>2592</v>
      </c>
    </row>
    <row r="264">
      <c r="B264" s="39" t="inlineStr">
        <is>
          <t>카페24</t>
        </is>
      </c>
      <c r="C264" s="39" t="inlineStr">
        <is>
          <t>고체향수</t>
        </is>
      </c>
      <c r="D264" s="39" t="inlineStr">
        <is>
          <t>유즈 솔리드퍼퓸 - 30ml (11차 예약구매 진행중)향=커플세트</t>
        </is>
      </c>
      <c r="E264" s="39" t="inlineStr">
        <is>
          <t>이그나이트 + 스테이포에버</t>
        </is>
      </c>
      <c r="F264" s="39" t="n">
        <v>210101</v>
      </c>
      <c r="G264" s="42">
        <f>B264&amp;C264&amp;D264&amp;F264</f>
        <v/>
      </c>
      <c r="H264" s="39" t="n">
        <v>58800</v>
      </c>
      <c r="I264" s="39" t="n">
        <v>0.0585</v>
      </c>
      <c r="J264" s="39">
        <f>2592+2753</f>
        <v/>
      </c>
    </row>
    <row r="265">
      <c r="B265" s="39" t="inlineStr">
        <is>
          <t>카페24</t>
        </is>
      </c>
      <c r="C265" s="39" t="inlineStr">
        <is>
          <t>고체향수</t>
        </is>
      </c>
      <c r="D265" s="39" t="inlineStr">
        <is>
          <t>유즈 솔리드퍼퓸 - 30ml (11차 예약구매 진행중)향=커플세트(이그나이트 + 스테이포에버), 세트 선택=1 SET</t>
        </is>
      </c>
      <c r="E265" s="39" t="inlineStr">
        <is>
          <t>이그나이트 + 스테이포에버</t>
        </is>
      </c>
      <c r="F265" s="39" t="n">
        <v>210101</v>
      </c>
      <c r="G265" s="42">
        <f>B265&amp;C265&amp;D265&amp;F265</f>
        <v/>
      </c>
      <c r="H265" s="39" t="n">
        <v>58800</v>
      </c>
      <c r="I265" s="39" t="n">
        <v>0.0585</v>
      </c>
      <c r="J265" s="39">
        <f>2592+2753</f>
        <v/>
      </c>
    </row>
    <row r="266">
      <c r="B266" s="39" t="inlineStr">
        <is>
          <t>카페24</t>
        </is>
      </c>
      <c r="C266" s="39" t="inlineStr">
        <is>
          <t>고체향수</t>
        </is>
      </c>
      <c r="D266" s="39" t="inlineStr">
        <is>
          <t>유즈 솔리드퍼퓸 - 30ml (11차 예약구매 진행중)향=커플세트(이그나이트 + 스테이포에버), 세트 선택=2 SET (42% 할인)</t>
        </is>
      </c>
      <c r="E266" s="39" t="inlineStr">
        <is>
          <t>이그나이트 + 스테이포에버</t>
        </is>
      </c>
      <c r="F266" s="39" t="n">
        <v>210101</v>
      </c>
      <c r="G266" s="42">
        <f>B266&amp;C266&amp;D266&amp;F266</f>
        <v/>
      </c>
      <c r="H266" s="39" t="n">
        <v>58800</v>
      </c>
      <c r="I266" s="39" t="n">
        <v>0.0585</v>
      </c>
      <c r="J266" s="39">
        <f>2592+2753</f>
        <v/>
      </c>
    </row>
    <row r="267">
      <c r="B267" s="39" t="inlineStr">
        <is>
          <t>카페24</t>
        </is>
      </c>
      <c r="C267" s="39" t="inlineStr">
        <is>
          <t>고체향수</t>
        </is>
      </c>
      <c r="D267" s="39" t="inlineStr">
        <is>
          <t>유즈 솔리드퍼퓸 - 30ml (11차 예약구매 진행중)향=이그나이트 001 SOLID PERFUME, 세트 선택=best</t>
        </is>
      </c>
      <c r="E267" s="39" t="inlineStr">
        <is>
          <t>이그나이트</t>
        </is>
      </c>
      <c r="F267" s="39" t="n">
        <v>210101</v>
      </c>
      <c r="G267" s="42">
        <f>B267&amp;C267&amp;D267&amp;F267</f>
        <v/>
      </c>
      <c r="H267" s="39" t="n">
        <v>34000</v>
      </c>
      <c r="I267" s="40">
        <f>VLOOKUP($E267,$E$42:$J$64,5,0)</f>
        <v/>
      </c>
      <c r="J267" s="39" t="n">
        <v>2753</v>
      </c>
    </row>
    <row r="268">
      <c r="B268" s="39" t="inlineStr">
        <is>
          <t>유즈 CS</t>
        </is>
      </c>
      <c r="C268" s="39" t="inlineStr">
        <is>
          <t>고체향수</t>
        </is>
      </c>
      <c r="D268" s="39" t="inlineStr">
        <is>
          <t>유즈 솔리드퍼퓸 - 30ml (스테이포에버 주문 시 12/14 순차배송)향=스테이포에버, 세트 선택=1 개</t>
        </is>
      </c>
      <c r="E268" s="39" t="inlineStr">
        <is>
          <t>스테이포에버</t>
        </is>
      </c>
      <c r="F268" s="39" t="n">
        <v>210101</v>
      </c>
      <c r="G268" s="42">
        <f>B268&amp;C268&amp;D268&amp;F268</f>
        <v/>
      </c>
      <c r="H268" s="39" t="n">
        <v>0</v>
      </c>
      <c r="I268" s="40" t="n">
        <v>0</v>
      </c>
      <c r="J268" s="39" t="n">
        <v>2592</v>
      </c>
    </row>
    <row r="269">
      <c r="B269" s="39" t="inlineStr">
        <is>
          <t>유즈 CS</t>
        </is>
      </c>
      <c r="C269" s="39" t="inlineStr">
        <is>
          <t>고체향수</t>
        </is>
      </c>
      <c r="D269" s="39" t="inlineStr">
        <is>
          <t>유즈 스테이포에버 솔리드퍼퓸 002 (스테이포에버 주문시 12/14 순차배송)제품선택=스테이포에버 솔리드퍼퓸 002[Pre-order 이벤트 17% 할인]</t>
        </is>
      </c>
      <c r="E269" s="39" t="inlineStr">
        <is>
          <t>스테이포에버</t>
        </is>
      </c>
      <c r="F269" s="39" t="n">
        <v>210101</v>
      </c>
      <c r="G269" s="42">
        <f>B269&amp;C269&amp;D269&amp;F269</f>
        <v/>
      </c>
      <c r="H269" s="39" t="n">
        <v>0</v>
      </c>
      <c r="I269" s="40" t="n">
        <v>0</v>
      </c>
      <c r="J269" s="39" t="n">
        <v>2592</v>
      </c>
    </row>
    <row r="270">
      <c r="B270" s="39" t="inlineStr">
        <is>
          <t>카페24</t>
        </is>
      </c>
      <c r="C270" s="39" t="inlineStr">
        <is>
          <t>고체향수</t>
        </is>
      </c>
      <c r="D270" s="39" t="inlineStr">
        <is>
          <t>유즈 솔리드퍼퓸 - 30ml (11차 예약구매 진행중)향=이그나이트 001 SOLID PERFUME, 세트 선택=best 2개 (28% 할인)</t>
        </is>
      </c>
      <c r="E270" s="39" t="inlineStr">
        <is>
          <t>이그나이트 2set</t>
        </is>
      </c>
      <c r="F270" s="39" t="n">
        <v>210101</v>
      </c>
      <c r="G270" s="42">
        <f>B270&amp;C270&amp;D270&amp;F270</f>
        <v/>
      </c>
      <c r="H270" s="39" t="n">
        <v>58800</v>
      </c>
      <c r="I270" s="39" t="n">
        <v>0.0585</v>
      </c>
      <c r="J270" s="39">
        <f>2753*2</f>
        <v/>
      </c>
    </row>
    <row r="271">
      <c r="B271" s="39" t="inlineStr">
        <is>
          <t>카페24</t>
        </is>
      </c>
      <c r="C271" s="39" t="inlineStr">
        <is>
          <t>고체향수</t>
        </is>
      </c>
      <c r="D271" s="39" t="inlineStr">
        <is>
          <t>유즈 솔리드퍼퓸 - 30ml향=스테이포에버 002 SOLID PERFUME, 세트 선택=1개</t>
        </is>
      </c>
      <c r="E271" s="39" t="inlineStr">
        <is>
          <t>스테이포에버</t>
        </is>
      </c>
      <c r="F271" s="39" t="n">
        <v>210101</v>
      </c>
      <c r="G271" s="42">
        <f>B271&amp;C271&amp;D271&amp;F271</f>
        <v/>
      </c>
      <c r="H271" s="39" t="n">
        <v>34000</v>
      </c>
      <c r="I271" s="40">
        <f>VLOOKUP($E271,$E$42:$J$64,5,0)</f>
        <v/>
      </c>
      <c r="J271" s="39" t="n">
        <v>2592</v>
      </c>
    </row>
    <row r="272">
      <c r="B272" s="39" t="inlineStr">
        <is>
          <t>카페24</t>
        </is>
      </c>
      <c r="C272" s="39" t="inlineStr">
        <is>
          <t>고체향수</t>
        </is>
      </c>
      <c r="D272" s="39" t="inlineStr">
        <is>
          <t>유즈 솔리드퍼퓸 - 30ml향=스테이포에버 002 SOLID PERFUME, 세트 선택=best</t>
        </is>
      </c>
      <c r="E272" s="39" t="inlineStr">
        <is>
          <t>스테이포에버</t>
        </is>
      </c>
      <c r="F272" s="39" t="n">
        <v>210101</v>
      </c>
      <c r="G272" s="42">
        <f>B272&amp;C272&amp;D272&amp;F272</f>
        <v/>
      </c>
      <c r="H272" s="39" t="n">
        <v>34000</v>
      </c>
      <c r="I272" s="40">
        <f>VLOOKUP($E272,$E$42:$J$64,5,0)</f>
        <v/>
      </c>
      <c r="J272" s="39" t="n">
        <v>2592</v>
      </c>
    </row>
    <row r="273">
      <c r="B273" s="39" t="inlineStr">
        <is>
          <t>카페24</t>
        </is>
      </c>
      <c r="C273" s="39" t="inlineStr">
        <is>
          <t>고체향수</t>
        </is>
      </c>
      <c r="D273" s="39" t="inlineStr">
        <is>
          <t>유즈 솔리드퍼퓸 - 30ml향=커플세트</t>
        </is>
      </c>
      <c r="E273" s="39" t="inlineStr">
        <is>
          <t>이그나이트 + 스테이포에버</t>
        </is>
      </c>
      <c r="F273" s="39" t="n">
        <v>210101</v>
      </c>
      <c r="G273" s="42">
        <f>B273&amp;C273&amp;D273&amp;F273</f>
        <v/>
      </c>
      <c r="H273" s="39" t="n">
        <v>58800</v>
      </c>
      <c r="I273" s="39" t="n">
        <v>0.0585</v>
      </c>
      <c r="J273" s="39">
        <f>2592+2753</f>
        <v/>
      </c>
    </row>
    <row r="274">
      <c r="B274" s="39" t="inlineStr">
        <is>
          <t>카페24</t>
        </is>
      </c>
      <c r="C274" s="39" t="inlineStr">
        <is>
          <t>고체향수</t>
        </is>
      </c>
      <c r="D274" s="39" t="inlineStr">
        <is>
          <t>유즈 솔리드퍼퓸 - 30ml향=커플세트(이그나이트 + 스테이포에버), 세트 선택=1 SET</t>
        </is>
      </c>
      <c r="E274" s="39" t="inlineStr">
        <is>
          <t>이그나이트 + 스테이포에버</t>
        </is>
      </c>
      <c r="F274" s="39" t="n">
        <v>210101</v>
      </c>
      <c r="G274" s="42">
        <f>B274&amp;C274&amp;D274&amp;F274</f>
        <v/>
      </c>
      <c r="H274" s="39" t="n">
        <v>58800</v>
      </c>
      <c r="I274" s="39" t="n">
        <v>0.0585</v>
      </c>
      <c r="J274" s="39">
        <f>2592+2753</f>
        <v/>
      </c>
    </row>
    <row r="275">
      <c r="B275" s="39" t="inlineStr">
        <is>
          <t>카페24</t>
        </is>
      </c>
      <c r="C275" s="39" t="inlineStr">
        <is>
          <t>고체향수</t>
        </is>
      </c>
      <c r="D275" s="39" t="inlineStr">
        <is>
          <t>유즈 스테이포에버 솔리드퍼퓸 002제품선택=스테이포에버 1개</t>
        </is>
      </c>
      <c r="E275" s="39" t="inlineStr">
        <is>
          <t>스테이포에버</t>
        </is>
      </c>
      <c r="F275" s="39" t="n">
        <v>210101</v>
      </c>
      <c r="G275" s="42">
        <f>B275&amp;C275&amp;D275&amp;F275</f>
        <v/>
      </c>
      <c r="H275" s="39" t="n">
        <v>34000</v>
      </c>
      <c r="I275" s="40">
        <f>VLOOKUP($E275,$E$42:$J$64,5,0)</f>
        <v/>
      </c>
      <c r="J275" s="39" t="n">
        <v>2592</v>
      </c>
    </row>
    <row r="276">
      <c r="B276" s="39" t="inlineStr">
        <is>
          <t>카페24</t>
        </is>
      </c>
      <c r="C276" s="39" t="inlineStr">
        <is>
          <t>고체향수</t>
        </is>
      </c>
      <c r="D276" s="39" t="inlineStr">
        <is>
          <t>유즈 스테이포에버 솔리드퍼퓸 002제품선택=best</t>
        </is>
      </c>
      <c r="E276" s="39" t="inlineStr">
        <is>
          <t>스테이포에버</t>
        </is>
      </c>
      <c r="F276" s="39" t="n">
        <v>210101</v>
      </c>
      <c r="G276" s="42">
        <f>B276&amp;C276&amp;D276&amp;F276</f>
        <v/>
      </c>
      <c r="H276" s="39" t="n">
        <v>34000</v>
      </c>
      <c r="I276" s="40">
        <f>VLOOKUP($E276,$E$42:$J$64,5,0)</f>
        <v/>
      </c>
      <c r="J276" s="39" t="n">
        <v>2592</v>
      </c>
    </row>
    <row r="277">
      <c r="B277" s="39" t="inlineStr">
        <is>
          <t>카페24</t>
        </is>
      </c>
      <c r="C277" s="39" t="inlineStr">
        <is>
          <t>고체향수</t>
        </is>
      </c>
      <c r="D277" s="39" t="inlineStr">
        <is>
          <t>유즈 스테이포에버 솔리드퍼퓸 002제품선택=best스테이포에버 2개[28% 할인]</t>
        </is>
      </c>
      <c r="E277" s="39" t="inlineStr">
        <is>
          <t>스테이포에버</t>
        </is>
      </c>
      <c r="F277" s="39" t="n">
        <v>210101</v>
      </c>
      <c r="G277" s="42">
        <f>B277&amp;C277&amp;D277&amp;F277</f>
        <v/>
      </c>
      <c r="H277" s="39" t="n">
        <v>34000</v>
      </c>
      <c r="I277" s="40">
        <f>VLOOKUP($E277,$E$42:$J$64,5,0)</f>
        <v/>
      </c>
      <c r="J277" s="39" t="n">
        <v>2592</v>
      </c>
    </row>
    <row r="278">
      <c r="B278" s="39" t="inlineStr">
        <is>
          <t>카페24</t>
        </is>
      </c>
      <c r="C278" s="39" t="inlineStr">
        <is>
          <t>고체향수</t>
        </is>
      </c>
      <c r="D278" s="39" t="inlineStr">
        <is>
          <t>유즈 스테이포에버 솔리드퍼퓸 002제품선택=커플추천</t>
        </is>
      </c>
      <c r="E278" s="39" t="inlineStr">
        <is>
          <t>이그나이트 + 스테이포에버</t>
        </is>
      </c>
      <c r="F278" s="39" t="n">
        <v>210101</v>
      </c>
      <c r="G278" s="42">
        <f>B278&amp;C278&amp;D278&amp;F278</f>
        <v/>
      </c>
      <c r="H278" s="39" t="n">
        <v>58800</v>
      </c>
      <c r="I278" s="39" t="n">
        <v>0.0585</v>
      </c>
      <c r="J278" s="39">
        <f>2592+2753</f>
        <v/>
      </c>
    </row>
    <row r="279">
      <c r="B279" s="39" t="inlineStr">
        <is>
          <t>카페24</t>
        </is>
      </c>
      <c r="C279" s="39" t="inlineStr">
        <is>
          <t>고체향수</t>
        </is>
      </c>
      <c r="D279" s="39" t="inlineStr">
        <is>
          <t>유즈 스테이포에버 솔리드퍼퓸 002제품선택=커플추천스테이포에버 + 이그나이트 세트</t>
        </is>
      </c>
      <c r="E279" s="39" t="inlineStr">
        <is>
          <t>이그나이트 + 스테이포에버</t>
        </is>
      </c>
      <c r="F279" s="39" t="n">
        <v>210101</v>
      </c>
      <c r="G279" s="42">
        <f>B279&amp;C279&amp;D279&amp;F279</f>
        <v/>
      </c>
      <c r="H279" s="39" t="n">
        <v>58800</v>
      </c>
      <c r="I279" s="39" t="n">
        <v>0.0585</v>
      </c>
      <c r="J279" s="39">
        <f>2592+2753</f>
        <v/>
      </c>
    </row>
    <row r="280">
      <c r="B280" s="39" t="inlineStr">
        <is>
          <t>카페24</t>
        </is>
      </c>
      <c r="C280" s="39" t="inlineStr">
        <is>
          <t>고체향수</t>
        </is>
      </c>
      <c r="D280" s="39" t="inlineStr">
        <is>
          <t>유즈 스테이포에버 솔리드퍼퓸 002쇼핑백=선물용 쇼핑백</t>
        </is>
      </c>
      <c r="E280" s="39" t="inlineStr">
        <is>
          <t>쇼핑백</t>
        </is>
      </c>
      <c r="F280" s="39" t="n">
        <v>210101</v>
      </c>
      <c r="G280" s="42">
        <f>B280&amp;C280&amp;D280&amp;F280</f>
        <v/>
      </c>
      <c r="H280" s="39">
        <f>VLOOKUP($E280,$E$42:$J$64,4,0)</f>
        <v/>
      </c>
      <c r="I280" s="40">
        <f>VLOOKUP($E280,$E$42:$J$64,5,0)</f>
        <v/>
      </c>
      <c r="J280" s="39" t="n">
        <v>830</v>
      </c>
    </row>
    <row r="281">
      <c r="B281" s="39" t="inlineStr">
        <is>
          <t>카페24</t>
        </is>
      </c>
      <c r="C281" s="39" t="inlineStr">
        <is>
          <t>고체향수</t>
        </is>
      </c>
      <c r="D281" s="39" t="inlineStr">
        <is>
          <t>유즈 솔리드퍼퓸 - 30ml향=이그나이트 001 SOLID PERFUME, 세트 선택=1개</t>
        </is>
      </c>
      <c r="E281" s="39" t="inlineStr">
        <is>
          <t>이그나이트</t>
        </is>
      </c>
      <c r="F281" s="39" t="n">
        <v>210101</v>
      </c>
      <c r="G281" s="42">
        <f>B281&amp;C281&amp;D281&amp;F281</f>
        <v/>
      </c>
      <c r="H281" s="39" t="n">
        <v>34000</v>
      </c>
      <c r="I281" s="40">
        <f>VLOOKUP($E281,$E$42:$J$64,5,0)</f>
        <v/>
      </c>
      <c r="J281" s="39" t="n">
        <v>2753</v>
      </c>
    </row>
    <row r="282">
      <c r="B282" s="39" t="inlineStr">
        <is>
          <t>카페24</t>
        </is>
      </c>
      <c r="C282" s="39" t="inlineStr">
        <is>
          <t>고체향수</t>
        </is>
      </c>
      <c r="D282" s="39" t="inlineStr">
        <is>
          <t>유즈 솔리드퍼퓸 - 30ml향=스테이포에버 002 SOLID PERFUME, 세트 선택=best 2개 (28% 할인)</t>
        </is>
      </c>
      <c r="E282" s="39" t="inlineStr">
        <is>
          <t>스테이포에버 2set</t>
        </is>
      </c>
      <c r="F282" s="39" t="n">
        <v>210101</v>
      </c>
      <c r="G282" s="42">
        <f>B282&amp;C282&amp;D282&amp;F282</f>
        <v/>
      </c>
      <c r="H282" s="39" t="n">
        <v>58800</v>
      </c>
      <c r="I282" s="40" t="n">
        <v>0.0585</v>
      </c>
      <c r="J282" s="39">
        <f>2592*2</f>
        <v/>
      </c>
    </row>
    <row r="283">
      <c r="B283" s="39" t="inlineStr">
        <is>
          <t>카페24</t>
        </is>
      </c>
      <c r="C283" s="39" t="inlineStr">
        <is>
          <t>고체향수</t>
        </is>
      </c>
      <c r="D283" s="39" t="inlineStr">
        <is>
          <t>유즈 솔리드퍼퓸 - 30ml향=커플세트(이그나이트 + 스테이포에버), 세트 선택=2 SET (42% 할인)</t>
        </is>
      </c>
      <c r="E283" s="39" t="inlineStr">
        <is>
          <t>이그나이트 + 스테이포에버</t>
        </is>
      </c>
      <c r="F283" s="39" t="n">
        <v>210101</v>
      </c>
      <c r="G283" s="42">
        <f>B283&amp;C283&amp;D283&amp;F283</f>
        <v/>
      </c>
      <c r="H283" s="39" t="n">
        <v>58800</v>
      </c>
      <c r="I283" s="39" t="n">
        <v>0.0585</v>
      </c>
      <c r="J283" s="39">
        <f>2592+2753</f>
        <v/>
      </c>
    </row>
    <row r="284">
      <c r="B284" s="39" t="inlineStr">
        <is>
          <t>카페24</t>
        </is>
      </c>
      <c r="C284" s="39" t="inlineStr">
        <is>
          <t>고체향수</t>
        </is>
      </c>
      <c r="D284" s="39" t="inlineStr">
        <is>
          <t>유즈 솔리드퍼퓸 - 스테이포에버 002제품선택=스테이포에버 1개</t>
        </is>
      </c>
      <c r="E284" s="39" t="inlineStr">
        <is>
          <t>스테이포에버</t>
        </is>
      </c>
      <c r="F284" s="39" t="n">
        <v>210101</v>
      </c>
      <c r="G284" s="42">
        <f>B284&amp;C284&amp;D284&amp;F284</f>
        <v/>
      </c>
      <c r="H284" s="39" t="n">
        <v>34000</v>
      </c>
      <c r="I284" s="40">
        <f>VLOOKUP($E284,$E$42:$J$64,5,0)</f>
        <v/>
      </c>
      <c r="J284" s="39" t="n">
        <v>2592</v>
      </c>
    </row>
    <row r="285">
      <c r="B285" s="39" t="inlineStr">
        <is>
          <t>카페24</t>
        </is>
      </c>
      <c r="C285" s="39" t="inlineStr">
        <is>
          <t>고체향수</t>
        </is>
      </c>
      <c r="D285" s="39" t="inlineStr">
        <is>
          <t>유즈 솔리드퍼퓸 - 스테이포에버 002제품선택=best</t>
        </is>
      </c>
      <c r="E285" s="39" t="inlineStr">
        <is>
          <t>스테이포에버</t>
        </is>
      </c>
      <c r="F285" s="39" t="n">
        <v>210101</v>
      </c>
      <c r="G285" s="42">
        <f>B285&amp;C285&amp;D285&amp;F285</f>
        <v/>
      </c>
      <c r="H285" s="39" t="n">
        <v>34000</v>
      </c>
      <c r="I285" s="40">
        <f>VLOOKUP($E285,$E$42:$J$64,5,0)</f>
        <v/>
      </c>
      <c r="J285" s="39" t="n">
        <v>2592</v>
      </c>
    </row>
    <row r="286">
      <c r="B286" s="39" t="inlineStr">
        <is>
          <t>카페24</t>
        </is>
      </c>
      <c r="C286" s="39" t="inlineStr">
        <is>
          <t>고체향수</t>
        </is>
      </c>
      <c r="D286" s="39" t="inlineStr">
        <is>
          <t>유즈 솔리드퍼퓸 - 스테이포에버 002제품선택=best스테이포에버 2개[28% 할인]</t>
        </is>
      </c>
      <c r="E286" s="39" t="inlineStr">
        <is>
          <t>스테이포에버 2set</t>
        </is>
      </c>
      <c r="F286" s="39" t="n">
        <v>210101</v>
      </c>
      <c r="G286" s="42">
        <f>B286&amp;C286&amp;D286&amp;F286</f>
        <v/>
      </c>
      <c r="H286" s="39" t="n">
        <v>58800</v>
      </c>
      <c r="I286" s="40" t="n">
        <v>0.0585</v>
      </c>
      <c r="J286" s="39">
        <f>2592*2</f>
        <v/>
      </c>
    </row>
    <row r="287">
      <c r="B287" s="39" t="inlineStr">
        <is>
          <t>카페24</t>
        </is>
      </c>
      <c r="C287" s="39" t="inlineStr">
        <is>
          <t>고체향수</t>
        </is>
      </c>
      <c r="D287" s="39" t="inlineStr">
        <is>
          <t>유즈 솔리드퍼퓸 - 스테이포에버 002제품선택=커플추천</t>
        </is>
      </c>
      <c r="E287" s="39" t="inlineStr">
        <is>
          <t>이그나이트 + 스테이포에버</t>
        </is>
      </c>
      <c r="F287" s="39" t="n">
        <v>210101</v>
      </c>
      <c r="G287" s="42">
        <f>B287&amp;C287&amp;D287&amp;F287</f>
        <v/>
      </c>
      <c r="H287" s="39" t="n">
        <v>58800</v>
      </c>
      <c r="I287" s="39" t="n">
        <v>0.0585</v>
      </c>
      <c r="J287" s="39">
        <f>2592+2753</f>
        <v/>
      </c>
    </row>
    <row r="288">
      <c r="B288" s="39" t="inlineStr">
        <is>
          <t>카페24</t>
        </is>
      </c>
      <c r="C288" s="39" t="inlineStr">
        <is>
          <t>고체향수</t>
        </is>
      </c>
      <c r="D288" s="39" t="inlineStr">
        <is>
          <t>유즈 솔리드퍼퓸 - 스테이포에버 002제품선택=커플추천스테이포에버 + 이그나이트 세트</t>
        </is>
      </c>
      <c r="E288" s="39" t="inlineStr">
        <is>
          <t>이그나이트 + 스테이포에버</t>
        </is>
      </c>
      <c r="F288" s="39" t="n">
        <v>210101</v>
      </c>
      <c r="G288" s="42">
        <f>B288&amp;C288&amp;D288&amp;F288</f>
        <v/>
      </c>
      <c r="H288" s="39" t="n">
        <v>58800</v>
      </c>
      <c r="I288" s="39" t="n">
        <v>0.0585</v>
      </c>
      <c r="J288" s="39">
        <f>2592+2753</f>
        <v/>
      </c>
    </row>
    <row r="289">
      <c r="B289" s="39" t="inlineStr">
        <is>
          <t>카페24</t>
        </is>
      </c>
      <c r="C289" s="39" t="inlineStr">
        <is>
          <t>쇼핑백</t>
        </is>
      </c>
      <c r="D289" s="39" t="inlineStr">
        <is>
          <t>유즈 솔리드퍼퓸 - 스테이포에버 002쇼핑백=선물용 쇼핑백</t>
        </is>
      </c>
      <c r="E289" s="39" t="inlineStr">
        <is>
          <t>쇼핑백</t>
        </is>
      </c>
      <c r="F289" s="39" t="n">
        <v>210101</v>
      </c>
      <c r="G289" s="42">
        <f>B289&amp;C289&amp;D289&amp;F289</f>
        <v/>
      </c>
      <c r="H289" s="39">
        <f>VLOOKUP($E289,$E$42:$J$64,4,0)</f>
        <v/>
      </c>
      <c r="I289" s="40">
        <f>VLOOKUP($E289,$E$42:$J$64,5,0)</f>
        <v/>
      </c>
      <c r="J289" s="39" t="n">
        <v>830</v>
      </c>
    </row>
    <row r="290">
      <c r="B290" s="39" t="inlineStr">
        <is>
          <t>카페24</t>
        </is>
      </c>
      <c r="C290" s="39" t="inlineStr">
        <is>
          <t>고체향수</t>
        </is>
      </c>
      <c r="D290" s="39" t="inlineStr">
        <is>
          <t>유즈 솔리드퍼퓸 - 이그나이트 001제품선택=이그나이트 솔리드퍼퓸 - 30ml</t>
        </is>
      </c>
      <c r="E290" s="39" t="inlineStr">
        <is>
          <t>이그나이트</t>
        </is>
      </c>
      <c r="F290" s="39" t="n">
        <v>210101</v>
      </c>
      <c r="G290" s="42">
        <f>B290&amp;C290&amp;D290&amp;F290</f>
        <v/>
      </c>
      <c r="H290" s="39" t="n">
        <v>34000</v>
      </c>
      <c r="I290" s="40" t="n">
        <v>0</v>
      </c>
      <c r="J290" s="39" t="n">
        <v>2753</v>
      </c>
    </row>
    <row r="291">
      <c r="B291" s="39" t="inlineStr">
        <is>
          <t>유즈 CS</t>
        </is>
      </c>
      <c r="C291" s="39" t="inlineStr">
        <is>
          <t>고체향수</t>
        </is>
      </c>
      <c r="D291" s="39" t="inlineStr">
        <is>
          <t>유즈 스테이포에버 솔리드퍼퓸 002제품선택=커플추천</t>
        </is>
      </c>
      <c r="E291" s="39" t="inlineStr">
        <is>
          <t>이그나이트 + 스테이포에버</t>
        </is>
      </c>
      <c r="F291" s="39" t="n">
        <v>210101</v>
      </c>
      <c r="G291" s="42">
        <f>B291&amp;C291&amp;D291&amp;F291</f>
        <v/>
      </c>
      <c r="H291" s="39" t="n">
        <v>0</v>
      </c>
      <c r="I291" s="40" t="n">
        <v>0</v>
      </c>
      <c r="J291" s="39">
        <f>2592+2753</f>
        <v/>
      </c>
    </row>
    <row r="292">
      <c r="B292" s="39" t="inlineStr">
        <is>
          <t>카페24</t>
        </is>
      </c>
      <c r="C292" s="39" t="inlineStr">
        <is>
          <t>고체향수</t>
        </is>
      </c>
      <c r="D292" s="39" t="inlineStr">
        <is>
          <t>유즈 솔리드퍼퓸 - 이그나이트 001제품선택=이그나이트 2개 세트</t>
        </is>
      </c>
      <c r="E292" s="39" t="inlineStr">
        <is>
          <t>이그나이트 2set</t>
        </is>
      </c>
      <c r="F292" s="39" t="n">
        <v>210101</v>
      </c>
      <c r="G292" s="42">
        <f>B292&amp;C292&amp;D292&amp;F292</f>
        <v/>
      </c>
      <c r="H292" s="39" t="n">
        <v>58800</v>
      </c>
      <c r="I292" s="39" t="n">
        <v>0.0585</v>
      </c>
      <c r="J292" s="39">
        <f>2753*2</f>
        <v/>
      </c>
    </row>
    <row r="293">
      <c r="B293" s="39" t="inlineStr">
        <is>
          <t>카페24</t>
        </is>
      </c>
      <c r="C293" s="39" t="inlineStr">
        <is>
          <t>쇼핑백</t>
        </is>
      </c>
      <c r="D293" s="39" t="inlineStr">
        <is>
          <t>유즈 솔리드퍼퓸 - 이그나이트 001쇼핑백=선물용 쇼핑백</t>
        </is>
      </c>
      <c r="E293" s="39" t="inlineStr">
        <is>
          <t>쇼핑백</t>
        </is>
      </c>
      <c r="F293" s="39" t="n">
        <v>210101</v>
      </c>
      <c r="G293" s="42">
        <f>B293&amp;C293&amp;D293&amp;F293</f>
        <v/>
      </c>
      <c r="H293" s="39">
        <f>VLOOKUP($E293,$E$42:$J$64,4,0)</f>
        <v/>
      </c>
      <c r="I293" s="40">
        <f>VLOOKUP($E293,$E$42:$J$64,5,0)</f>
        <v/>
      </c>
      <c r="J293" s="39" t="n">
        <v>830</v>
      </c>
    </row>
    <row r="294">
      <c r="B294" s="39" t="inlineStr">
        <is>
          <t>카페24</t>
        </is>
      </c>
      <c r="C294" s="39" t="inlineStr">
        <is>
          <t>고체향수</t>
        </is>
      </c>
      <c r="D294" s="39" t="inlineStr">
        <is>
          <t>유즈 솔리드퍼퓸 - 30ml향=이그나이트 001 SOLID PERFUME, 세트 선택=best 2개 (28% 할인)</t>
        </is>
      </c>
      <c r="E294" s="39" t="inlineStr">
        <is>
          <t>이그나이트 2set</t>
        </is>
      </c>
      <c r="F294" s="39" t="n">
        <v>210101</v>
      </c>
      <c r="G294" s="42">
        <f>B294&amp;C294&amp;D294&amp;F294</f>
        <v/>
      </c>
      <c r="H294" s="39" t="n">
        <v>58800</v>
      </c>
      <c r="I294" s="39" t="n">
        <v>0.0585</v>
      </c>
      <c r="J294" s="39">
        <f>2753*2</f>
        <v/>
      </c>
    </row>
    <row r="295">
      <c r="B295" s="39" t="inlineStr">
        <is>
          <t>카페24</t>
        </is>
      </c>
      <c r="C295" s="39" t="inlineStr">
        <is>
          <t>고체향수</t>
        </is>
      </c>
      <c r="D295" s="39" t="inlineStr">
        <is>
          <t>솔리드퍼퓸 세트향=이그나이트 001 SOLID PERFUME, 세트 선택=1개</t>
        </is>
      </c>
      <c r="E295" s="39" t="inlineStr">
        <is>
          <t>이그나이트</t>
        </is>
      </c>
      <c r="F295" s="39" t="n">
        <v>210101</v>
      </c>
      <c r="G295" s="42">
        <f>B295&amp;C295&amp;D295&amp;F295</f>
        <v/>
      </c>
      <c r="H295" s="39" t="n">
        <v>34000</v>
      </c>
      <c r="I295" s="40">
        <f>VLOOKUP($E295,$E$42:$J$64,5,0)</f>
        <v/>
      </c>
      <c r="J295" s="39" t="n">
        <v>2753</v>
      </c>
    </row>
    <row r="296">
      <c r="B296" s="39" t="inlineStr">
        <is>
          <t>카페24</t>
        </is>
      </c>
      <c r="C296" s="39" t="inlineStr">
        <is>
          <t>고체향수</t>
        </is>
      </c>
      <c r="D296" s="39" t="inlineStr">
        <is>
          <t>솔리드퍼퓸 세트향=스테이포에버 002 SOLID PERFUME, 세트 선택=1개</t>
        </is>
      </c>
      <c r="E296" s="39" t="inlineStr">
        <is>
          <t>스테이포에버</t>
        </is>
      </c>
      <c r="F296" s="39" t="n">
        <v>210101</v>
      </c>
      <c r="G296" s="42">
        <f>B296&amp;C296&amp;D296&amp;F296</f>
        <v/>
      </c>
      <c r="H296" s="39" t="n">
        <v>34000</v>
      </c>
      <c r="I296" s="40">
        <f>VLOOKUP($E296,$E$42:$J$64,5,0)</f>
        <v/>
      </c>
      <c r="J296" s="39" t="n">
        <v>2592</v>
      </c>
    </row>
    <row r="297">
      <c r="B297" s="39" t="inlineStr">
        <is>
          <t>카페24</t>
        </is>
      </c>
      <c r="C297" s="39" t="inlineStr">
        <is>
          <t>고체향수</t>
        </is>
      </c>
      <c r="D297" s="39" t="inlineStr">
        <is>
          <t>솔리드퍼퓸 세트향=스테이포에버 002 SOLID PERFUME, 세트 선택=best 2개 (28% 할인)</t>
        </is>
      </c>
      <c r="E297" s="39" t="inlineStr">
        <is>
          <t>스테이포에버 2set</t>
        </is>
      </c>
      <c r="F297" s="39" t="n">
        <v>210101</v>
      </c>
      <c r="G297" s="42">
        <f>B297&amp;C297&amp;D297&amp;F297</f>
        <v/>
      </c>
      <c r="H297" s="39" t="n">
        <v>58800</v>
      </c>
      <c r="I297" s="40" t="n">
        <v>0.0585</v>
      </c>
      <c r="J297" s="39">
        <f>2592*2</f>
        <v/>
      </c>
    </row>
    <row r="298">
      <c r="B298" s="39" t="inlineStr">
        <is>
          <t>카페24</t>
        </is>
      </c>
      <c r="C298" s="39" t="inlineStr">
        <is>
          <t>고체향수</t>
        </is>
      </c>
      <c r="D298" s="39" t="inlineStr">
        <is>
          <t>솔리드퍼퓸 세트향=커플세트(이그나이트 + 스테이포에버), 세트 선택=1 SET</t>
        </is>
      </c>
      <c r="E298" s="39" t="inlineStr">
        <is>
          <t>이그나이트 + 스테이포에버</t>
        </is>
      </c>
      <c r="F298" s="39" t="n">
        <v>210101</v>
      </c>
      <c r="G298" s="42">
        <f>B298&amp;C298&amp;D298&amp;F298</f>
        <v/>
      </c>
      <c r="H298" s="39" t="n">
        <v>58800</v>
      </c>
      <c r="I298" s="39" t="n">
        <v>0.0585</v>
      </c>
      <c r="J298" s="39">
        <f>2592+2753</f>
        <v/>
      </c>
    </row>
    <row r="299">
      <c r="B299" s="39" t="inlineStr">
        <is>
          <t>카페24</t>
        </is>
      </c>
      <c r="C299" s="39" t="inlineStr">
        <is>
          <t>고체향수</t>
        </is>
      </c>
      <c r="D299" s="39" t="inlineStr">
        <is>
          <t>솔리드퍼퓸 스테이포에버 002제품선택=스테이포에버 1개</t>
        </is>
      </c>
      <c r="E299" s="39" t="inlineStr">
        <is>
          <t>스테이포에버</t>
        </is>
      </c>
      <c r="F299" s="39" t="n">
        <v>210101</v>
      </c>
      <c r="G299" s="42">
        <f>B299&amp;C299&amp;D299&amp;F299</f>
        <v/>
      </c>
      <c r="H299" s="39" t="n">
        <v>34000</v>
      </c>
      <c r="I299" s="40">
        <f>VLOOKUP($E299,$E$42:$J$64,5,0)</f>
        <v/>
      </c>
      <c r="J299" s="39" t="n">
        <v>2592</v>
      </c>
    </row>
    <row r="300">
      <c r="B300" s="39" t="inlineStr">
        <is>
          <t>카페24</t>
        </is>
      </c>
      <c r="C300" s="39" t="inlineStr">
        <is>
          <t>고체향수</t>
        </is>
      </c>
      <c r="D300" s="39" t="inlineStr">
        <is>
          <t>솔리드퍼퓸 스테이포에버 002제품선택=best스테이포에버 2개[28% 할인]</t>
        </is>
      </c>
      <c r="E300" s="39" t="inlineStr">
        <is>
          <t>스테이포에버 2set</t>
        </is>
      </c>
      <c r="F300" s="39" t="n">
        <v>210101</v>
      </c>
      <c r="G300" s="42">
        <f>B300&amp;C300&amp;D300&amp;F300</f>
        <v/>
      </c>
      <c r="H300" s="39" t="n">
        <v>58800</v>
      </c>
      <c r="I300" s="40" t="n">
        <v>0.0585</v>
      </c>
      <c r="J300" s="39">
        <f>2592*2</f>
        <v/>
      </c>
    </row>
    <row r="301">
      <c r="B301" s="39" t="inlineStr">
        <is>
          <t>카페24</t>
        </is>
      </c>
      <c r="C301" s="39" t="inlineStr">
        <is>
          <t>고체향수</t>
        </is>
      </c>
      <c r="D301" s="39" t="inlineStr">
        <is>
          <t>솔리드퍼퓸 스테이포에버 002제품선택=커플추천스테이포에버 + 이그나이트 세트</t>
        </is>
      </c>
      <c r="E301" s="39" t="inlineStr">
        <is>
          <t>이그나이트 + 스테이포에버</t>
        </is>
      </c>
      <c r="F301" s="39" t="n">
        <v>210101</v>
      </c>
      <c r="G301" s="42">
        <f>B301&amp;C301&amp;D301&amp;F301</f>
        <v/>
      </c>
      <c r="H301" s="39" t="n">
        <v>58800</v>
      </c>
      <c r="I301" s="39" t="n">
        <v>0.0585</v>
      </c>
      <c r="J301" s="39">
        <f>2592+2753</f>
        <v/>
      </c>
    </row>
    <row r="302">
      <c r="B302" s="39" t="inlineStr">
        <is>
          <t>카페24</t>
        </is>
      </c>
      <c r="C302" s="39" t="inlineStr">
        <is>
          <t>쇼핑백</t>
        </is>
      </c>
      <c r="D302" s="39" t="inlineStr">
        <is>
          <t>솔리드퍼퓸 스테이포에버 002쇼핑백=선물용 쇼핑백</t>
        </is>
      </c>
      <c r="E302" s="39" t="inlineStr">
        <is>
          <t>쇼핑백</t>
        </is>
      </c>
      <c r="F302" s="39" t="n">
        <v>210101</v>
      </c>
      <c r="G302" s="42">
        <f>B302&amp;C302&amp;D302&amp;F302</f>
        <v/>
      </c>
      <c r="H302" s="39">
        <f>VLOOKUP($E302,$E$42:$J$64,4,0)</f>
        <v/>
      </c>
      <c r="I302" s="40">
        <f>VLOOKUP($E302,$E$42:$J$64,5,0)</f>
        <v/>
      </c>
      <c r="J302" s="39" t="n">
        <v>830</v>
      </c>
    </row>
    <row r="303">
      <c r="B303" s="39" t="inlineStr">
        <is>
          <t>카페24</t>
        </is>
      </c>
      <c r="C303" s="39" t="inlineStr">
        <is>
          <t>고체향수</t>
        </is>
      </c>
      <c r="D303" s="39" t="inlineStr">
        <is>
          <t>솔리드퍼퓸 이그나이트 001제품선택=이그나이트 솔리드퍼퓸 - 30ml</t>
        </is>
      </c>
      <c r="E303" s="39" t="inlineStr">
        <is>
          <t>이그나이트</t>
        </is>
      </c>
      <c r="F303" s="39" t="n">
        <v>210101</v>
      </c>
      <c r="G303" s="42">
        <f>B303&amp;C303&amp;D303&amp;F303</f>
        <v/>
      </c>
      <c r="H303" s="39" t="n">
        <v>34000</v>
      </c>
      <c r="I303" s="40">
        <f>VLOOKUP($E303,$E$42:$J$64,5,0)</f>
        <v/>
      </c>
      <c r="J303" s="39" t="n">
        <v>2753</v>
      </c>
    </row>
    <row r="304">
      <c r="B304" s="39" t="inlineStr">
        <is>
          <t>카페24</t>
        </is>
      </c>
      <c r="C304" s="39" t="inlineStr">
        <is>
          <t>고체향수</t>
        </is>
      </c>
      <c r="D304" s="39" t="inlineStr">
        <is>
          <t>솔리드퍼퓸 이그나이트 001제품선택=이그나이트 2개 세트</t>
        </is>
      </c>
      <c r="E304" s="39" t="inlineStr">
        <is>
          <t>이그나이트 2set</t>
        </is>
      </c>
      <c r="F304" s="39" t="n">
        <v>210101</v>
      </c>
      <c r="G304" s="42">
        <f>B304&amp;C304&amp;D304&amp;F304</f>
        <v/>
      </c>
      <c r="H304" s="39" t="n">
        <v>58800</v>
      </c>
      <c r="I304" s="39" t="n">
        <v>0.0585</v>
      </c>
      <c r="J304" s="39">
        <f>2753*2</f>
        <v/>
      </c>
    </row>
    <row r="305">
      <c r="B305" s="39" t="inlineStr">
        <is>
          <t>카페24</t>
        </is>
      </c>
      <c r="C305" s="39" t="inlineStr">
        <is>
          <t>쇼핑백</t>
        </is>
      </c>
      <c r="D305" s="39" t="inlineStr">
        <is>
          <t>솔리드퍼퓸 이그나이트 001쇼핑백=선물용 쇼핑백</t>
        </is>
      </c>
      <c r="E305" s="39" t="inlineStr">
        <is>
          <t>쇼핑백</t>
        </is>
      </c>
      <c r="F305" s="39" t="n">
        <v>210101</v>
      </c>
      <c r="G305" s="42">
        <f>B305&amp;C305&amp;D305&amp;F305</f>
        <v/>
      </c>
      <c r="H305" s="39">
        <f>VLOOKUP($E305,$E$42:$J$64,4,0)</f>
        <v/>
      </c>
      <c r="I305" s="40">
        <f>VLOOKUP($E305,$E$42:$J$64,5,0)</f>
        <v/>
      </c>
      <c r="J305" s="39" t="n">
        <v>830</v>
      </c>
    </row>
    <row r="306">
      <c r="B306" s="39" t="inlineStr">
        <is>
          <t>카페24</t>
        </is>
      </c>
      <c r="C306" s="39" t="inlineStr">
        <is>
          <t>고체향수</t>
        </is>
      </c>
      <c r="D306" s="39" t="inlineStr">
        <is>
          <t>솔리드퍼퓸 세트향=커플세트(이그나이트 + 스테이포에버), 세트 선택=2 SET (42% 할인)</t>
        </is>
      </c>
      <c r="E306" s="39" t="inlineStr">
        <is>
          <t>이그나이트 + 스테이포에버</t>
        </is>
      </c>
      <c r="F306" s="39" t="n">
        <v>210101</v>
      </c>
      <c r="G306" s="42">
        <f>B306&amp;C306&amp;D306&amp;F306</f>
        <v/>
      </c>
      <c r="H306" s="39" t="n">
        <v>58800</v>
      </c>
      <c r="I306" s="39" t="n">
        <v>0.0585</v>
      </c>
      <c r="J306" s="39">
        <f>2592+2753</f>
        <v/>
      </c>
    </row>
    <row r="307">
      <c r="B307" s="39" t="inlineStr">
        <is>
          <t>카페24</t>
        </is>
      </c>
      <c r="C307" s="39" t="inlineStr">
        <is>
          <t>고체향수</t>
        </is>
      </c>
      <c r="D307" s="39" t="inlineStr">
        <is>
          <t>솔리드퍼퓸 세트향=이그나이트 001 SOLID PERFUME, 세트 선택=best 2개 (28% 할인)</t>
        </is>
      </c>
      <c r="E307" s="39" t="inlineStr">
        <is>
          <t>이그나이트 2set</t>
        </is>
      </c>
      <c r="F307" s="39" t="n">
        <v>210101</v>
      </c>
      <c r="G307" s="42">
        <f>B307&amp;C307&amp;D307&amp;F307</f>
        <v/>
      </c>
      <c r="H307" s="39" t="n">
        <v>58800</v>
      </c>
      <c r="I307" s="39" t="n">
        <v>0.0585</v>
      </c>
      <c r="J307" s="39">
        <f>2753*2</f>
        <v/>
      </c>
    </row>
    <row r="308">
      <c r="B308" s="39" t="inlineStr">
        <is>
          <t>카페24</t>
        </is>
      </c>
      <c r="C308" s="39" t="inlineStr">
        <is>
          <t>고체향수</t>
        </is>
      </c>
      <c r="D308" s="39" t="inlineStr">
        <is>
          <t>솔리드퍼퓸 이그나이트 001 30ml</t>
        </is>
      </c>
      <c r="E308" s="39" t="inlineStr">
        <is>
          <t>이그나이트</t>
        </is>
      </c>
      <c r="F308" s="39" t="n">
        <v>210101</v>
      </c>
      <c r="G308" s="42">
        <f>B308&amp;C308&amp;D308&amp;F308</f>
        <v/>
      </c>
      <c r="H308" s="39" t="n">
        <v>34000</v>
      </c>
      <c r="I308" s="40">
        <f>VLOOKUP($E308,$E$42:$J$64,5,0)</f>
        <v/>
      </c>
      <c r="J308" s="39" t="n">
        <v>2753</v>
      </c>
    </row>
    <row r="309">
      <c r="B309" s="39" t="inlineStr">
        <is>
          <t>유즈 CS</t>
        </is>
      </c>
      <c r="C309" s="39" t="inlineStr">
        <is>
          <t>고체향수</t>
        </is>
      </c>
      <c r="D309" s="39" t="inlineStr">
        <is>
          <t>솔리드퍼퓸 스테이포에버 002 30ml_CS</t>
        </is>
      </c>
      <c r="E309" s="39" t="inlineStr">
        <is>
          <t>스테이포에버</t>
        </is>
      </c>
      <c r="F309" s="39" t="n">
        <v>210101</v>
      </c>
      <c r="G309" s="42">
        <f>B309&amp;C309&amp;D309&amp;F309</f>
        <v/>
      </c>
      <c r="H309" s="39" t="n">
        <v>0</v>
      </c>
      <c r="I309" s="40">
        <f>VLOOKUP($E309,$E$42:$J$64,5,0)</f>
        <v/>
      </c>
      <c r="J309" s="39" t="n">
        <v>2592</v>
      </c>
    </row>
    <row r="310">
      <c r="B310" s="39" t="inlineStr">
        <is>
          <t>카페24</t>
        </is>
      </c>
      <c r="C310" s="39" t="inlineStr">
        <is>
          <t>쇼핑백</t>
        </is>
      </c>
      <c r="D310" s="39" t="inlineStr">
        <is>
          <t>선물용 쇼핑백</t>
        </is>
      </c>
      <c r="E310" s="39" t="inlineStr">
        <is>
          <t>쇼핑백</t>
        </is>
      </c>
      <c r="F310" s="39" t="n">
        <v>210101</v>
      </c>
      <c r="G310" s="42">
        <f>B310&amp;C310&amp;D310&amp;F310</f>
        <v/>
      </c>
      <c r="H310" s="39">
        <f>VLOOKUP($E310,$E$42:$J$64,4,0)</f>
        <v/>
      </c>
      <c r="I310" s="40">
        <f>VLOOKUP($E310,$E$42:$J$64,5,0)</f>
        <v/>
      </c>
      <c r="J310" s="39" t="n">
        <v>830</v>
      </c>
    </row>
    <row r="311">
      <c r="B311" s="39" t="inlineStr">
        <is>
          <t>유즈 CS</t>
        </is>
      </c>
      <c r="C311" s="39" t="inlineStr">
        <is>
          <t>고체향수</t>
        </is>
      </c>
      <c r="D311" s="39" t="inlineStr">
        <is>
          <t>솔리드퍼퓸 이그나이트 001 30ml_CS</t>
        </is>
      </c>
      <c r="E311" s="39" t="inlineStr">
        <is>
          <t>이그나이트</t>
        </is>
      </c>
      <c r="F311" s="39" t="n">
        <v>210101</v>
      </c>
      <c r="G311" s="42">
        <f>B311&amp;C311&amp;D311&amp;F311</f>
        <v/>
      </c>
      <c r="H311" s="39" t="n">
        <v>0</v>
      </c>
      <c r="I311" s="40" t="n">
        <v>0</v>
      </c>
      <c r="J311" s="39" t="n">
        <v>2753</v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9" sqref="A1:A9"/>
    </sheetView>
  </sheetViews>
  <sheetFormatPr baseColWidth="8" defaultRowHeight="16.5"/>
  <sheetData>
    <row r="1">
      <c r="A1" s="39" t="inlineStr">
        <is>
          <t>유즈 스테이포에버 솔리드퍼퓸 002 (10차 재입고 완료제품선택=스테이포에버 1개</t>
        </is>
      </c>
    </row>
    <row r="2">
      <c r="A2" s="39" t="inlineStr">
        <is>
          <t>유즈 스테이포에버 솔리드퍼퓸 002 (10차 재입고 완료제품선택=best</t>
        </is>
      </c>
    </row>
    <row r="3">
      <c r="A3" s="39" t="inlineStr">
        <is>
          <t>유즈 스테이포에버 솔리드퍼퓸 002 (10차 재입고 완료쇼핑백=선물용 쇼핑백</t>
        </is>
      </c>
    </row>
    <row r="4">
      <c r="A4" s="39" t="inlineStr">
        <is>
          <t>유즈 스테이포에버 솔리드퍼퓸 002 (10차 재입고 완료)제품선택=best스테이포에버 2개[28% 할인]</t>
        </is>
      </c>
    </row>
    <row r="5">
      <c r="A5" s="39" t="inlineStr">
        <is>
          <t>유즈 스테이포에버 솔리드퍼퓸 002 (10차 재입고 완료)제품선택=커플추천스테이포에버 + 이그나이트 세트</t>
        </is>
      </c>
    </row>
    <row r="6">
      <c r="A6" s="39" t="inlineStr">
        <is>
          <t>유즈 스테이포에버 솔리드퍼퓸 002 (10차 재입고 완료)쇼핑백=선물용 쇼핑백</t>
        </is>
      </c>
    </row>
    <row r="7">
      <c r="A7" s="39" t="inlineStr">
        <is>
          <t>유즈 이그나이트 솔리드퍼퓸 001쇼핑백=선물용 쇼핑백</t>
        </is>
      </c>
    </row>
    <row r="8">
      <c r="A8" s="39" t="inlineStr">
        <is>
          <t>SHOPPING BAG</t>
        </is>
      </c>
    </row>
    <row r="9">
      <c r="A9" s="39" t="inlineStr">
        <is>
          <t>유즈 솔리드퍼퓸 - 30ml (10차 재입고 완료 )향=이그나이트 001 SOLID PERFUME, 세트 선택=best 2개 (28% 할인)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tf</dc:creator>
  <dcterms:created xmlns:dcterms="http://purl.org/dc/terms/" xmlns:xsi="http://www.w3.org/2001/XMLSchema-instance" xsi:type="dcterms:W3CDTF">2019-08-29T01:30:10Z</dcterms:created>
  <dcterms:modified xmlns:dcterms="http://purl.org/dc/terms/" xmlns:xsi="http://www.w3.org/2001/XMLSchema-instance" xsi:type="dcterms:W3CDTF">2021-02-14T17:16:13Z</dcterms:modified>
  <cp:lastModifiedBy>hy.kim@thefounders1.onmicrosoft.com</cp:lastModifiedBy>
</cp:coreProperties>
</file>