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founders1-my.sharepoint.com/personal/sh_yi_thefounders1_onmicrosoft_com/Documents/더파운더즈(전체)/13_오퍼레이션/01_판매실적/"/>
    </mc:Choice>
  </mc:AlternateContent>
  <xr:revisionPtr revIDLastSave="1880" documentId="114_{09B951C0-EF53-4883-8902-0604EF7D59B8}" xr6:coauthVersionLast="46" xr6:coauthVersionMax="46" xr10:uidLastSave="{9FEDCD80-7580-4672-9FEB-C64EAEC7EF9F}"/>
  <bookViews>
    <workbookView xWindow="-150" yWindow="16080" windowWidth="27990" windowHeight="16440" tabRatio="699" activeTab="1" xr2:uid="{AADD59EA-550D-4BCA-882F-975007250B4A}"/>
  </bookViews>
  <sheets>
    <sheet name="Sheet1" sheetId="5" r:id="rId1"/>
    <sheet name="광고비" sheetId="7" r:id="rId2"/>
    <sheet name="제품별 매출" sheetId="6" r:id="rId3"/>
    <sheet name="RD" sheetId="1" r:id="rId4"/>
    <sheet name="매칭테이블" sheetId="3" r:id="rId5"/>
    <sheet name="피벗" sheetId="4" r:id="rId6"/>
  </sheets>
  <definedNames>
    <definedName name="_xlnm._FilterDatabase" localSheetId="3" hidden="1">RD!$B$1:$P$37</definedName>
    <definedName name="_xlnm._FilterDatabase" localSheetId="4" hidden="1">매칭테이블!$B$1:$J$71</definedName>
  </definedNames>
  <calcPr calcId="191028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5" i="1" l="1"/>
  <c r="I906" i="1"/>
  <c r="I907" i="1"/>
  <c r="I908" i="1"/>
  <c r="I909" i="1"/>
  <c r="I910" i="1"/>
  <c r="I911" i="1"/>
  <c r="I912" i="1"/>
  <c r="I913" i="1"/>
  <c r="C905" i="1"/>
  <c r="E905" i="1"/>
  <c r="P905" i="1" s="1"/>
  <c r="C906" i="1"/>
  <c r="E906" i="1"/>
  <c r="P906" i="1" s="1"/>
  <c r="N906" i="1" s="1"/>
  <c r="C907" i="1"/>
  <c r="E907" i="1"/>
  <c r="P907" i="1" s="1"/>
  <c r="C908" i="1"/>
  <c r="E908" i="1"/>
  <c r="P908" i="1" s="1"/>
  <c r="L908" i="1" s="1"/>
  <c r="C909" i="1"/>
  <c r="E909" i="1"/>
  <c r="P909" i="1" s="1"/>
  <c r="C910" i="1"/>
  <c r="E910" i="1"/>
  <c r="P910" i="1" s="1"/>
  <c r="L910" i="1" s="1"/>
  <c r="C911" i="1"/>
  <c r="E911" i="1"/>
  <c r="P911" i="1" s="1"/>
  <c r="C912" i="1"/>
  <c r="E912" i="1"/>
  <c r="P912" i="1" s="1"/>
  <c r="L912" i="1" s="1"/>
  <c r="C913" i="1"/>
  <c r="E913" i="1"/>
  <c r="P913" i="1" s="1"/>
  <c r="I904" i="1"/>
  <c r="E904" i="1"/>
  <c r="P904" i="1" s="1"/>
  <c r="C904" i="1"/>
  <c r="K172" i="1"/>
  <c r="I897" i="1"/>
  <c r="I898" i="1"/>
  <c r="I899" i="1"/>
  <c r="I900" i="1"/>
  <c r="I901" i="1"/>
  <c r="I902" i="1"/>
  <c r="I903" i="1"/>
  <c r="C897" i="1"/>
  <c r="E897" i="1"/>
  <c r="P897" i="1" s="1"/>
  <c r="C898" i="1"/>
  <c r="E898" i="1"/>
  <c r="P898" i="1" s="1"/>
  <c r="N898" i="1" s="1"/>
  <c r="C899" i="1"/>
  <c r="E899" i="1"/>
  <c r="P899" i="1" s="1"/>
  <c r="C900" i="1"/>
  <c r="E900" i="1"/>
  <c r="P900" i="1" s="1"/>
  <c r="L900" i="1" s="1"/>
  <c r="C901" i="1"/>
  <c r="E901" i="1"/>
  <c r="P901" i="1" s="1"/>
  <c r="C902" i="1"/>
  <c r="E902" i="1"/>
  <c r="P902" i="1" s="1"/>
  <c r="L902" i="1" s="1"/>
  <c r="C903" i="1"/>
  <c r="E903" i="1"/>
  <c r="P903" i="1" s="1"/>
  <c r="C896" i="1"/>
  <c r="G71" i="3"/>
  <c r="I887" i="1"/>
  <c r="I888" i="1"/>
  <c r="I889" i="1"/>
  <c r="I890" i="1"/>
  <c r="I891" i="1"/>
  <c r="I892" i="1"/>
  <c r="I893" i="1"/>
  <c r="I894" i="1"/>
  <c r="I895" i="1"/>
  <c r="C887" i="1"/>
  <c r="E887" i="1"/>
  <c r="P887" i="1" s="1"/>
  <c r="C888" i="1"/>
  <c r="E888" i="1"/>
  <c r="P888" i="1" s="1"/>
  <c r="C889" i="1"/>
  <c r="E889" i="1"/>
  <c r="P889" i="1" s="1"/>
  <c r="C890" i="1"/>
  <c r="E890" i="1"/>
  <c r="P890" i="1" s="1"/>
  <c r="C891" i="1"/>
  <c r="E891" i="1"/>
  <c r="P891" i="1" s="1"/>
  <c r="C892" i="1"/>
  <c r="E892" i="1"/>
  <c r="P892" i="1" s="1"/>
  <c r="C893" i="1"/>
  <c r="E893" i="1"/>
  <c r="P893" i="1" s="1"/>
  <c r="C894" i="1"/>
  <c r="E894" i="1"/>
  <c r="P894" i="1" s="1"/>
  <c r="C895" i="1"/>
  <c r="E895" i="1"/>
  <c r="P895" i="1" s="1"/>
  <c r="I886" i="1"/>
  <c r="E886" i="1"/>
  <c r="P886" i="1" s="1"/>
  <c r="C886" i="1"/>
  <c r="G70" i="3"/>
  <c r="G69" i="3"/>
  <c r="I877" i="1"/>
  <c r="I878" i="1"/>
  <c r="I879" i="1"/>
  <c r="I880" i="1"/>
  <c r="I881" i="1"/>
  <c r="I882" i="1"/>
  <c r="I883" i="1"/>
  <c r="I884" i="1"/>
  <c r="I885" i="1"/>
  <c r="C877" i="1"/>
  <c r="E877" i="1"/>
  <c r="P877" i="1" s="1"/>
  <c r="C878" i="1"/>
  <c r="E878" i="1"/>
  <c r="P878" i="1" s="1"/>
  <c r="C879" i="1"/>
  <c r="E879" i="1"/>
  <c r="P879" i="1" s="1"/>
  <c r="C880" i="1"/>
  <c r="E880" i="1"/>
  <c r="P880" i="1" s="1"/>
  <c r="C881" i="1"/>
  <c r="E881" i="1"/>
  <c r="P881" i="1" s="1"/>
  <c r="C882" i="1"/>
  <c r="E882" i="1"/>
  <c r="P882" i="1" s="1"/>
  <c r="C883" i="1"/>
  <c r="E883" i="1"/>
  <c r="P883" i="1" s="1"/>
  <c r="C884" i="1"/>
  <c r="E884" i="1"/>
  <c r="P884" i="1" s="1"/>
  <c r="C885" i="1"/>
  <c r="E885" i="1"/>
  <c r="P885" i="1" s="1"/>
  <c r="I876" i="1"/>
  <c r="E876" i="1"/>
  <c r="P876" i="1" s="1"/>
  <c r="C876" i="1"/>
  <c r="K168" i="1"/>
  <c r="K164" i="1"/>
  <c r="K155" i="1"/>
  <c r="K154" i="1"/>
  <c r="K159" i="1"/>
  <c r="K160" i="1"/>
  <c r="G68" i="3"/>
  <c r="I867" i="1"/>
  <c r="I868" i="1"/>
  <c r="I869" i="1"/>
  <c r="I870" i="1"/>
  <c r="I871" i="1"/>
  <c r="I872" i="1"/>
  <c r="I873" i="1"/>
  <c r="I874" i="1"/>
  <c r="I875" i="1"/>
  <c r="I866" i="1"/>
  <c r="C867" i="1"/>
  <c r="E867" i="1"/>
  <c r="P867" i="1" s="1"/>
  <c r="C868" i="1"/>
  <c r="E868" i="1"/>
  <c r="P868" i="1" s="1"/>
  <c r="C869" i="1"/>
  <c r="E869" i="1"/>
  <c r="P869" i="1" s="1"/>
  <c r="C870" i="1"/>
  <c r="E870" i="1"/>
  <c r="P870" i="1" s="1"/>
  <c r="C871" i="1"/>
  <c r="E871" i="1"/>
  <c r="P871" i="1" s="1"/>
  <c r="C872" i="1"/>
  <c r="E872" i="1"/>
  <c r="P872" i="1" s="1"/>
  <c r="C873" i="1"/>
  <c r="E873" i="1"/>
  <c r="P873" i="1" s="1"/>
  <c r="C874" i="1"/>
  <c r="E874" i="1"/>
  <c r="P874" i="1" s="1"/>
  <c r="C875" i="1"/>
  <c r="E875" i="1"/>
  <c r="P875" i="1" s="1"/>
  <c r="E866" i="1"/>
  <c r="P866" i="1" s="1"/>
  <c r="C866" i="1"/>
  <c r="C858" i="1"/>
  <c r="E858" i="1"/>
  <c r="C859" i="1"/>
  <c r="E859" i="1"/>
  <c r="P859" i="1" s="1"/>
  <c r="C860" i="1"/>
  <c r="E860" i="1"/>
  <c r="P860" i="1" s="1"/>
  <c r="C861" i="1"/>
  <c r="E861" i="1"/>
  <c r="P861" i="1" s="1"/>
  <c r="C862" i="1"/>
  <c r="E862" i="1"/>
  <c r="P862" i="1" s="1"/>
  <c r="C863" i="1"/>
  <c r="E863" i="1"/>
  <c r="P863" i="1" s="1"/>
  <c r="C864" i="1"/>
  <c r="E864" i="1"/>
  <c r="P864" i="1" s="1"/>
  <c r="C865" i="1"/>
  <c r="E865" i="1"/>
  <c r="P865" i="1" s="1"/>
  <c r="I858" i="1"/>
  <c r="P858" i="1"/>
  <c r="I859" i="1"/>
  <c r="I860" i="1"/>
  <c r="I861" i="1"/>
  <c r="I862" i="1"/>
  <c r="I863" i="1"/>
  <c r="I864" i="1"/>
  <c r="I865" i="1"/>
  <c r="I857" i="1"/>
  <c r="E857" i="1"/>
  <c r="P857" i="1" s="1"/>
  <c r="C857" i="1"/>
  <c r="K149" i="1"/>
  <c r="G67" i="3"/>
  <c r="I849" i="1"/>
  <c r="I850" i="1"/>
  <c r="I851" i="1"/>
  <c r="I852" i="1"/>
  <c r="I853" i="1"/>
  <c r="I854" i="1"/>
  <c r="I855" i="1"/>
  <c r="I856" i="1"/>
  <c r="I848" i="1"/>
  <c r="C849" i="1"/>
  <c r="E849" i="1"/>
  <c r="P849" i="1" s="1"/>
  <c r="C850" i="1"/>
  <c r="E850" i="1"/>
  <c r="P850" i="1" s="1"/>
  <c r="C851" i="1"/>
  <c r="E851" i="1"/>
  <c r="P851" i="1" s="1"/>
  <c r="C852" i="1"/>
  <c r="E852" i="1"/>
  <c r="P852" i="1" s="1"/>
  <c r="C853" i="1"/>
  <c r="E853" i="1"/>
  <c r="P853" i="1" s="1"/>
  <c r="C854" i="1"/>
  <c r="E854" i="1"/>
  <c r="P854" i="1" s="1"/>
  <c r="C855" i="1"/>
  <c r="E855" i="1"/>
  <c r="P855" i="1" s="1"/>
  <c r="C856" i="1"/>
  <c r="E856" i="1"/>
  <c r="P856" i="1" s="1"/>
  <c r="E848" i="1"/>
  <c r="P848" i="1" s="1"/>
  <c r="C848" i="1"/>
  <c r="K144" i="1"/>
  <c r="G57" i="3"/>
  <c r="G58" i="3"/>
  <c r="G59" i="3"/>
  <c r="G60" i="3"/>
  <c r="G61" i="3"/>
  <c r="G62" i="3"/>
  <c r="G63" i="3"/>
  <c r="G64" i="3"/>
  <c r="G65" i="3"/>
  <c r="G66" i="3"/>
  <c r="G56" i="3"/>
  <c r="I838" i="1"/>
  <c r="I839" i="1"/>
  <c r="I840" i="1"/>
  <c r="I841" i="1"/>
  <c r="I842" i="1"/>
  <c r="I843" i="1"/>
  <c r="I844" i="1"/>
  <c r="I845" i="1"/>
  <c r="I846" i="1"/>
  <c r="I847" i="1"/>
  <c r="C838" i="1"/>
  <c r="E838" i="1"/>
  <c r="P838" i="1" s="1"/>
  <c r="C839" i="1"/>
  <c r="E839" i="1"/>
  <c r="P839" i="1" s="1"/>
  <c r="C840" i="1"/>
  <c r="E840" i="1"/>
  <c r="P840" i="1" s="1"/>
  <c r="C841" i="1"/>
  <c r="E841" i="1"/>
  <c r="P841" i="1" s="1"/>
  <c r="C842" i="1"/>
  <c r="E842" i="1"/>
  <c r="P842" i="1" s="1"/>
  <c r="C843" i="1"/>
  <c r="E843" i="1"/>
  <c r="P843" i="1" s="1"/>
  <c r="C844" i="1"/>
  <c r="E844" i="1"/>
  <c r="P844" i="1" s="1"/>
  <c r="C845" i="1"/>
  <c r="E845" i="1"/>
  <c r="P845" i="1" s="1"/>
  <c r="C846" i="1"/>
  <c r="E846" i="1"/>
  <c r="P846" i="1" s="1"/>
  <c r="C847" i="1"/>
  <c r="E847" i="1"/>
  <c r="P847" i="1" s="1"/>
  <c r="I837" i="1"/>
  <c r="E837" i="1"/>
  <c r="P837" i="1" s="1"/>
  <c r="C837" i="1"/>
  <c r="K139" i="1"/>
  <c r="K132" i="1"/>
  <c r="K125" i="1"/>
  <c r="K103" i="1"/>
  <c r="K109" i="1"/>
  <c r="K115" i="1"/>
  <c r="K122" i="1"/>
  <c r="K118" i="1"/>
  <c r="I829" i="1"/>
  <c r="I830" i="1"/>
  <c r="I831" i="1"/>
  <c r="I832" i="1"/>
  <c r="I833" i="1"/>
  <c r="I834" i="1"/>
  <c r="I835" i="1"/>
  <c r="I836" i="1"/>
  <c r="C829" i="1"/>
  <c r="E829" i="1"/>
  <c r="P829" i="1" s="1"/>
  <c r="C830" i="1"/>
  <c r="E830" i="1"/>
  <c r="P830" i="1" s="1"/>
  <c r="C831" i="1"/>
  <c r="E831" i="1"/>
  <c r="P831" i="1" s="1"/>
  <c r="C832" i="1"/>
  <c r="E832" i="1"/>
  <c r="P832" i="1" s="1"/>
  <c r="C833" i="1"/>
  <c r="E833" i="1"/>
  <c r="P833" i="1" s="1"/>
  <c r="C834" i="1"/>
  <c r="E834" i="1"/>
  <c r="P834" i="1" s="1"/>
  <c r="C835" i="1"/>
  <c r="E835" i="1"/>
  <c r="P835" i="1" s="1"/>
  <c r="C836" i="1"/>
  <c r="E836" i="1"/>
  <c r="P836" i="1" s="1"/>
  <c r="I828" i="1"/>
  <c r="E828" i="1"/>
  <c r="P828" i="1" s="1"/>
  <c r="C828" i="1"/>
  <c r="I822" i="1"/>
  <c r="I823" i="1"/>
  <c r="I824" i="1"/>
  <c r="I825" i="1"/>
  <c r="I826" i="1"/>
  <c r="I827" i="1"/>
  <c r="I821" i="1"/>
  <c r="C822" i="1"/>
  <c r="E822" i="1"/>
  <c r="P822" i="1" s="1"/>
  <c r="C823" i="1"/>
  <c r="E823" i="1"/>
  <c r="P823" i="1" s="1"/>
  <c r="C824" i="1"/>
  <c r="E824" i="1"/>
  <c r="P824" i="1" s="1"/>
  <c r="C825" i="1"/>
  <c r="E825" i="1"/>
  <c r="P825" i="1" s="1"/>
  <c r="C826" i="1"/>
  <c r="E826" i="1"/>
  <c r="P826" i="1" s="1"/>
  <c r="C827" i="1"/>
  <c r="E827" i="1"/>
  <c r="P827" i="1" s="1"/>
  <c r="E821" i="1"/>
  <c r="P821" i="1" s="1"/>
  <c r="C821" i="1"/>
  <c r="G55" i="3"/>
  <c r="G54" i="3"/>
  <c r="G53" i="3"/>
  <c r="C802" i="1"/>
  <c r="E802" i="1"/>
  <c r="P802" i="1" s="1"/>
  <c r="C803" i="1"/>
  <c r="E803" i="1"/>
  <c r="P803" i="1" s="1"/>
  <c r="C804" i="1"/>
  <c r="E804" i="1"/>
  <c r="C805" i="1"/>
  <c r="E805" i="1"/>
  <c r="P805" i="1" s="1"/>
  <c r="C806" i="1"/>
  <c r="E806" i="1"/>
  <c r="P806" i="1" s="1"/>
  <c r="C807" i="1"/>
  <c r="E807" i="1"/>
  <c r="P807" i="1" s="1"/>
  <c r="C808" i="1"/>
  <c r="E808" i="1"/>
  <c r="P808" i="1" s="1"/>
  <c r="C809" i="1"/>
  <c r="E809" i="1"/>
  <c r="P809" i="1" s="1"/>
  <c r="C810" i="1"/>
  <c r="E810" i="1"/>
  <c r="P810" i="1" s="1"/>
  <c r="C811" i="1"/>
  <c r="E811" i="1"/>
  <c r="P811" i="1" s="1"/>
  <c r="C812" i="1"/>
  <c r="E812" i="1"/>
  <c r="P812" i="1" s="1"/>
  <c r="C813" i="1"/>
  <c r="E813" i="1"/>
  <c r="P813" i="1" s="1"/>
  <c r="C814" i="1"/>
  <c r="E814" i="1"/>
  <c r="P814" i="1" s="1"/>
  <c r="C815" i="1"/>
  <c r="E815" i="1"/>
  <c r="P815" i="1" s="1"/>
  <c r="C816" i="1"/>
  <c r="E816" i="1"/>
  <c r="P816" i="1" s="1"/>
  <c r="C817" i="1"/>
  <c r="E817" i="1"/>
  <c r="P817" i="1" s="1"/>
  <c r="C818" i="1"/>
  <c r="E818" i="1"/>
  <c r="P818" i="1" s="1"/>
  <c r="C819" i="1"/>
  <c r="E819" i="1"/>
  <c r="P819" i="1" s="1"/>
  <c r="C820" i="1"/>
  <c r="E820" i="1"/>
  <c r="P820" i="1" s="1"/>
  <c r="I802" i="1"/>
  <c r="I803" i="1"/>
  <c r="I804" i="1"/>
  <c r="P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01" i="1"/>
  <c r="E801" i="1"/>
  <c r="P801" i="1" s="1"/>
  <c r="C801" i="1"/>
  <c r="C790" i="1"/>
  <c r="E790" i="1"/>
  <c r="P790" i="1" s="1"/>
  <c r="C791" i="1"/>
  <c r="E791" i="1"/>
  <c r="P791" i="1" s="1"/>
  <c r="C792" i="1"/>
  <c r="E792" i="1"/>
  <c r="P792" i="1" s="1"/>
  <c r="C793" i="1"/>
  <c r="E793" i="1"/>
  <c r="P793" i="1" s="1"/>
  <c r="C794" i="1"/>
  <c r="E794" i="1"/>
  <c r="P794" i="1" s="1"/>
  <c r="C795" i="1"/>
  <c r="E795" i="1"/>
  <c r="P795" i="1" s="1"/>
  <c r="C796" i="1"/>
  <c r="E796" i="1"/>
  <c r="P796" i="1" s="1"/>
  <c r="C797" i="1"/>
  <c r="E797" i="1"/>
  <c r="P797" i="1" s="1"/>
  <c r="C798" i="1"/>
  <c r="E798" i="1"/>
  <c r="P798" i="1" s="1"/>
  <c r="C799" i="1"/>
  <c r="E799" i="1"/>
  <c r="P799" i="1" s="1"/>
  <c r="C800" i="1"/>
  <c r="E800" i="1"/>
  <c r="P800" i="1" s="1"/>
  <c r="I790" i="1"/>
  <c r="I791" i="1"/>
  <c r="I792" i="1"/>
  <c r="I793" i="1"/>
  <c r="I794" i="1"/>
  <c r="I795" i="1"/>
  <c r="I796" i="1"/>
  <c r="I797" i="1"/>
  <c r="I798" i="1"/>
  <c r="I799" i="1"/>
  <c r="I800" i="1"/>
  <c r="I789" i="1"/>
  <c r="E789" i="1"/>
  <c r="P789" i="1" s="1"/>
  <c r="C789" i="1"/>
  <c r="K105" i="1"/>
  <c r="C778" i="1"/>
  <c r="C779" i="1"/>
  <c r="C780" i="1"/>
  <c r="C781" i="1"/>
  <c r="C782" i="1"/>
  <c r="C783" i="1"/>
  <c r="C784" i="1"/>
  <c r="C785" i="1"/>
  <c r="C786" i="1"/>
  <c r="C787" i="1"/>
  <c r="C788" i="1"/>
  <c r="I778" i="1"/>
  <c r="I779" i="1"/>
  <c r="I780" i="1"/>
  <c r="I781" i="1"/>
  <c r="I782" i="1"/>
  <c r="I783" i="1"/>
  <c r="I784" i="1"/>
  <c r="I785" i="1"/>
  <c r="I786" i="1"/>
  <c r="I787" i="1"/>
  <c r="I788" i="1"/>
  <c r="I777" i="1"/>
  <c r="E778" i="1"/>
  <c r="P778" i="1" s="1"/>
  <c r="E779" i="1"/>
  <c r="P779" i="1" s="1"/>
  <c r="E780" i="1"/>
  <c r="P780" i="1" s="1"/>
  <c r="E781" i="1"/>
  <c r="P781" i="1" s="1"/>
  <c r="E782" i="1"/>
  <c r="P782" i="1" s="1"/>
  <c r="E783" i="1"/>
  <c r="P783" i="1" s="1"/>
  <c r="E784" i="1"/>
  <c r="P784" i="1" s="1"/>
  <c r="E785" i="1"/>
  <c r="P785" i="1" s="1"/>
  <c r="E786" i="1"/>
  <c r="P786" i="1" s="1"/>
  <c r="E787" i="1"/>
  <c r="P787" i="1" s="1"/>
  <c r="E788" i="1"/>
  <c r="P788" i="1" s="1"/>
  <c r="E777" i="1"/>
  <c r="P777" i="1" s="1"/>
  <c r="C777" i="1"/>
  <c r="C761" i="1"/>
  <c r="E761" i="1"/>
  <c r="C762" i="1"/>
  <c r="E762" i="1"/>
  <c r="P762" i="1" s="1"/>
  <c r="C763" i="1"/>
  <c r="E763" i="1"/>
  <c r="P763" i="1" s="1"/>
  <c r="C764" i="1"/>
  <c r="E764" i="1"/>
  <c r="P764" i="1" s="1"/>
  <c r="C765" i="1"/>
  <c r="E765" i="1"/>
  <c r="P765" i="1" s="1"/>
  <c r="C766" i="1"/>
  <c r="E766" i="1"/>
  <c r="P766" i="1" s="1"/>
  <c r="C767" i="1"/>
  <c r="E767" i="1"/>
  <c r="P767" i="1" s="1"/>
  <c r="C768" i="1"/>
  <c r="E768" i="1"/>
  <c r="P768" i="1" s="1"/>
  <c r="C769" i="1"/>
  <c r="E769" i="1"/>
  <c r="P769" i="1" s="1"/>
  <c r="C770" i="1"/>
  <c r="E770" i="1"/>
  <c r="P770" i="1" s="1"/>
  <c r="C771" i="1"/>
  <c r="E771" i="1"/>
  <c r="P771" i="1" s="1"/>
  <c r="C772" i="1"/>
  <c r="E772" i="1"/>
  <c r="P772" i="1" s="1"/>
  <c r="C773" i="1"/>
  <c r="E773" i="1"/>
  <c r="P773" i="1" s="1"/>
  <c r="C774" i="1"/>
  <c r="E774" i="1"/>
  <c r="P774" i="1" s="1"/>
  <c r="C775" i="1"/>
  <c r="E775" i="1"/>
  <c r="P775" i="1" s="1"/>
  <c r="C776" i="1"/>
  <c r="E776" i="1"/>
  <c r="P776" i="1" s="1"/>
  <c r="I761" i="1"/>
  <c r="P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60" i="1"/>
  <c r="E760" i="1"/>
  <c r="P760" i="1" s="1"/>
  <c r="C760" i="1"/>
  <c r="L913" i="1" l="1"/>
  <c r="N913" i="1"/>
  <c r="L911" i="1"/>
  <c r="N911" i="1"/>
  <c r="L909" i="1"/>
  <c r="N909" i="1"/>
  <c r="L907" i="1"/>
  <c r="N907" i="1"/>
  <c r="L905" i="1"/>
  <c r="N905" i="1"/>
  <c r="M912" i="1"/>
  <c r="O912" i="1"/>
  <c r="O905" i="1"/>
  <c r="M905" i="1"/>
  <c r="O911" i="1"/>
  <c r="M911" i="1"/>
  <c r="M908" i="1"/>
  <c r="O908" i="1"/>
  <c r="O907" i="1"/>
  <c r="M907" i="1"/>
  <c r="O913" i="1"/>
  <c r="M913" i="1"/>
  <c r="M910" i="1"/>
  <c r="O910" i="1"/>
  <c r="O909" i="1"/>
  <c r="M909" i="1"/>
  <c r="L906" i="1"/>
  <c r="N912" i="1"/>
  <c r="N910" i="1"/>
  <c r="N908" i="1"/>
  <c r="L904" i="1"/>
  <c r="N904" i="1"/>
  <c r="L903" i="1"/>
  <c r="O903" i="1" s="1"/>
  <c r="N903" i="1"/>
  <c r="L901" i="1"/>
  <c r="M901" i="1" s="1"/>
  <c r="N901" i="1"/>
  <c r="L899" i="1"/>
  <c r="M899" i="1" s="1"/>
  <c r="N899" i="1"/>
  <c r="L897" i="1"/>
  <c r="O897" i="1" s="1"/>
  <c r="N897" i="1"/>
  <c r="O899" i="1"/>
  <c r="M902" i="1"/>
  <c r="O902" i="1"/>
  <c r="M903" i="1"/>
  <c r="M900" i="1"/>
  <c r="O900" i="1"/>
  <c r="L898" i="1"/>
  <c r="N902" i="1"/>
  <c r="N900" i="1"/>
  <c r="K99" i="1"/>
  <c r="C752" i="1"/>
  <c r="E752" i="1"/>
  <c r="C753" i="1"/>
  <c r="E753" i="1"/>
  <c r="P753" i="1" s="1"/>
  <c r="C754" i="1"/>
  <c r="E754" i="1"/>
  <c r="P754" i="1" s="1"/>
  <c r="C755" i="1"/>
  <c r="E755" i="1"/>
  <c r="P755" i="1" s="1"/>
  <c r="C756" i="1"/>
  <c r="E756" i="1"/>
  <c r="P756" i="1" s="1"/>
  <c r="C757" i="1"/>
  <c r="E757" i="1"/>
  <c r="P757" i="1" s="1"/>
  <c r="C758" i="1"/>
  <c r="E758" i="1"/>
  <c r="P758" i="1" s="1"/>
  <c r="C759" i="1"/>
  <c r="E759" i="1"/>
  <c r="P759" i="1" s="1"/>
  <c r="I752" i="1"/>
  <c r="P752" i="1"/>
  <c r="I753" i="1"/>
  <c r="I754" i="1"/>
  <c r="I755" i="1"/>
  <c r="I756" i="1"/>
  <c r="I757" i="1"/>
  <c r="I758" i="1"/>
  <c r="I759" i="1"/>
  <c r="I751" i="1"/>
  <c r="E751" i="1"/>
  <c r="P751" i="1" s="1"/>
  <c r="C751" i="1"/>
  <c r="K95" i="1"/>
  <c r="I28" i="6"/>
  <c r="I29" i="6"/>
  <c r="I30" i="6"/>
  <c r="I31" i="6"/>
  <c r="I743" i="1"/>
  <c r="I744" i="1"/>
  <c r="I745" i="1"/>
  <c r="I746" i="1"/>
  <c r="I747" i="1"/>
  <c r="I748" i="1"/>
  <c r="I749" i="1"/>
  <c r="I750" i="1"/>
  <c r="C743" i="1"/>
  <c r="E743" i="1"/>
  <c r="P743" i="1" s="1"/>
  <c r="C744" i="1"/>
  <c r="E744" i="1"/>
  <c r="P744" i="1" s="1"/>
  <c r="C745" i="1"/>
  <c r="E745" i="1"/>
  <c r="P745" i="1" s="1"/>
  <c r="C746" i="1"/>
  <c r="E746" i="1"/>
  <c r="P746" i="1" s="1"/>
  <c r="C747" i="1"/>
  <c r="E747" i="1"/>
  <c r="P747" i="1" s="1"/>
  <c r="C748" i="1"/>
  <c r="E748" i="1"/>
  <c r="P748" i="1" s="1"/>
  <c r="C749" i="1"/>
  <c r="E749" i="1"/>
  <c r="P749" i="1" s="1"/>
  <c r="C750" i="1"/>
  <c r="E750" i="1"/>
  <c r="P750" i="1" s="1"/>
  <c r="I742" i="1"/>
  <c r="E742" i="1"/>
  <c r="P742" i="1" s="1"/>
  <c r="C742" i="1"/>
  <c r="C735" i="1"/>
  <c r="E735" i="1"/>
  <c r="P735" i="1" s="1"/>
  <c r="C736" i="1"/>
  <c r="E736" i="1"/>
  <c r="P736" i="1" s="1"/>
  <c r="C737" i="1"/>
  <c r="E737" i="1"/>
  <c r="P737" i="1" s="1"/>
  <c r="C738" i="1"/>
  <c r="E738" i="1"/>
  <c r="P738" i="1" s="1"/>
  <c r="C739" i="1"/>
  <c r="E739" i="1"/>
  <c r="P739" i="1" s="1"/>
  <c r="C740" i="1"/>
  <c r="E740" i="1"/>
  <c r="P740" i="1" s="1"/>
  <c r="C741" i="1"/>
  <c r="E741" i="1"/>
  <c r="P741" i="1" s="1"/>
  <c r="I735" i="1"/>
  <c r="I736" i="1"/>
  <c r="I737" i="1"/>
  <c r="I738" i="1"/>
  <c r="I739" i="1"/>
  <c r="I740" i="1"/>
  <c r="I741" i="1"/>
  <c r="I734" i="1"/>
  <c r="E734" i="1"/>
  <c r="P734" i="1" s="1"/>
  <c r="C734" i="1"/>
  <c r="C725" i="1"/>
  <c r="E725" i="1"/>
  <c r="P725" i="1" s="1"/>
  <c r="C726" i="1"/>
  <c r="E726" i="1"/>
  <c r="P726" i="1" s="1"/>
  <c r="C727" i="1"/>
  <c r="E727" i="1"/>
  <c r="C728" i="1"/>
  <c r="E728" i="1"/>
  <c r="P728" i="1" s="1"/>
  <c r="C729" i="1"/>
  <c r="E729" i="1"/>
  <c r="P729" i="1" s="1"/>
  <c r="C730" i="1"/>
  <c r="E730" i="1"/>
  <c r="P730" i="1" s="1"/>
  <c r="C731" i="1"/>
  <c r="E731" i="1"/>
  <c r="P731" i="1" s="1"/>
  <c r="C732" i="1"/>
  <c r="E732" i="1"/>
  <c r="P732" i="1" s="1"/>
  <c r="C733" i="1"/>
  <c r="E733" i="1"/>
  <c r="P733" i="1" s="1"/>
  <c r="I725" i="1"/>
  <c r="I726" i="1"/>
  <c r="I727" i="1"/>
  <c r="P727" i="1"/>
  <c r="I728" i="1"/>
  <c r="I729" i="1"/>
  <c r="I730" i="1"/>
  <c r="I731" i="1"/>
  <c r="I732" i="1"/>
  <c r="I733" i="1"/>
  <c r="I724" i="1"/>
  <c r="E724" i="1"/>
  <c r="P724" i="1" s="1"/>
  <c r="C724" i="1"/>
  <c r="K91" i="1"/>
  <c r="K87" i="1"/>
  <c r="K83" i="1"/>
  <c r="C713" i="1"/>
  <c r="E713" i="1"/>
  <c r="P713" i="1" s="1"/>
  <c r="C714" i="1"/>
  <c r="E714" i="1"/>
  <c r="P714" i="1" s="1"/>
  <c r="C715" i="1"/>
  <c r="E715" i="1"/>
  <c r="P715" i="1" s="1"/>
  <c r="C716" i="1"/>
  <c r="E716" i="1"/>
  <c r="P716" i="1" s="1"/>
  <c r="C717" i="1"/>
  <c r="E717" i="1"/>
  <c r="P717" i="1" s="1"/>
  <c r="C718" i="1"/>
  <c r="E718" i="1"/>
  <c r="P718" i="1" s="1"/>
  <c r="C719" i="1"/>
  <c r="E719" i="1"/>
  <c r="P719" i="1" s="1"/>
  <c r="C720" i="1"/>
  <c r="E720" i="1"/>
  <c r="P720" i="1" s="1"/>
  <c r="C721" i="1"/>
  <c r="E721" i="1"/>
  <c r="P721" i="1" s="1"/>
  <c r="C722" i="1"/>
  <c r="E722" i="1"/>
  <c r="P722" i="1" s="1"/>
  <c r="C723" i="1"/>
  <c r="E723" i="1"/>
  <c r="P723" i="1" s="1"/>
  <c r="I713" i="1"/>
  <c r="I714" i="1"/>
  <c r="I715" i="1"/>
  <c r="I716" i="1"/>
  <c r="I717" i="1"/>
  <c r="I718" i="1"/>
  <c r="I719" i="1"/>
  <c r="I720" i="1"/>
  <c r="I721" i="1"/>
  <c r="I722" i="1"/>
  <c r="I723" i="1"/>
  <c r="I712" i="1"/>
  <c r="E712" i="1"/>
  <c r="P712" i="1" s="1"/>
  <c r="C712" i="1"/>
  <c r="K79" i="1"/>
  <c r="I27" i="6"/>
  <c r="C702" i="1"/>
  <c r="E702" i="1"/>
  <c r="C703" i="1"/>
  <c r="E703" i="1"/>
  <c r="P703" i="1" s="1"/>
  <c r="C704" i="1"/>
  <c r="E704" i="1"/>
  <c r="P704" i="1" s="1"/>
  <c r="C705" i="1"/>
  <c r="E705" i="1"/>
  <c r="P705" i="1" s="1"/>
  <c r="C706" i="1"/>
  <c r="E706" i="1"/>
  <c r="P706" i="1" s="1"/>
  <c r="C707" i="1"/>
  <c r="E707" i="1"/>
  <c r="P707" i="1" s="1"/>
  <c r="C708" i="1"/>
  <c r="E708" i="1"/>
  <c r="P708" i="1" s="1"/>
  <c r="C709" i="1"/>
  <c r="E709" i="1"/>
  <c r="P709" i="1" s="1"/>
  <c r="C710" i="1"/>
  <c r="E710" i="1"/>
  <c r="P710" i="1" s="1"/>
  <c r="C711" i="1"/>
  <c r="E711" i="1"/>
  <c r="P711" i="1" s="1"/>
  <c r="I702" i="1"/>
  <c r="P702" i="1"/>
  <c r="I703" i="1"/>
  <c r="I704" i="1"/>
  <c r="I705" i="1"/>
  <c r="I706" i="1"/>
  <c r="I707" i="1"/>
  <c r="I708" i="1"/>
  <c r="I709" i="1"/>
  <c r="I710" i="1"/>
  <c r="I711" i="1"/>
  <c r="I701" i="1"/>
  <c r="E701" i="1"/>
  <c r="P701" i="1" s="1"/>
  <c r="C701" i="1"/>
  <c r="C700" i="1"/>
  <c r="E700" i="1"/>
  <c r="P700" i="1" s="1"/>
  <c r="K75" i="1"/>
  <c r="C693" i="1"/>
  <c r="E693" i="1"/>
  <c r="P693" i="1" s="1"/>
  <c r="C694" i="1"/>
  <c r="E694" i="1"/>
  <c r="P694" i="1" s="1"/>
  <c r="C695" i="1"/>
  <c r="E695" i="1"/>
  <c r="P695" i="1" s="1"/>
  <c r="C696" i="1"/>
  <c r="E696" i="1"/>
  <c r="P696" i="1" s="1"/>
  <c r="C697" i="1"/>
  <c r="E697" i="1"/>
  <c r="P697" i="1" s="1"/>
  <c r="C698" i="1"/>
  <c r="E698" i="1"/>
  <c r="P698" i="1" s="1"/>
  <c r="C699" i="1"/>
  <c r="E699" i="1"/>
  <c r="P699" i="1" s="1"/>
  <c r="I693" i="1"/>
  <c r="I694" i="1"/>
  <c r="I695" i="1"/>
  <c r="I696" i="1"/>
  <c r="I697" i="1"/>
  <c r="I698" i="1"/>
  <c r="I699" i="1"/>
  <c r="I700" i="1"/>
  <c r="I692" i="1"/>
  <c r="E692" i="1"/>
  <c r="P692" i="1" s="1"/>
  <c r="C692" i="1"/>
  <c r="K71" i="1"/>
  <c r="I684" i="1"/>
  <c r="I685" i="1"/>
  <c r="I686" i="1"/>
  <c r="I687" i="1"/>
  <c r="I688" i="1"/>
  <c r="I689" i="1"/>
  <c r="I690" i="1"/>
  <c r="I691" i="1"/>
  <c r="C684" i="1"/>
  <c r="E684" i="1"/>
  <c r="P684" i="1" s="1"/>
  <c r="C685" i="1"/>
  <c r="E685" i="1"/>
  <c r="P685" i="1" s="1"/>
  <c r="C686" i="1"/>
  <c r="E686" i="1"/>
  <c r="P686" i="1" s="1"/>
  <c r="C687" i="1"/>
  <c r="E687" i="1"/>
  <c r="P687" i="1" s="1"/>
  <c r="C688" i="1"/>
  <c r="E688" i="1"/>
  <c r="P688" i="1" s="1"/>
  <c r="C689" i="1"/>
  <c r="E689" i="1"/>
  <c r="P689" i="1" s="1"/>
  <c r="C690" i="1"/>
  <c r="E690" i="1"/>
  <c r="P690" i="1" s="1"/>
  <c r="C691" i="1"/>
  <c r="E691" i="1"/>
  <c r="P691" i="1" s="1"/>
  <c r="I683" i="1"/>
  <c r="E683" i="1"/>
  <c r="P683" i="1" s="1"/>
  <c r="C683" i="1"/>
  <c r="K67" i="1"/>
  <c r="I675" i="1"/>
  <c r="I676" i="1"/>
  <c r="I677" i="1"/>
  <c r="I678" i="1"/>
  <c r="I679" i="1"/>
  <c r="I680" i="1"/>
  <c r="I681" i="1"/>
  <c r="I682" i="1"/>
  <c r="I674" i="1"/>
  <c r="C675" i="1"/>
  <c r="E675" i="1"/>
  <c r="P675" i="1" s="1"/>
  <c r="C676" i="1"/>
  <c r="E676" i="1"/>
  <c r="P676" i="1" s="1"/>
  <c r="C677" i="1"/>
  <c r="E677" i="1"/>
  <c r="P677" i="1" s="1"/>
  <c r="C678" i="1"/>
  <c r="E678" i="1"/>
  <c r="P678" i="1" s="1"/>
  <c r="C679" i="1"/>
  <c r="E679" i="1"/>
  <c r="P679" i="1" s="1"/>
  <c r="C680" i="1"/>
  <c r="E680" i="1"/>
  <c r="P680" i="1" s="1"/>
  <c r="C681" i="1"/>
  <c r="E681" i="1"/>
  <c r="P681" i="1" s="1"/>
  <c r="C682" i="1"/>
  <c r="E682" i="1"/>
  <c r="P682" i="1" s="1"/>
  <c r="E674" i="1"/>
  <c r="P674" i="1" s="1"/>
  <c r="C674" i="1"/>
  <c r="C663" i="1"/>
  <c r="E663" i="1"/>
  <c r="P663" i="1" s="1"/>
  <c r="C664" i="1"/>
  <c r="E664" i="1"/>
  <c r="P664" i="1" s="1"/>
  <c r="C665" i="1"/>
  <c r="E665" i="1"/>
  <c r="P665" i="1" s="1"/>
  <c r="C666" i="1"/>
  <c r="E666" i="1"/>
  <c r="P666" i="1" s="1"/>
  <c r="C667" i="1"/>
  <c r="E667" i="1"/>
  <c r="P667" i="1" s="1"/>
  <c r="C668" i="1"/>
  <c r="E668" i="1"/>
  <c r="P668" i="1" s="1"/>
  <c r="C669" i="1"/>
  <c r="E669" i="1"/>
  <c r="P669" i="1" s="1"/>
  <c r="C670" i="1"/>
  <c r="E670" i="1"/>
  <c r="P670" i="1" s="1"/>
  <c r="C671" i="1"/>
  <c r="E671" i="1"/>
  <c r="P671" i="1" s="1"/>
  <c r="C672" i="1"/>
  <c r="E672" i="1"/>
  <c r="P672" i="1" s="1"/>
  <c r="C673" i="1"/>
  <c r="E673" i="1"/>
  <c r="P673" i="1" s="1"/>
  <c r="I663" i="1"/>
  <c r="I664" i="1"/>
  <c r="I665" i="1"/>
  <c r="I666" i="1"/>
  <c r="I667" i="1"/>
  <c r="I668" i="1"/>
  <c r="I669" i="1"/>
  <c r="I670" i="1"/>
  <c r="I671" i="1"/>
  <c r="I672" i="1"/>
  <c r="I673" i="1"/>
  <c r="I662" i="1"/>
  <c r="E662" i="1"/>
  <c r="P662" i="1" s="1"/>
  <c r="C662" i="1"/>
  <c r="G52" i="3"/>
  <c r="I651" i="1"/>
  <c r="I652" i="1"/>
  <c r="I653" i="1"/>
  <c r="I654" i="1"/>
  <c r="I655" i="1"/>
  <c r="I656" i="1"/>
  <c r="I657" i="1"/>
  <c r="I658" i="1"/>
  <c r="I659" i="1"/>
  <c r="I660" i="1"/>
  <c r="I661" i="1"/>
  <c r="C651" i="1"/>
  <c r="E651" i="1"/>
  <c r="P651" i="1" s="1"/>
  <c r="C652" i="1"/>
  <c r="E652" i="1"/>
  <c r="P652" i="1" s="1"/>
  <c r="C653" i="1"/>
  <c r="E653" i="1"/>
  <c r="P653" i="1" s="1"/>
  <c r="C654" i="1"/>
  <c r="E654" i="1"/>
  <c r="P654" i="1" s="1"/>
  <c r="C655" i="1"/>
  <c r="E655" i="1"/>
  <c r="P655" i="1" s="1"/>
  <c r="C656" i="1"/>
  <c r="E656" i="1"/>
  <c r="P656" i="1" s="1"/>
  <c r="C657" i="1"/>
  <c r="E657" i="1"/>
  <c r="P657" i="1" s="1"/>
  <c r="C658" i="1"/>
  <c r="E658" i="1"/>
  <c r="P658" i="1" s="1"/>
  <c r="C659" i="1"/>
  <c r="E659" i="1"/>
  <c r="P659" i="1" s="1"/>
  <c r="C660" i="1"/>
  <c r="E660" i="1"/>
  <c r="P660" i="1" s="1"/>
  <c r="C661" i="1"/>
  <c r="E661" i="1"/>
  <c r="P661" i="1" s="1"/>
  <c r="K63" i="1"/>
  <c r="K59" i="1"/>
  <c r="K55" i="1"/>
  <c r="I650" i="1"/>
  <c r="E650" i="1"/>
  <c r="P650" i="1" s="1"/>
  <c r="C650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G42" i="3"/>
  <c r="G43" i="3"/>
  <c r="G44" i="3"/>
  <c r="G45" i="3"/>
  <c r="G46" i="3"/>
  <c r="G47" i="3"/>
  <c r="G48" i="3"/>
  <c r="G49" i="3"/>
  <c r="G50" i="3"/>
  <c r="G51" i="3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33" i="1"/>
  <c r="E634" i="1"/>
  <c r="P634" i="1" s="1"/>
  <c r="E635" i="1"/>
  <c r="P635" i="1" s="1"/>
  <c r="E636" i="1"/>
  <c r="P636" i="1" s="1"/>
  <c r="E637" i="1"/>
  <c r="P637" i="1" s="1"/>
  <c r="E638" i="1"/>
  <c r="P638" i="1" s="1"/>
  <c r="E639" i="1"/>
  <c r="P639" i="1" s="1"/>
  <c r="E640" i="1"/>
  <c r="P640" i="1" s="1"/>
  <c r="E641" i="1"/>
  <c r="P641" i="1" s="1"/>
  <c r="E642" i="1"/>
  <c r="P642" i="1" s="1"/>
  <c r="E643" i="1"/>
  <c r="P643" i="1" s="1"/>
  <c r="E644" i="1"/>
  <c r="P644" i="1" s="1"/>
  <c r="E645" i="1"/>
  <c r="P645" i="1" s="1"/>
  <c r="E646" i="1"/>
  <c r="P646" i="1" s="1"/>
  <c r="E647" i="1"/>
  <c r="P647" i="1" s="1"/>
  <c r="E648" i="1"/>
  <c r="P648" i="1" s="1"/>
  <c r="E649" i="1"/>
  <c r="P649" i="1" s="1"/>
  <c r="E633" i="1"/>
  <c r="P633" i="1" s="1"/>
  <c r="C633" i="1"/>
  <c r="M906" i="1" l="1"/>
  <c r="O906" i="1"/>
  <c r="M904" i="1"/>
  <c r="O904" i="1"/>
  <c r="O901" i="1"/>
  <c r="M897" i="1"/>
  <c r="M898" i="1"/>
  <c r="O898" i="1"/>
  <c r="K51" i="1"/>
  <c r="C624" i="1"/>
  <c r="E624" i="1"/>
  <c r="P624" i="1" s="1"/>
  <c r="C625" i="1"/>
  <c r="E625" i="1"/>
  <c r="P625" i="1" s="1"/>
  <c r="C626" i="1"/>
  <c r="E626" i="1"/>
  <c r="P626" i="1" s="1"/>
  <c r="C627" i="1"/>
  <c r="E627" i="1"/>
  <c r="P627" i="1" s="1"/>
  <c r="C628" i="1"/>
  <c r="E628" i="1"/>
  <c r="P628" i="1" s="1"/>
  <c r="C629" i="1"/>
  <c r="E629" i="1"/>
  <c r="P629" i="1" s="1"/>
  <c r="C630" i="1"/>
  <c r="E630" i="1"/>
  <c r="P630" i="1" s="1"/>
  <c r="C631" i="1"/>
  <c r="E631" i="1"/>
  <c r="P631" i="1" s="1"/>
  <c r="C632" i="1"/>
  <c r="E632" i="1"/>
  <c r="P632" i="1" s="1"/>
  <c r="I624" i="1"/>
  <c r="I625" i="1"/>
  <c r="I626" i="1"/>
  <c r="I627" i="1"/>
  <c r="I628" i="1"/>
  <c r="I629" i="1"/>
  <c r="I630" i="1"/>
  <c r="I631" i="1"/>
  <c r="I632" i="1"/>
  <c r="I623" i="1"/>
  <c r="E623" i="1"/>
  <c r="P623" i="1" s="1"/>
  <c r="C623" i="1"/>
  <c r="K47" i="1" l="1"/>
  <c r="I613" i="1"/>
  <c r="I614" i="1"/>
  <c r="I615" i="1"/>
  <c r="I616" i="1"/>
  <c r="I617" i="1"/>
  <c r="I618" i="1"/>
  <c r="I619" i="1"/>
  <c r="I620" i="1"/>
  <c r="I621" i="1"/>
  <c r="I622" i="1"/>
  <c r="I612" i="1"/>
  <c r="C613" i="1"/>
  <c r="E613" i="1"/>
  <c r="P613" i="1" s="1"/>
  <c r="C614" i="1"/>
  <c r="E614" i="1"/>
  <c r="P614" i="1" s="1"/>
  <c r="C615" i="1"/>
  <c r="E615" i="1"/>
  <c r="P615" i="1" s="1"/>
  <c r="C616" i="1"/>
  <c r="E616" i="1"/>
  <c r="P616" i="1" s="1"/>
  <c r="C617" i="1"/>
  <c r="E617" i="1"/>
  <c r="P617" i="1" s="1"/>
  <c r="C618" i="1"/>
  <c r="E618" i="1"/>
  <c r="P618" i="1" s="1"/>
  <c r="C619" i="1"/>
  <c r="E619" i="1"/>
  <c r="P619" i="1" s="1"/>
  <c r="C620" i="1"/>
  <c r="E620" i="1"/>
  <c r="P620" i="1" s="1"/>
  <c r="C621" i="1"/>
  <c r="E621" i="1"/>
  <c r="P621" i="1" s="1"/>
  <c r="C622" i="1"/>
  <c r="E622" i="1"/>
  <c r="P622" i="1" s="1"/>
  <c r="E612" i="1"/>
  <c r="P612" i="1" s="1"/>
  <c r="C612" i="1"/>
  <c r="G41" i="3" l="1"/>
  <c r="K43" i="1" l="1"/>
  <c r="K39" i="1"/>
  <c r="I602" i="1"/>
  <c r="I603" i="1"/>
  <c r="I604" i="1"/>
  <c r="I605" i="1"/>
  <c r="I606" i="1"/>
  <c r="I607" i="1"/>
  <c r="I608" i="1"/>
  <c r="I609" i="1"/>
  <c r="I610" i="1"/>
  <c r="I611" i="1"/>
  <c r="C602" i="1"/>
  <c r="E602" i="1"/>
  <c r="P602" i="1" s="1"/>
  <c r="C603" i="1"/>
  <c r="E603" i="1"/>
  <c r="P603" i="1" s="1"/>
  <c r="C604" i="1"/>
  <c r="E604" i="1"/>
  <c r="P604" i="1" s="1"/>
  <c r="C605" i="1"/>
  <c r="E605" i="1"/>
  <c r="P605" i="1" s="1"/>
  <c r="C606" i="1"/>
  <c r="E606" i="1"/>
  <c r="P606" i="1" s="1"/>
  <c r="C607" i="1"/>
  <c r="E607" i="1"/>
  <c r="P607" i="1" s="1"/>
  <c r="C608" i="1"/>
  <c r="E608" i="1"/>
  <c r="P608" i="1" s="1"/>
  <c r="C609" i="1"/>
  <c r="E609" i="1"/>
  <c r="P609" i="1" s="1"/>
  <c r="C610" i="1"/>
  <c r="E610" i="1"/>
  <c r="P610" i="1" s="1"/>
  <c r="C611" i="1"/>
  <c r="E611" i="1"/>
  <c r="P611" i="1" s="1"/>
  <c r="I601" i="1"/>
  <c r="E601" i="1"/>
  <c r="P601" i="1" s="1"/>
  <c r="C601" i="1"/>
  <c r="I591" i="1" l="1"/>
  <c r="I592" i="1"/>
  <c r="I593" i="1"/>
  <c r="I594" i="1"/>
  <c r="I595" i="1"/>
  <c r="I596" i="1"/>
  <c r="I597" i="1"/>
  <c r="I598" i="1"/>
  <c r="I599" i="1"/>
  <c r="I600" i="1"/>
  <c r="C591" i="1"/>
  <c r="E591" i="1"/>
  <c r="P591" i="1" s="1"/>
  <c r="C592" i="1"/>
  <c r="E592" i="1"/>
  <c r="P592" i="1" s="1"/>
  <c r="C593" i="1"/>
  <c r="E593" i="1"/>
  <c r="P593" i="1" s="1"/>
  <c r="C594" i="1"/>
  <c r="E594" i="1"/>
  <c r="P594" i="1" s="1"/>
  <c r="C595" i="1"/>
  <c r="E595" i="1"/>
  <c r="P595" i="1" s="1"/>
  <c r="C596" i="1"/>
  <c r="E596" i="1"/>
  <c r="P596" i="1" s="1"/>
  <c r="C597" i="1"/>
  <c r="E597" i="1"/>
  <c r="P597" i="1" s="1"/>
  <c r="C598" i="1"/>
  <c r="E598" i="1"/>
  <c r="P598" i="1" s="1"/>
  <c r="C599" i="1"/>
  <c r="E599" i="1"/>
  <c r="P599" i="1" s="1"/>
  <c r="C600" i="1"/>
  <c r="E600" i="1"/>
  <c r="P600" i="1" s="1"/>
  <c r="I590" i="1"/>
  <c r="E590" i="1"/>
  <c r="P590" i="1" s="1"/>
  <c r="C590" i="1"/>
  <c r="C581" i="1"/>
  <c r="E581" i="1"/>
  <c r="P581" i="1" s="1"/>
  <c r="C582" i="1"/>
  <c r="E582" i="1"/>
  <c r="P582" i="1" s="1"/>
  <c r="C583" i="1"/>
  <c r="E583" i="1"/>
  <c r="P583" i="1" s="1"/>
  <c r="C584" i="1"/>
  <c r="E584" i="1"/>
  <c r="P584" i="1" s="1"/>
  <c r="C585" i="1"/>
  <c r="E585" i="1"/>
  <c r="P585" i="1" s="1"/>
  <c r="C586" i="1"/>
  <c r="E586" i="1"/>
  <c r="P586" i="1" s="1"/>
  <c r="C587" i="1"/>
  <c r="E587" i="1"/>
  <c r="P587" i="1" s="1"/>
  <c r="C588" i="1"/>
  <c r="E588" i="1"/>
  <c r="P588" i="1" s="1"/>
  <c r="C589" i="1"/>
  <c r="E589" i="1"/>
  <c r="P589" i="1" s="1"/>
  <c r="I581" i="1"/>
  <c r="I582" i="1"/>
  <c r="I583" i="1"/>
  <c r="I584" i="1"/>
  <c r="I585" i="1"/>
  <c r="I586" i="1"/>
  <c r="I587" i="1"/>
  <c r="I588" i="1"/>
  <c r="I589" i="1"/>
  <c r="I580" i="1"/>
  <c r="E580" i="1"/>
  <c r="P580" i="1" s="1"/>
  <c r="C580" i="1"/>
  <c r="I570" i="1"/>
  <c r="I571" i="1"/>
  <c r="I572" i="1"/>
  <c r="I573" i="1"/>
  <c r="I574" i="1"/>
  <c r="I575" i="1"/>
  <c r="I576" i="1"/>
  <c r="I577" i="1"/>
  <c r="I578" i="1"/>
  <c r="I579" i="1"/>
  <c r="C571" i="1"/>
  <c r="E571" i="1"/>
  <c r="P571" i="1" s="1"/>
  <c r="C572" i="1"/>
  <c r="E572" i="1"/>
  <c r="P572" i="1" s="1"/>
  <c r="C573" i="1"/>
  <c r="E573" i="1"/>
  <c r="P573" i="1" s="1"/>
  <c r="C574" i="1"/>
  <c r="E574" i="1"/>
  <c r="P574" i="1" s="1"/>
  <c r="C575" i="1"/>
  <c r="E575" i="1"/>
  <c r="P575" i="1" s="1"/>
  <c r="C576" i="1"/>
  <c r="E576" i="1"/>
  <c r="P576" i="1" s="1"/>
  <c r="C577" i="1"/>
  <c r="E577" i="1"/>
  <c r="P577" i="1" s="1"/>
  <c r="C578" i="1"/>
  <c r="E578" i="1"/>
  <c r="P578" i="1" s="1"/>
  <c r="C579" i="1"/>
  <c r="E579" i="1"/>
  <c r="P579" i="1" s="1"/>
  <c r="E570" i="1"/>
  <c r="P570" i="1" s="1"/>
  <c r="C570" i="1"/>
  <c r="C180" i="1" l="1"/>
  <c r="P180" i="1"/>
  <c r="C181" i="1"/>
  <c r="P181" i="1"/>
  <c r="C182" i="1"/>
  <c r="P182" i="1"/>
  <c r="K36" i="1"/>
  <c r="K33" i="1"/>
  <c r="K31" i="1"/>
  <c r="K30" i="1"/>
  <c r="I14" i="6"/>
  <c r="I561" i="1"/>
  <c r="I562" i="1"/>
  <c r="I563" i="1"/>
  <c r="I564" i="1"/>
  <c r="I565" i="1"/>
  <c r="I566" i="1"/>
  <c r="I567" i="1"/>
  <c r="I568" i="1"/>
  <c r="I569" i="1"/>
  <c r="C561" i="1"/>
  <c r="E561" i="1"/>
  <c r="P561" i="1" s="1"/>
  <c r="C562" i="1"/>
  <c r="E562" i="1"/>
  <c r="P562" i="1" s="1"/>
  <c r="C563" i="1"/>
  <c r="E563" i="1"/>
  <c r="P563" i="1" s="1"/>
  <c r="C564" i="1"/>
  <c r="E564" i="1"/>
  <c r="P564" i="1" s="1"/>
  <c r="C565" i="1"/>
  <c r="E565" i="1"/>
  <c r="P565" i="1" s="1"/>
  <c r="C566" i="1"/>
  <c r="E566" i="1"/>
  <c r="P566" i="1" s="1"/>
  <c r="C567" i="1"/>
  <c r="E567" i="1"/>
  <c r="P567" i="1" s="1"/>
  <c r="C568" i="1"/>
  <c r="E568" i="1"/>
  <c r="P568" i="1" s="1"/>
  <c r="C569" i="1"/>
  <c r="E569" i="1"/>
  <c r="P569" i="1" s="1"/>
  <c r="I560" i="1"/>
  <c r="E560" i="1"/>
  <c r="P560" i="1" s="1"/>
  <c r="C560" i="1"/>
  <c r="K27" i="1" l="1"/>
  <c r="K28" i="1"/>
  <c r="E256" i="1"/>
  <c r="P256" i="1" s="1"/>
  <c r="E255" i="1"/>
  <c r="P255" i="1" s="1"/>
  <c r="E254" i="1"/>
  <c r="P254" i="1" s="1"/>
  <c r="E253" i="1"/>
  <c r="P253" i="1" s="1"/>
  <c r="E252" i="1"/>
  <c r="P252" i="1" s="1"/>
  <c r="E251" i="1"/>
  <c r="E250" i="1"/>
  <c r="P250" i="1" s="1"/>
  <c r="E249" i="1"/>
  <c r="P249" i="1" s="1"/>
  <c r="E248" i="1"/>
  <c r="P248" i="1" s="1"/>
  <c r="E247" i="1"/>
  <c r="E246" i="1"/>
  <c r="P246" i="1" s="1"/>
  <c r="E245" i="1"/>
  <c r="P245" i="1" s="1"/>
  <c r="E244" i="1"/>
  <c r="P244" i="1" s="1"/>
  <c r="E243" i="1"/>
  <c r="P243" i="1" s="1"/>
  <c r="E242" i="1"/>
  <c r="P242" i="1" s="1"/>
  <c r="E241" i="1"/>
  <c r="P241" i="1" s="1"/>
  <c r="E240" i="1"/>
  <c r="P240" i="1" s="1"/>
  <c r="E239" i="1"/>
  <c r="P239" i="1" s="1"/>
  <c r="E238" i="1"/>
  <c r="P238" i="1" s="1"/>
  <c r="E237" i="1"/>
  <c r="P237" i="1" s="1"/>
  <c r="E236" i="1"/>
  <c r="P236" i="1" s="1"/>
  <c r="E235" i="1"/>
  <c r="P235" i="1" s="1"/>
  <c r="E234" i="1"/>
  <c r="P234" i="1" s="1"/>
  <c r="E233" i="1"/>
  <c r="P233" i="1" s="1"/>
  <c r="E232" i="1"/>
  <c r="P232" i="1" s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E269" i="1"/>
  <c r="P269" i="1" s="1"/>
  <c r="E268" i="1"/>
  <c r="P268" i="1" s="1"/>
  <c r="E267" i="1"/>
  <c r="P267" i="1" s="1"/>
  <c r="E266" i="1"/>
  <c r="P266" i="1" s="1"/>
  <c r="E265" i="1"/>
  <c r="P265" i="1" s="1"/>
  <c r="E264" i="1"/>
  <c r="P264" i="1" s="1"/>
  <c r="E263" i="1"/>
  <c r="P263" i="1" s="1"/>
  <c r="E262" i="1"/>
  <c r="P262" i="1" s="1"/>
  <c r="E261" i="1"/>
  <c r="P261" i="1" s="1"/>
  <c r="E260" i="1"/>
  <c r="P260" i="1" s="1"/>
  <c r="E259" i="1"/>
  <c r="P259" i="1" s="1"/>
  <c r="E258" i="1"/>
  <c r="P258" i="1" s="1"/>
  <c r="E257" i="1"/>
  <c r="P257" i="1" s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57" i="1"/>
  <c r="I252" i="1"/>
  <c r="I253" i="1"/>
  <c r="I254" i="1"/>
  <c r="I255" i="1"/>
  <c r="I256" i="1"/>
  <c r="C253" i="1"/>
  <c r="C254" i="1"/>
  <c r="C255" i="1"/>
  <c r="C256" i="1"/>
  <c r="C252" i="1"/>
  <c r="I249" i="1"/>
  <c r="I250" i="1"/>
  <c r="I251" i="1"/>
  <c r="P251" i="1"/>
  <c r="C250" i="1"/>
  <c r="C251" i="1"/>
  <c r="C249" i="1"/>
  <c r="G8" i="3"/>
  <c r="I245" i="1"/>
  <c r="I246" i="1"/>
  <c r="I247" i="1"/>
  <c r="P247" i="1"/>
  <c r="I248" i="1"/>
  <c r="C246" i="1"/>
  <c r="C247" i="1"/>
  <c r="C248" i="1"/>
  <c r="C245" i="1"/>
  <c r="I241" i="1"/>
  <c r="I242" i="1"/>
  <c r="I243" i="1"/>
  <c r="I244" i="1"/>
  <c r="C242" i="1"/>
  <c r="C243" i="1"/>
  <c r="C244" i="1"/>
  <c r="C241" i="1"/>
  <c r="C239" i="1"/>
  <c r="C240" i="1"/>
  <c r="I238" i="1"/>
  <c r="I239" i="1"/>
  <c r="I240" i="1"/>
  <c r="C238" i="1"/>
  <c r="C236" i="1"/>
  <c r="C237" i="1"/>
  <c r="I235" i="1"/>
  <c r="I236" i="1"/>
  <c r="I237" i="1"/>
  <c r="C235" i="1"/>
  <c r="I233" i="1"/>
  <c r="I234" i="1"/>
  <c r="I232" i="1"/>
  <c r="C233" i="1"/>
  <c r="C234" i="1"/>
  <c r="C232" i="1"/>
  <c r="C270" i="1"/>
  <c r="E270" i="1"/>
  <c r="P270" i="1" s="1"/>
  <c r="I270" i="1"/>
  <c r="C271" i="1"/>
  <c r="E271" i="1"/>
  <c r="P271" i="1" s="1"/>
  <c r="I271" i="1"/>
  <c r="C272" i="1"/>
  <c r="E272" i="1"/>
  <c r="P272" i="1" s="1"/>
  <c r="I272" i="1"/>
  <c r="C273" i="1"/>
  <c r="E273" i="1"/>
  <c r="P273" i="1" s="1"/>
  <c r="I273" i="1"/>
  <c r="C274" i="1"/>
  <c r="E274" i="1"/>
  <c r="P274" i="1" s="1"/>
  <c r="I274" i="1"/>
  <c r="C275" i="1"/>
  <c r="E275" i="1"/>
  <c r="P275" i="1" s="1"/>
  <c r="I275" i="1"/>
  <c r="C276" i="1"/>
  <c r="E276" i="1"/>
  <c r="P276" i="1" s="1"/>
  <c r="I276" i="1"/>
  <c r="C277" i="1"/>
  <c r="E277" i="1"/>
  <c r="P277" i="1" s="1"/>
  <c r="I277" i="1"/>
  <c r="C278" i="1"/>
  <c r="E278" i="1"/>
  <c r="P278" i="1" s="1"/>
  <c r="I278" i="1"/>
  <c r="C279" i="1"/>
  <c r="E279" i="1"/>
  <c r="P279" i="1" s="1"/>
  <c r="I279" i="1"/>
  <c r="C280" i="1"/>
  <c r="E280" i="1"/>
  <c r="P280" i="1" s="1"/>
  <c r="I280" i="1"/>
  <c r="C281" i="1"/>
  <c r="E281" i="1"/>
  <c r="P281" i="1" s="1"/>
  <c r="I281" i="1"/>
  <c r="C282" i="1"/>
  <c r="E282" i="1"/>
  <c r="P282" i="1" s="1"/>
  <c r="I282" i="1"/>
  <c r="C283" i="1"/>
  <c r="E283" i="1"/>
  <c r="P283" i="1" s="1"/>
  <c r="I283" i="1"/>
  <c r="C284" i="1"/>
  <c r="E284" i="1"/>
  <c r="P284" i="1" s="1"/>
  <c r="I284" i="1"/>
  <c r="C285" i="1"/>
  <c r="E285" i="1"/>
  <c r="P285" i="1" s="1"/>
  <c r="I285" i="1"/>
  <c r="C286" i="1"/>
  <c r="E286" i="1"/>
  <c r="P286" i="1" s="1"/>
  <c r="I286" i="1"/>
  <c r="C287" i="1"/>
  <c r="E287" i="1"/>
  <c r="P287" i="1" s="1"/>
  <c r="I287" i="1"/>
  <c r="C288" i="1"/>
  <c r="E288" i="1"/>
  <c r="P288" i="1" s="1"/>
  <c r="I288" i="1"/>
  <c r="C289" i="1"/>
  <c r="E289" i="1"/>
  <c r="P289" i="1" s="1"/>
  <c r="I289" i="1"/>
  <c r="C290" i="1"/>
  <c r="E290" i="1"/>
  <c r="P290" i="1" s="1"/>
  <c r="I290" i="1"/>
  <c r="C291" i="1"/>
  <c r="E291" i="1"/>
  <c r="P291" i="1" s="1"/>
  <c r="I291" i="1"/>
  <c r="C292" i="1"/>
  <c r="E292" i="1"/>
  <c r="P292" i="1" s="1"/>
  <c r="I292" i="1"/>
  <c r="C293" i="1"/>
  <c r="E293" i="1"/>
  <c r="P293" i="1" s="1"/>
  <c r="I293" i="1"/>
  <c r="C294" i="1"/>
  <c r="E294" i="1"/>
  <c r="P294" i="1" s="1"/>
  <c r="I294" i="1"/>
  <c r="C295" i="1"/>
  <c r="E295" i="1"/>
  <c r="P295" i="1" s="1"/>
  <c r="I295" i="1"/>
  <c r="C296" i="1"/>
  <c r="E296" i="1"/>
  <c r="P296" i="1" s="1"/>
  <c r="I296" i="1"/>
  <c r="C297" i="1"/>
  <c r="E297" i="1"/>
  <c r="P297" i="1" s="1"/>
  <c r="I297" i="1"/>
  <c r="C298" i="1"/>
  <c r="E298" i="1"/>
  <c r="P298" i="1" s="1"/>
  <c r="I298" i="1"/>
  <c r="C299" i="1"/>
  <c r="E299" i="1"/>
  <c r="P299" i="1" s="1"/>
  <c r="I299" i="1"/>
  <c r="C300" i="1"/>
  <c r="E300" i="1"/>
  <c r="P300" i="1" s="1"/>
  <c r="I300" i="1"/>
  <c r="C301" i="1"/>
  <c r="E301" i="1"/>
  <c r="P301" i="1" s="1"/>
  <c r="I301" i="1"/>
  <c r="C302" i="1"/>
  <c r="E302" i="1"/>
  <c r="P302" i="1" s="1"/>
  <c r="I302" i="1"/>
  <c r="C303" i="1"/>
  <c r="E303" i="1"/>
  <c r="P303" i="1" s="1"/>
  <c r="I303" i="1"/>
  <c r="C304" i="1"/>
  <c r="E304" i="1"/>
  <c r="P304" i="1" s="1"/>
  <c r="I304" i="1"/>
  <c r="C305" i="1"/>
  <c r="E305" i="1"/>
  <c r="P305" i="1" s="1"/>
  <c r="I305" i="1"/>
  <c r="C306" i="1"/>
  <c r="E306" i="1"/>
  <c r="P306" i="1" s="1"/>
  <c r="I306" i="1"/>
  <c r="C307" i="1"/>
  <c r="E307" i="1"/>
  <c r="P307" i="1" s="1"/>
  <c r="I307" i="1"/>
  <c r="C308" i="1"/>
  <c r="E308" i="1"/>
  <c r="P308" i="1" s="1"/>
  <c r="I308" i="1"/>
  <c r="C309" i="1"/>
  <c r="E309" i="1"/>
  <c r="P309" i="1" s="1"/>
  <c r="I309" i="1"/>
  <c r="C310" i="1"/>
  <c r="E310" i="1"/>
  <c r="P310" i="1" s="1"/>
  <c r="I310" i="1"/>
  <c r="I553" i="1" l="1"/>
  <c r="I554" i="1"/>
  <c r="I555" i="1"/>
  <c r="I556" i="1"/>
  <c r="I557" i="1"/>
  <c r="I558" i="1"/>
  <c r="I559" i="1"/>
  <c r="C553" i="1"/>
  <c r="E553" i="1"/>
  <c r="P553" i="1" s="1"/>
  <c r="C554" i="1"/>
  <c r="E554" i="1"/>
  <c r="P554" i="1" s="1"/>
  <c r="C555" i="1"/>
  <c r="E555" i="1"/>
  <c r="P555" i="1" s="1"/>
  <c r="C556" i="1"/>
  <c r="E556" i="1"/>
  <c r="P556" i="1" s="1"/>
  <c r="C557" i="1"/>
  <c r="E557" i="1"/>
  <c r="P557" i="1" s="1"/>
  <c r="C558" i="1"/>
  <c r="E558" i="1"/>
  <c r="P558" i="1" s="1"/>
  <c r="C559" i="1"/>
  <c r="E559" i="1"/>
  <c r="P559" i="1" s="1"/>
  <c r="I552" i="1"/>
  <c r="E552" i="1"/>
  <c r="P552" i="1" s="1"/>
  <c r="C552" i="1"/>
  <c r="K3" i="1" l="1"/>
  <c r="K6" i="1"/>
  <c r="K9" i="1"/>
  <c r="K12" i="1"/>
  <c r="K15" i="1"/>
  <c r="K18" i="1"/>
  <c r="K21" i="1"/>
  <c r="K24" i="1"/>
  <c r="K25" i="1"/>
  <c r="I544" i="1" l="1"/>
  <c r="I545" i="1"/>
  <c r="I546" i="1"/>
  <c r="I547" i="1"/>
  <c r="I548" i="1"/>
  <c r="I549" i="1"/>
  <c r="I550" i="1"/>
  <c r="I551" i="1"/>
  <c r="C544" i="1"/>
  <c r="E544" i="1"/>
  <c r="P544" i="1" s="1"/>
  <c r="C545" i="1"/>
  <c r="E545" i="1"/>
  <c r="P545" i="1" s="1"/>
  <c r="C546" i="1"/>
  <c r="E546" i="1"/>
  <c r="P546" i="1" s="1"/>
  <c r="C547" i="1"/>
  <c r="E547" i="1"/>
  <c r="P547" i="1" s="1"/>
  <c r="C548" i="1"/>
  <c r="E548" i="1"/>
  <c r="P548" i="1" s="1"/>
  <c r="C549" i="1"/>
  <c r="E549" i="1"/>
  <c r="P549" i="1" s="1"/>
  <c r="C550" i="1"/>
  <c r="E550" i="1"/>
  <c r="P550" i="1" s="1"/>
  <c r="C551" i="1"/>
  <c r="E551" i="1"/>
  <c r="P551" i="1" s="1"/>
  <c r="I543" i="1"/>
  <c r="E543" i="1"/>
  <c r="P543" i="1" s="1"/>
  <c r="C543" i="1"/>
  <c r="K19" i="1" l="1"/>
  <c r="K22" i="1"/>
  <c r="I533" i="1"/>
  <c r="I534" i="1"/>
  <c r="I535" i="1"/>
  <c r="I536" i="1"/>
  <c r="I537" i="1"/>
  <c r="I538" i="1"/>
  <c r="I539" i="1"/>
  <c r="I540" i="1"/>
  <c r="I541" i="1"/>
  <c r="I542" i="1"/>
  <c r="I532" i="1"/>
  <c r="C533" i="1"/>
  <c r="E533" i="1"/>
  <c r="P533" i="1" s="1"/>
  <c r="C534" i="1"/>
  <c r="E534" i="1"/>
  <c r="P534" i="1" s="1"/>
  <c r="C535" i="1"/>
  <c r="E535" i="1"/>
  <c r="P535" i="1" s="1"/>
  <c r="C536" i="1"/>
  <c r="E536" i="1"/>
  <c r="P536" i="1" s="1"/>
  <c r="C537" i="1"/>
  <c r="E537" i="1"/>
  <c r="P537" i="1" s="1"/>
  <c r="C538" i="1"/>
  <c r="E538" i="1"/>
  <c r="P538" i="1" s="1"/>
  <c r="C539" i="1"/>
  <c r="E539" i="1"/>
  <c r="P539" i="1" s="1"/>
  <c r="C540" i="1"/>
  <c r="E540" i="1"/>
  <c r="P540" i="1" s="1"/>
  <c r="C541" i="1"/>
  <c r="E541" i="1"/>
  <c r="P541" i="1" s="1"/>
  <c r="C542" i="1"/>
  <c r="E542" i="1"/>
  <c r="P542" i="1" s="1"/>
  <c r="E532" i="1"/>
  <c r="P532" i="1" s="1"/>
  <c r="C532" i="1"/>
  <c r="K16" i="1" l="1"/>
  <c r="K13" i="1"/>
  <c r="K10" i="1"/>
  <c r="K7" i="1"/>
  <c r="K4" i="1"/>
  <c r="I522" i="1"/>
  <c r="I523" i="1"/>
  <c r="I524" i="1"/>
  <c r="I525" i="1"/>
  <c r="I526" i="1"/>
  <c r="I527" i="1"/>
  <c r="I528" i="1"/>
  <c r="I529" i="1"/>
  <c r="I530" i="1"/>
  <c r="I531" i="1"/>
  <c r="I521" i="1"/>
  <c r="C522" i="1"/>
  <c r="E522" i="1"/>
  <c r="P522" i="1" s="1"/>
  <c r="C523" i="1"/>
  <c r="E523" i="1"/>
  <c r="P523" i="1" s="1"/>
  <c r="C524" i="1"/>
  <c r="E524" i="1"/>
  <c r="P524" i="1" s="1"/>
  <c r="C525" i="1"/>
  <c r="E525" i="1"/>
  <c r="P525" i="1" s="1"/>
  <c r="C526" i="1"/>
  <c r="E526" i="1"/>
  <c r="P526" i="1" s="1"/>
  <c r="C527" i="1"/>
  <c r="E527" i="1"/>
  <c r="P527" i="1" s="1"/>
  <c r="C528" i="1"/>
  <c r="E528" i="1"/>
  <c r="P528" i="1" s="1"/>
  <c r="C529" i="1"/>
  <c r="E529" i="1"/>
  <c r="P529" i="1" s="1"/>
  <c r="C530" i="1"/>
  <c r="E530" i="1"/>
  <c r="P530" i="1" s="1"/>
  <c r="C531" i="1"/>
  <c r="E531" i="1"/>
  <c r="P531" i="1" s="1"/>
  <c r="E521" i="1"/>
  <c r="P521" i="1" s="1"/>
  <c r="C521" i="1"/>
  <c r="I513" i="1"/>
  <c r="I514" i="1"/>
  <c r="I515" i="1"/>
  <c r="I516" i="1"/>
  <c r="I517" i="1"/>
  <c r="I518" i="1"/>
  <c r="I519" i="1"/>
  <c r="I520" i="1"/>
  <c r="I512" i="1"/>
  <c r="C513" i="1"/>
  <c r="E513" i="1"/>
  <c r="P513" i="1" s="1"/>
  <c r="C514" i="1"/>
  <c r="E514" i="1"/>
  <c r="P514" i="1" s="1"/>
  <c r="C515" i="1"/>
  <c r="E515" i="1"/>
  <c r="P515" i="1" s="1"/>
  <c r="C516" i="1"/>
  <c r="E516" i="1"/>
  <c r="P516" i="1" s="1"/>
  <c r="C517" i="1"/>
  <c r="E517" i="1"/>
  <c r="P517" i="1" s="1"/>
  <c r="C518" i="1"/>
  <c r="E518" i="1"/>
  <c r="P518" i="1" s="1"/>
  <c r="C519" i="1"/>
  <c r="E519" i="1"/>
  <c r="P519" i="1" s="1"/>
  <c r="C520" i="1"/>
  <c r="E520" i="1"/>
  <c r="P520" i="1" s="1"/>
  <c r="E512" i="1"/>
  <c r="P512" i="1" s="1"/>
  <c r="C512" i="1"/>
  <c r="C503" i="1"/>
  <c r="E503" i="1"/>
  <c r="P503" i="1" s="1"/>
  <c r="C504" i="1"/>
  <c r="E504" i="1"/>
  <c r="P504" i="1" s="1"/>
  <c r="C505" i="1"/>
  <c r="E505" i="1"/>
  <c r="P505" i="1" s="1"/>
  <c r="C506" i="1"/>
  <c r="E506" i="1"/>
  <c r="P506" i="1" s="1"/>
  <c r="C507" i="1"/>
  <c r="E507" i="1"/>
  <c r="P507" i="1" s="1"/>
  <c r="C508" i="1"/>
  <c r="E508" i="1"/>
  <c r="P508" i="1" s="1"/>
  <c r="C509" i="1"/>
  <c r="E509" i="1"/>
  <c r="P509" i="1" s="1"/>
  <c r="C510" i="1"/>
  <c r="E510" i="1"/>
  <c r="P510" i="1" s="1"/>
  <c r="C511" i="1"/>
  <c r="E511" i="1"/>
  <c r="P511" i="1" s="1"/>
  <c r="I502" i="1"/>
  <c r="I503" i="1"/>
  <c r="I504" i="1"/>
  <c r="I505" i="1"/>
  <c r="I506" i="1"/>
  <c r="I507" i="1"/>
  <c r="I508" i="1"/>
  <c r="I509" i="1"/>
  <c r="I510" i="1"/>
  <c r="I511" i="1"/>
  <c r="E502" i="1"/>
  <c r="P502" i="1" s="1"/>
  <c r="C502" i="1"/>
  <c r="I493" i="1" l="1"/>
  <c r="I494" i="1"/>
  <c r="I495" i="1"/>
  <c r="I496" i="1"/>
  <c r="I497" i="1"/>
  <c r="I498" i="1"/>
  <c r="I499" i="1"/>
  <c r="I500" i="1"/>
  <c r="I501" i="1"/>
  <c r="C494" i="1"/>
  <c r="E494" i="1"/>
  <c r="P494" i="1" s="1"/>
  <c r="C495" i="1"/>
  <c r="E495" i="1"/>
  <c r="P495" i="1" s="1"/>
  <c r="C496" i="1"/>
  <c r="E496" i="1"/>
  <c r="P496" i="1" s="1"/>
  <c r="C497" i="1"/>
  <c r="E497" i="1"/>
  <c r="P497" i="1" s="1"/>
  <c r="C498" i="1"/>
  <c r="E498" i="1"/>
  <c r="P498" i="1" s="1"/>
  <c r="C499" i="1"/>
  <c r="E499" i="1"/>
  <c r="P499" i="1" s="1"/>
  <c r="C500" i="1"/>
  <c r="E500" i="1"/>
  <c r="P500" i="1" s="1"/>
  <c r="C501" i="1"/>
  <c r="E501" i="1"/>
  <c r="P501" i="1" s="1"/>
  <c r="E493" i="1"/>
  <c r="P493" i="1" s="1"/>
  <c r="C493" i="1"/>
  <c r="C4" i="1" l="1"/>
  <c r="C3" i="1"/>
  <c r="C2" i="1"/>
  <c r="I492" i="1" l="1"/>
  <c r="I491" i="1"/>
  <c r="I490" i="1"/>
  <c r="I489" i="1"/>
  <c r="I488" i="1"/>
  <c r="I487" i="1"/>
  <c r="I486" i="1"/>
  <c r="I485" i="1"/>
  <c r="I484" i="1"/>
  <c r="E492" i="1"/>
  <c r="P492" i="1" s="1"/>
  <c r="C492" i="1"/>
  <c r="E491" i="1"/>
  <c r="P491" i="1" s="1"/>
  <c r="C491" i="1"/>
  <c r="E490" i="1"/>
  <c r="P490" i="1" s="1"/>
  <c r="C490" i="1"/>
  <c r="E489" i="1"/>
  <c r="P489" i="1" s="1"/>
  <c r="C489" i="1"/>
  <c r="E488" i="1"/>
  <c r="P488" i="1" s="1"/>
  <c r="C488" i="1"/>
  <c r="E487" i="1"/>
  <c r="P487" i="1" s="1"/>
  <c r="C487" i="1"/>
  <c r="E486" i="1"/>
  <c r="P486" i="1" s="1"/>
  <c r="C486" i="1"/>
  <c r="E485" i="1"/>
  <c r="P485" i="1" s="1"/>
  <c r="C485" i="1"/>
  <c r="E484" i="1"/>
  <c r="P484" i="1" s="1"/>
  <c r="C484" i="1"/>
  <c r="I483" i="1"/>
  <c r="E483" i="1"/>
  <c r="P483" i="1" s="1"/>
  <c r="C483" i="1"/>
  <c r="I472" i="1" l="1"/>
  <c r="I473" i="1"/>
  <c r="I474" i="1"/>
  <c r="I475" i="1"/>
  <c r="I476" i="1"/>
  <c r="I477" i="1"/>
  <c r="I478" i="1"/>
  <c r="I479" i="1"/>
  <c r="I480" i="1"/>
  <c r="I481" i="1"/>
  <c r="I482" i="1"/>
  <c r="C473" i="1"/>
  <c r="C474" i="1"/>
  <c r="C475" i="1"/>
  <c r="C476" i="1"/>
  <c r="C477" i="1"/>
  <c r="C478" i="1"/>
  <c r="C479" i="1"/>
  <c r="C480" i="1"/>
  <c r="C481" i="1"/>
  <c r="C482" i="1"/>
  <c r="E473" i="1"/>
  <c r="P473" i="1" s="1"/>
  <c r="E474" i="1"/>
  <c r="P474" i="1" s="1"/>
  <c r="E475" i="1"/>
  <c r="P475" i="1" s="1"/>
  <c r="E476" i="1"/>
  <c r="P476" i="1" s="1"/>
  <c r="E477" i="1"/>
  <c r="P477" i="1" s="1"/>
  <c r="E478" i="1"/>
  <c r="P478" i="1" s="1"/>
  <c r="E479" i="1"/>
  <c r="P479" i="1" s="1"/>
  <c r="E480" i="1"/>
  <c r="P480" i="1" s="1"/>
  <c r="E481" i="1"/>
  <c r="P481" i="1" s="1"/>
  <c r="E482" i="1"/>
  <c r="P482" i="1" s="1"/>
  <c r="E472" i="1"/>
  <c r="P472" i="1" s="1"/>
  <c r="C472" i="1"/>
  <c r="I461" i="1" l="1"/>
  <c r="I462" i="1"/>
  <c r="I463" i="1"/>
  <c r="I464" i="1"/>
  <c r="I465" i="1"/>
  <c r="I466" i="1"/>
  <c r="I467" i="1"/>
  <c r="I468" i="1"/>
  <c r="I469" i="1"/>
  <c r="I470" i="1"/>
  <c r="I471" i="1"/>
  <c r="C462" i="1"/>
  <c r="C463" i="1"/>
  <c r="C464" i="1"/>
  <c r="C465" i="1"/>
  <c r="C466" i="1"/>
  <c r="C467" i="1"/>
  <c r="C468" i="1"/>
  <c r="C469" i="1"/>
  <c r="C470" i="1"/>
  <c r="C471" i="1"/>
  <c r="E461" i="1"/>
  <c r="P461" i="1" s="1"/>
  <c r="E462" i="1"/>
  <c r="P462" i="1" s="1"/>
  <c r="E463" i="1"/>
  <c r="P463" i="1" s="1"/>
  <c r="E464" i="1"/>
  <c r="P464" i="1" s="1"/>
  <c r="E465" i="1"/>
  <c r="P465" i="1" s="1"/>
  <c r="E466" i="1"/>
  <c r="P466" i="1" s="1"/>
  <c r="E467" i="1"/>
  <c r="P467" i="1" s="1"/>
  <c r="E468" i="1"/>
  <c r="P468" i="1" s="1"/>
  <c r="E469" i="1"/>
  <c r="P469" i="1" s="1"/>
  <c r="E470" i="1"/>
  <c r="P470" i="1" s="1"/>
  <c r="E471" i="1"/>
  <c r="P471" i="1" s="1"/>
  <c r="C461" i="1"/>
  <c r="I450" i="1" l="1"/>
  <c r="I451" i="1"/>
  <c r="I452" i="1"/>
  <c r="I453" i="1"/>
  <c r="I454" i="1"/>
  <c r="I455" i="1"/>
  <c r="I456" i="1"/>
  <c r="I457" i="1"/>
  <c r="I458" i="1"/>
  <c r="I459" i="1"/>
  <c r="I460" i="1"/>
  <c r="C451" i="1"/>
  <c r="C452" i="1"/>
  <c r="C453" i="1"/>
  <c r="C454" i="1"/>
  <c r="C455" i="1"/>
  <c r="C456" i="1"/>
  <c r="C457" i="1"/>
  <c r="C458" i="1"/>
  <c r="C459" i="1"/>
  <c r="C460" i="1"/>
  <c r="E450" i="1"/>
  <c r="P450" i="1" s="1"/>
  <c r="E451" i="1"/>
  <c r="P451" i="1" s="1"/>
  <c r="E452" i="1"/>
  <c r="P452" i="1" s="1"/>
  <c r="E453" i="1"/>
  <c r="P453" i="1" s="1"/>
  <c r="E454" i="1"/>
  <c r="P454" i="1" s="1"/>
  <c r="E455" i="1"/>
  <c r="P455" i="1" s="1"/>
  <c r="E456" i="1"/>
  <c r="P456" i="1" s="1"/>
  <c r="E457" i="1"/>
  <c r="P457" i="1" s="1"/>
  <c r="E458" i="1"/>
  <c r="P458" i="1" s="1"/>
  <c r="E459" i="1"/>
  <c r="P459" i="1" s="1"/>
  <c r="E460" i="1"/>
  <c r="P460" i="1" s="1"/>
  <c r="C450" i="1"/>
  <c r="I442" i="1"/>
  <c r="I443" i="1"/>
  <c r="I444" i="1"/>
  <c r="I445" i="1"/>
  <c r="I446" i="1"/>
  <c r="I447" i="1"/>
  <c r="I448" i="1"/>
  <c r="I449" i="1"/>
  <c r="C443" i="1"/>
  <c r="C444" i="1"/>
  <c r="C445" i="1"/>
  <c r="C446" i="1"/>
  <c r="C447" i="1"/>
  <c r="C448" i="1"/>
  <c r="C449" i="1"/>
  <c r="E442" i="1"/>
  <c r="P442" i="1" s="1"/>
  <c r="E443" i="1"/>
  <c r="P443" i="1" s="1"/>
  <c r="E444" i="1"/>
  <c r="P444" i="1" s="1"/>
  <c r="E445" i="1"/>
  <c r="P445" i="1" s="1"/>
  <c r="E446" i="1"/>
  <c r="P446" i="1" s="1"/>
  <c r="E447" i="1"/>
  <c r="P447" i="1" s="1"/>
  <c r="E448" i="1"/>
  <c r="P448" i="1" s="1"/>
  <c r="E449" i="1"/>
  <c r="P449" i="1" s="1"/>
  <c r="C442" i="1"/>
  <c r="I432" i="1"/>
  <c r="I433" i="1"/>
  <c r="I434" i="1"/>
  <c r="I435" i="1"/>
  <c r="I436" i="1"/>
  <c r="I437" i="1"/>
  <c r="I438" i="1"/>
  <c r="I439" i="1"/>
  <c r="I440" i="1"/>
  <c r="I441" i="1"/>
  <c r="C433" i="1"/>
  <c r="E433" i="1"/>
  <c r="P433" i="1" s="1"/>
  <c r="C434" i="1"/>
  <c r="E434" i="1"/>
  <c r="P434" i="1" s="1"/>
  <c r="C435" i="1"/>
  <c r="E435" i="1"/>
  <c r="P435" i="1" s="1"/>
  <c r="C436" i="1"/>
  <c r="E436" i="1"/>
  <c r="P436" i="1" s="1"/>
  <c r="C437" i="1"/>
  <c r="E437" i="1"/>
  <c r="P437" i="1" s="1"/>
  <c r="C438" i="1"/>
  <c r="E438" i="1"/>
  <c r="P438" i="1" s="1"/>
  <c r="C439" i="1"/>
  <c r="E439" i="1"/>
  <c r="P439" i="1" s="1"/>
  <c r="C440" i="1"/>
  <c r="E440" i="1"/>
  <c r="P440" i="1" s="1"/>
  <c r="C441" i="1"/>
  <c r="E441" i="1"/>
  <c r="P441" i="1" s="1"/>
  <c r="E432" i="1"/>
  <c r="P432" i="1" s="1"/>
  <c r="C432" i="1"/>
  <c r="G40" i="3"/>
  <c r="I420" i="1"/>
  <c r="I421" i="1"/>
  <c r="I422" i="1"/>
  <c r="I423" i="1"/>
  <c r="I424" i="1"/>
  <c r="I425" i="1"/>
  <c r="I426" i="1"/>
  <c r="I427" i="1"/>
  <c r="I428" i="1"/>
  <c r="I429" i="1"/>
  <c r="I430" i="1"/>
  <c r="I431" i="1"/>
  <c r="C421" i="1"/>
  <c r="C422" i="1"/>
  <c r="C423" i="1"/>
  <c r="C424" i="1"/>
  <c r="C425" i="1"/>
  <c r="C426" i="1"/>
  <c r="C427" i="1"/>
  <c r="C428" i="1"/>
  <c r="C429" i="1"/>
  <c r="C430" i="1"/>
  <c r="C431" i="1"/>
  <c r="E420" i="1"/>
  <c r="P420" i="1" s="1"/>
  <c r="E421" i="1"/>
  <c r="P421" i="1" s="1"/>
  <c r="E422" i="1"/>
  <c r="P422" i="1" s="1"/>
  <c r="E423" i="1"/>
  <c r="P423" i="1" s="1"/>
  <c r="E424" i="1"/>
  <c r="P424" i="1" s="1"/>
  <c r="E425" i="1"/>
  <c r="P425" i="1" s="1"/>
  <c r="E426" i="1"/>
  <c r="P426" i="1" s="1"/>
  <c r="E427" i="1"/>
  <c r="P427" i="1" s="1"/>
  <c r="E428" i="1"/>
  <c r="P428" i="1" s="1"/>
  <c r="E429" i="1"/>
  <c r="P429" i="1" s="1"/>
  <c r="E430" i="1"/>
  <c r="P430" i="1" s="1"/>
  <c r="E431" i="1"/>
  <c r="P431" i="1" s="1"/>
  <c r="C420" i="1"/>
  <c r="I410" i="1" l="1"/>
  <c r="I411" i="1"/>
  <c r="I412" i="1"/>
  <c r="I413" i="1"/>
  <c r="I414" i="1"/>
  <c r="I415" i="1"/>
  <c r="I416" i="1"/>
  <c r="I417" i="1"/>
  <c r="I418" i="1"/>
  <c r="I419" i="1"/>
  <c r="C411" i="1"/>
  <c r="E411" i="1"/>
  <c r="P411" i="1" s="1"/>
  <c r="C412" i="1"/>
  <c r="E412" i="1"/>
  <c r="P412" i="1" s="1"/>
  <c r="C413" i="1"/>
  <c r="E413" i="1"/>
  <c r="P413" i="1" s="1"/>
  <c r="C414" i="1"/>
  <c r="E414" i="1"/>
  <c r="P414" i="1" s="1"/>
  <c r="C415" i="1"/>
  <c r="E415" i="1"/>
  <c r="P415" i="1" s="1"/>
  <c r="C416" i="1"/>
  <c r="E416" i="1"/>
  <c r="P416" i="1" s="1"/>
  <c r="C417" i="1"/>
  <c r="E417" i="1"/>
  <c r="P417" i="1" s="1"/>
  <c r="C418" i="1"/>
  <c r="E418" i="1"/>
  <c r="P418" i="1" s="1"/>
  <c r="C419" i="1"/>
  <c r="E419" i="1"/>
  <c r="P419" i="1" s="1"/>
  <c r="E410" i="1"/>
  <c r="P410" i="1" s="1"/>
  <c r="C410" i="1"/>
  <c r="C400" i="1" l="1"/>
  <c r="E400" i="1"/>
  <c r="P400" i="1" s="1"/>
  <c r="C401" i="1"/>
  <c r="E401" i="1"/>
  <c r="P401" i="1" s="1"/>
  <c r="C402" i="1"/>
  <c r="E402" i="1"/>
  <c r="P402" i="1" s="1"/>
  <c r="C403" i="1"/>
  <c r="E403" i="1"/>
  <c r="P403" i="1" s="1"/>
  <c r="C404" i="1"/>
  <c r="E404" i="1"/>
  <c r="P404" i="1" s="1"/>
  <c r="C405" i="1"/>
  <c r="E405" i="1"/>
  <c r="P405" i="1" s="1"/>
  <c r="C406" i="1"/>
  <c r="E406" i="1"/>
  <c r="P406" i="1" s="1"/>
  <c r="C407" i="1"/>
  <c r="E407" i="1"/>
  <c r="P407" i="1" s="1"/>
  <c r="C408" i="1"/>
  <c r="E408" i="1"/>
  <c r="P408" i="1" s="1"/>
  <c r="C409" i="1"/>
  <c r="E409" i="1"/>
  <c r="P409" i="1" s="1"/>
  <c r="I399" i="1"/>
  <c r="I400" i="1"/>
  <c r="I401" i="1"/>
  <c r="I402" i="1"/>
  <c r="I403" i="1"/>
  <c r="I404" i="1"/>
  <c r="I405" i="1"/>
  <c r="I406" i="1"/>
  <c r="I407" i="1"/>
  <c r="I408" i="1"/>
  <c r="I409" i="1"/>
  <c r="E399" i="1"/>
  <c r="P399" i="1" s="1"/>
  <c r="C399" i="1"/>
  <c r="C389" i="1" l="1"/>
  <c r="E389" i="1"/>
  <c r="P389" i="1" s="1"/>
  <c r="C390" i="1"/>
  <c r="E390" i="1"/>
  <c r="P390" i="1" s="1"/>
  <c r="C391" i="1"/>
  <c r="E391" i="1"/>
  <c r="P391" i="1" s="1"/>
  <c r="C392" i="1"/>
  <c r="E392" i="1"/>
  <c r="P392" i="1" s="1"/>
  <c r="C393" i="1"/>
  <c r="E393" i="1"/>
  <c r="P393" i="1" s="1"/>
  <c r="C394" i="1"/>
  <c r="E394" i="1"/>
  <c r="P394" i="1" s="1"/>
  <c r="C395" i="1"/>
  <c r="E395" i="1"/>
  <c r="P395" i="1" s="1"/>
  <c r="C396" i="1"/>
  <c r="E396" i="1"/>
  <c r="P396" i="1" s="1"/>
  <c r="C397" i="1"/>
  <c r="E397" i="1"/>
  <c r="P397" i="1" s="1"/>
  <c r="C398" i="1"/>
  <c r="E398" i="1"/>
  <c r="P398" i="1" s="1"/>
  <c r="I389" i="1"/>
  <c r="I390" i="1"/>
  <c r="I391" i="1"/>
  <c r="I392" i="1"/>
  <c r="I393" i="1"/>
  <c r="I394" i="1"/>
  <c r="I395" i="1"/>
  <c r="I396" i="1"/>
  <c r="I397" i="1"/>
  <c r="I398" i="1"/>
  <c r="I388" i="1"/>
  <c r="E388" i="1"/>
  <c r="P388" i="1" s="1"/>
  <c r="C388" i="1"/>
  <c r="C358" i="1" l="1"/>
  <c r="E358" i="1"/>
  <c r="C359" i="1"/>
  <c r="E359" i="1"/>
  <c r="P359" i="1" s="1"/>
  <c r="C360" i="1"/>
  <c r="E360" i="1"/>
  <c r="P360" i="1" s="1"/>
  <c r="C361" i="1"/>
  <c r="E361" i="1"/>
  <c r="P361" i="1" s="1"/>
  <c r="C362" i="1"/>
  <c r="E362" i="1"/>
  <c r="P362" i="1" s="1"/>
  <c r="C363" i="1"/>
  <c r="E363" i="1"/>
  <c r="P363" i="1" s="1"/>
  <c r="C364" i="1"/>
  <c r="E364" i="1"/>
  <c r="P364" i="1" s="1"/>
  <c r="C365" i="1"/>
  <c r="E365" i="1"/>
  <c r="P365" i="1" s="1"/>
  <c r="C366" i="1"/>
  <c r="E366" i="1"/>
  <c r="P366" i="1" s="1"/>
  <c r="C367" i="1"/>
  <c r="E367" i="1"/>
  <c r="P367" i="1" s="1"/>
  <c r="C368" i="1"/>
  <c r="E368" i="1"/>
  <c r="P368" i="1" s="1"/>
  <c r="C369" i="1"/>
  <c r="E369" i="1"/>
  <c r="P369" i="1" s="1"/>
  <c r="C370" i="1"/>
  <c r="E370" i="1"/>
  <c r="P370" i="1" s="1"/>
  <c r="C371" i="1"/>
  <c r="E371" i="1"/>
  <c r="P371" i="1" s="1"/>
  <c r="C372" i="1"/>
  <c r="E372" i="1"/>
  <c r="P372" i="1" s="1"/>
  <c r="C373" i="1"/>
  <c r="E373" i="1"/>
  <c r="P373" i="1" s="1"/>
  <c r="C374" i="1"/>
  <c r="E374" i="1"/>
  <c r="P374" i="1" s="1"/>
  <c r="C375" i="1"/>
  <c r="E375" i="1"/>
  <c r="P375" i="1" s="1"/>
  <c r="C376" i="1"/>
  <c r="E376" i="1"/>
  <c r="P376" i="1" s="1"/>
  <c r="C377" i="1"/>
  <c r="E377" i="1"/>
  <c r="P377" i="1" s="1"/>
  <c r="C378" i="1"/>
  <c r="E378" i="1"/>
  <c r="P378" i="1" s="1"/>
  <c r="C379" i="1"/>
  <c r="E379" i="1"/>
  <c r="P379" i="1" s="1"/>
  <c r="C380" i="1"/>
  <c r="E380" i="1"/>
  <c r="P380" i="1" s="1"/>
  <c r="C381" i="1"/>
  <c r="E381" i="1"/>
  <c r="P381" i="1" s="1"/>
  <c r="C382" i="1"/>
  <c r="E382" i="1"/>
  <c r="P382" i="1" s="1"/>
  <c r="C383" i="1"/>
  <c r="E383" i="1"/>
  <c r="P383" i="1" s="1"/>
  <c r="C384" i="1"/>
  <c r="E384" i="1"/>
  <c r="P384" i="1" s="1"/>
  <c r="C385" i="1"/>
  <c r="E385" i="1"/>
  <c r="P385" i="1" s="1"/>
  <c r="C386" i="1"/>
  <c r="E386" i="1"/>
  <c r="P386" i="1" s="1"/>
  <c r="C387" i="1"/>
  <c r="E387" i="1"/>
  <c r="P387" i="1" s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P358" i="1"/>
  <c r="I358" i="1"/>
  <c r="G39" i="3" l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C349" i="1"/>
  <c r="E349" i="1"/>
  <c r="P349" i="1" s="1"/>
  <c r="C350" i="1"/>
  <c r="E350" i="1"/>
  <c r="P350" i="1" s="1"/>
  <c r="C351" i="1"/>
  <c r="E351" i="1"/>
  <c r="P351" i="1" s="1"/>
  <c r="C352" i="1"/>
  <c r="E352" i="1"/>
  <c r="P352" i="1" s="1"/>
  <c r="C353" i="1"/>
  <c r="E353" i="1"/>
  <c r="P353" i="1" s="1"/>
  <c r="C354" i="1"/>
  <c r="E354" i="1"/>
  <c r="P354" i="1" s="1"/>
  <c r="C355" i="1"/>
  <c r="E355" i="1"/>
  <c r="P355" i="1" s="1"/>
  <c r="C356" i="1"/>
  <c r="E356" i="1"/>
  <c r="P356" i="1" s="1"/>
  <c r="C357" i="1"/>
  <c r="E357" i="1"/>
  <c r="P357" i="1" s="1"/>
  <c r="C348" i="1"/>
  <c r="E348" i="1"/>
  <c r="P348" i="1" s="1"/>
  <c r="G38" i="3" l="1"/>
  <c r="G37" i="3"/>
  <c r="C341" i="1"/>
  <c r="E341" i="1"/>
  <c r="P341" i="1" s="1"/>
  <c r="C346" i="1"/>
  <c r="E346" i="1"/>
  <c r="P346" i="1" s="1"/>
  <c r="C342" i="1"/>
  <c r="E342" i="1"/>
  <c r="P342" i="1" s="1"/>
  <c r="C343" i="1"/>
  <c r="E343" i="1"/>
  <c r="P343" i="1" s="1"/>
  <c r="C347" i="1"/>
  <c r="E347" i="1"/>
  <c r="P347" i="1" s="1"/>
  <c r="C344" i="1"/>
  <c r="E344" i="1"/>
  <c r="P344" i="1" s="1"/>
  <c r="C345" i="1"/>
  <c r="E345" i="1"/>
  <c r="P345" i="1" s="1"/>
  <c r="I341" i="1"/>
  <c r="I342" i="1"/>
  <c r="I343" i="1"/>
  <c r="I340" i="1"/>
  <c r="C340" i="1"/>
  <c r="E340" i="1"/>
  <c r="P340" i="1" s="1"/>
  <c r="G36" i="3" l="1"/>
  <c r="C333" i="1"/>
  <c r="E333" i="1"/>
  <c r="C334" i="1"/>
  <c r="E334" i="1"/>
  <c r="P334" i="1" s="1"/>
  <c r="C335" i="1"/>
  <c r="E335" i="1"/>
  <c r="P335" i="1" s="1"/>
  <c r="C336" i="1"/>
  <c r="E336" i="1"/>
  <c r="P336" i="1" s="1"/>
  <c r="C337" i="1"/>
  <c r="E337" i="1"/>
  <c r="P337" i="1" s="1"/>
  <c r="C338" i="1"/>
  <c r="E338" i="1"/>
  <c r="P338" i="1" s="1"/>
  <c r="C339" i="1"/>
  <c r="E339" i="1"/>
  <c r="P339" i="1" s="1"/>
  <c r="I333" i="1"/>
  <c r="I334" i="1"/>
  <c r="I335" i="1"/>
  <c r="I336" i="1"/>
  <c r="I337" i="1"/>
  <c r="I338" i="1"/>
  <c r="I339" i="1"/>
  <c r="P333" i="1"/>
  <c r="I332" i="1"/>
  <c r="E332" i="1"/>
  <c r="P332" i="1" s="1"/>
  <c r="C332" i="1"/>
  <c r="I318" i="1" l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G9" i="3"/>
  <c r="G35" i="3"/>
  <c r="G34" i="3"/>
  <c r="G32" i="3"/>
  <c r="G33" i="3"/>
  <c r="E319" i="1"/>
  <c r="P319" i="1" s="1"/>
  <c r="E320" i="1"/>
  <c r="P320" i="1" s="1"/>
  <c r="E321" i="1"/>
  <c r="P321" i="1" s="1"/>
  <c r="E323" i="1"/>
  <c r="P323" i="1" s="1"/>
  <c r="E324" i="1"/>
  <c r="P324" i="1" s="1"/>
  <c r="E325" i="1"/>
  <c r="P325" i="1" s="1"/>
  <c r="E322" i="1"/>
  <c r="P322" i="1" s="1"/>
  <c r="E326" i="1"/>
  <c r="P326" i="1" s="1"/>
  <c r="E327" i="1"/>
  <c r="P327" i="1" s="1"/>
  <c r="E328" i="1"/>
  <c r="P328" i="1" s="1"/>
  <c r="E329" i="1"/>
  <c r="P329" i="1" s="1"/>
  <c r="E330" i="1"/>
  <c r="P330" i="1" s="1"/>
  <c r="E331" i="1"/>
  <c r="P331" i="1" s="1"/>
  <c r="E318" i="1"/>
  <c r="P318" i="1" s="1"/>
  <c r="C319" i="1"/>
  <c r="C320" i="1"/>
  <c r="C321" i="1"/>
  <c r="C323" i="1"/>
  <c r="C324" i="1"/>
  <c r="C325" i="1"/>
  <c r="C322" i="1"/>
  <c r="C326" i="1"/>
  <c r="C327" i="1"/>
  <c r="C328" i="1"/>
  <c r="C329" i="1"/>
  <c r="C330" i="1"/>
  <c r="C331" i="1"/>
  <c r="C318" i="1"/>
  <c r="G19" i="3" l="1"/>
  <c r="I311" i="1"/>
  <c r="I312" i="1"/>
  <c r="I313" i="1"/>
  <c r="I314" i="1"/>
  <c r="I315" i="1"/>
  <c r="I316" i="1"/>
  <c r="I317" i="1"/>
  <c r="C311" i="1"/>
  <c r="E311" i="1"/>
  <c r="P311" i="1" s="1"/>
  <c r="C312" i="1"/>
  <c r="E312" i="1"/>
  <c r="P312" i="1" s="1"/>
  <c r="C313" i="1"/>
  <c r="E313" i="1"/>
  <c r="P313" i="1" s="1"/>
  <c r="C314" i="1"/>
  <c r="E314" i="1"/>
  <c r="P314" i="1" s="1"/>
  <c r="C315" i="1"/>
  <c r="E315" i="1"/>
  <c r="P315" i="1" s="1"/>
  <c r="C316" i="1"/>
  <c r="E316" i="1"/>
  <c r="P316" i="1" s="1"/>
  <c r="C317" i="1"/>
  <c r="E317" i="1"/>
  <c r="P317" i="1" s="1"/>
  <c r="G31" i="3" l="1"/>
  <c r="G17" i="3" l="1"/>
  <c r="G11" i="3" l="1"/>
  <c r="G10" i="3"/>
  <c r="G21" i="3"/>
  <c r="G26" i="3"/>
  <c r="G22" i="3"/>
  <c r="G13" i="3" l="1"/>
  <c r="G14" i="3"/>
  <c r="G15" i="3"/>
  <c r="G18" i="3"/>
  <c r="G16" i="3"/>
  <c r="G20" i="3"/>
  <c r="G23" i="3"/>
  <c r="G25" i="3"/>
  <c r="G24" i="3"/>
  <c r="G29" i="3"/>
  <c r="G30" i="3"/>
  <c r="G27" i="3"/>
  <c r="G28" i="3"/>
  <c r="G12" i="3"/>
  <c r="C183" i="1" l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P229" i="1" l="1"/>
  <c r="P230" i="1"/>
  <c r="P231" i="1"/>
  <c r="P226" i="1"/>
  <c r="P227" i="1"/>
  <c r="P228" i="1"/>
  <c r="P223" i="1"/>
  <c r="P224" i="1"/>
  <c r="P225" i="1"/>
  <c r="P220" i="1"/>
  <c r="P221" i="1"/>
  <c r="P222" i="1"/>
  <c r="P217" i="1" l="1"/>
  <c r="P218" i="1"/>
  <c r="P219" i="1"/>
  <c r="P214" i="1" l="1"/>
  <c r="P215" i="1"/>
  <c r="P216" i="1"/>
  <c r="P211" i="1" l="1"/>
  <c r="P212" i="1"/>
  <c r="P213" i="1"/>
  <c r="P208" i="1" l="1"/>
  <c r="P209" i="1"/>
  <c r="P210" i="1"/>
  <c r="P206" i="1" l="1"/>
  <c r="P207" i="1"/>
  <c r="P198" i="1"/>
  <c r="P199" i="1"/>
  <c r="P200" i="1"/>
  <c r="P201" i="1"/>
  <c r="P202" i="1"/>
  <c r="P203" i="1"/>
  <c r="P204" i="1"/>
  <c r="P205" i="1"/>
  <c r="P196" i="1" l="1"/>
  <c r="P197" i="1"/>
  <c r="P193" i="1" l="1"/>
  <c r="P194" i="1"/>
  <c r="P195" i="1"/>
  <c r="P190" i="1" l="1"/>
  <c r="P191" i="1"/>
  <c r="P192" i="1"/>
  <c r="P188" i="1" l="1"/>
  <c r="P189" i="1"/>
  <c r="P186" i="1" l="1"/>
  <c r="P187" i="1"/>
  <c r="P183" i="1"/>
  <c r="P184" i="1"/>
  <c r="P185" i="1"/>
  <c r="G7" i="3" l="1"/>
  <c r="G6" i="3"/>
  <c r="G5" i="3"/>
  <c r="G4" i="3"/>
  <c r="G3" i="3"/>
  <c r="G2" i="3" l="1"/>
  <c r="L864" i="1" l="1"/>
  <c r="L858" i="1"/>
  <c r="L880" i="1"/>
  <c r="N859" i="1"/>
  <c r="N868" i="1"/>
  <c r="N890" i="1"/>
  <c r="L893" i="1"/>
  <c r="L887" i="1"/>
  <c r="L890" i="1"/>
  <c r="N886" i="1"/>
  <c r="N883" i="1"/>
  <c r="N877" i="1"/>
  <c r="L878" i="1"/>
  <c r="N866" i="1"/>
  <c r="L871" i="1"/>
  <c r="L875" i="1"/>
  <c r="L874" i="1"/>
  <c r="N862" i="1"/>
  <c r="L865" i="1"/>
  <c r="L857" i="1"/>
  <c r="L861" i="1"/>
  <c r="N895" i="1"/>
  <c r="L886" i="1"/>
  <c r="L882" i="1"/>
  <c r="N867" i="1"/>
  <c r="N864" i="1"/>
  <c r="N882" i="1"/>
  <c r="L860" i="1"/>
  <c r="N865" i="1"/>
  <c r="N874" i="1"/>
  <c r="L879" i="1"/>
  <c r="N888" i="1"/>
  <c r="N893" i="1"/>
  <c r="N887" i="1"/>
  <c r="L888" i="1"/>
  <c r="L885" i="1"/>
  <c r="L881" i="1"/>
  <c r="N879" i="1"/>
  <c r="N880" i="1"/>
  <c r="L866" i="1"/>
  <c r="N871" i="1"/>
  <c r="N875" i="1"/>
  <c r="L872" i="1"/>
  <c r="N858" i="1"/>
  <c r="L863" i="1"/>
  <c r="N857" i="1"/>
  <c r="N878" i="1"/>
  <c r="L869" i="1"/>
  <c r="N863" i="1"/>
  <c r="N872" i="1"/>
  <c r="L894" i="1"/>
  <c r="L895" i="1"/>
  <c r="L891" i="1"/>
  <c r="N889" i="1"/>
  <c r="N894" i="1"/>
  <c r="N885" i="1"/>
  <c r="N881" i="1"/>
  <c r="L884" i="1"/>
  <c r="L876" i="1"/>
  <c r="L873" i="1"/>
  <c r="L867" i="1"/>
  <c r="N869" i="1"/>
  <c r="N870" i="1"/>
  <c r="N860" i="1"/>
  <c r="L859" i="1"/>
  <c r="L889" i="1"/>
  <c r="L870" i="1"/>
  <c r="N892" i="1"/>
  <c r="N891" i="1"/>
  <c r="L883" i="1"/>
  <c r="N876" i="1"/>
  <c r="L862" i="1"/>
  <c r="N884" i="1"/>
  <c r="L892" i="1"/>
  <c r="L877" i="1"/>
  <c r="N873" i="1"/>
  <c r="L868" i="1"/>
  <c r="N861" i="1"/>
  <c r="L783" i="1"/>
  <c r="N774" i="1"/>
  <c r="L804" i="1"/>
  <c r="L814" i="1"/>
  <c r="L787" i="1"/>
  <c r="N764" i="1"/>
  <c r="L781" i="1"/>
  <c r="N793" i="1"/>
  <c r="N832" i="1"/>
  <c r="L852" i="1"/>
  <c r="L792" i="1"/>
  <c r="L767" i="1"/>
  <c r="L815" i="1"/>
  <c r="N807" i="1"/>
  <c r="L848" i="1"/>
  <c r="N853" i="1"/>
  <c r="L850" i="1"/>
  <c r="L843" i="1"/>
  <c r="L844" i="1"/>
  <c r="L838" i="1"/>
  <c r="L841" i="1"/>
  <c r="L825" i="1"/>
  <c r="L821" i="1"/>
  <c r="N824" i="1"/>
  <c r="N835" i="1"/>
  <c r="N831" i="1"/>
  <c r="L830" i="1"/>
  <c r="L828" i="1"/>
  <c r="N825" i="1"/>
  <c r="N806" i="1"/>
  <c r="N810" i="1"/>
  <c r="N820" i="1"/>
  <c r="L813" i="1"/>
  <c r="N815" i="1"/>
  <c r="L801" i="1"/>
  <c r="N794" i="1"/>
  <c r="L797" i="1"/>
  <c r="L791" i="1"/>
  <c r="N773" i="1"/>
  <c r="N765" i="1"/>
  <c r="N788" i="1"/>
  <c r="N784" i="1"/>
  <c r="N780" i="1"/>
  <c r="N787" i="1"/>
  <c r="N771" i="1"/>
  <c r="L772" i="1"/>
  <c r="L762" i="1"/>
  <c r="L760" i="1"/>
  <c r="L800" i="1"/>
  <c r="N768" i="1"/>
  <c r="L820" i="1"/>
  <c r="L810" i="1"/>
  <c r="L851" i="1"/>
  <c r="N760" i="1"/>
  <c r="N799" i="1"/>
  <c r="N791" i="1"/>
  <c r="N830" i="1"/>
  <c r="N850" i="1"/>
  <c r="N827" i="1"/>
  <c r="L763" i="1"/>
  <c r="N813" i="1"/>
  <c r="L805" i="1"/>
  <c r="L855" i="1"/>
  <c r="L849" i="1"/>
  <c r="N852" i="1"/>
  <c r="N841" i="1"/>
  <c r="N844" i="1"/>
  <c r="N838" i="1"/>
  <c r="L845" i="1"/>
  <c r="N843" i="1"/>
  <c r="N823" i="1"/>
  <c r="L826" i="1"/>
  <c r="L822" i="1"/>
  <c r="L833" i="1"/>
  <c r="L829" i="1"/>
  <c r="L832" i="1"/>
  <c r="N828" i="1"/>
  <c r="L790" i="1"/>
  <c r="L802" i="1"/>
  <c r="N818" i="1"/>
  <c r="N812" i="1"/>
  <c r="L809" i="1"/>
  <c r="N811" i="1"/>
  <c r="N801" i="1"/>
  <c r="N796" i="1"/>
  <c r="L795" i="1"/>
  <c r="L789" i="1"/>
  <c r="L769" i="1"/>
  <c r="L761" i="1"/>
  <c r="L786" i="1"/>
  <c r="L782" i="1"/>
  <c r="L778" i="1"/>
  <c r="N783" i="1"/>
  <c r="N763" i="1"/>
  <c r="L770" i="1"/>
  <c r="L776" i="1"/>
  <c r="L796" i="1"/>
  <c r="N766" i="1"/>
  <c r="L818" i="1"/>
  <c r="L808" i="1"/>
  <c r="N772" i="1"/>
  <c r="N777" i="1"/>
  <c r="N797" i="1"/>
  <c r="L836" i="1"/>
  <c r="N856" i="1"/>
  <c r="N779" i="1"/>
  <c r="L775" i="1"/>
  <c r="L819" i="1"/>
  <c r="L811" i="1"/>
  <c r="L803" i="1"/>
  <c r="N855" i="1"/>
  <c r="N849" i="1"/>
  <c r="L854" i="1"/>
  <c r="N847" i="1"/>
  <c r="L846" i="1"/>
  <c r="L840" i="1"/>
  <c r="L842" i="1"/>
  <c r="L839" i="1"/>
  <c r="L837" i="1"/>
  <c r="L812" i="1"/>
  <c r="N826" i="1"/>
  <c r="N822" i="1"/>
  <c r="N833" i="1"/>
  <c r="N829" i="1"/>
  <c r="N836" i="1"/>
  <c r="L827" i="1"/>
  <c r="N790" i="1"/>
  <c r="N802" i="1"/>
  <c r="N816" i="1"/>
  <c r="N804" i="1"/>
  <c r="L807" i="1"/>
  <c r="N805" i="1"/>
  <c r="N798" i="1"/>
  <c r="N800" i="1"/>
  <c r="L799" i="1"/>
  <c r="N789" i="1"/>
  <c r="N769" i="1"/>
  <c r="N761" i="1"/>
  <c r="N786" i="1"/>
  <c r="N782" i="1"/>
  <c r="N778" i="1"/>
  <c r="L785" i="1"/>
  <c r="N781" i="1"/>
  <c r="N775" i="1"/>
  <c r="L768" i="1"/>
  <c r="L774" i="1"/>
  <c r="N776" i="1"/>
  <c r="N762" i="1"/>
  <c r="L816" i="1"/>
  <c r="N839" i="1"/>
  <c r="N770" i="1"/>
  <c r="N785" i="1"/>
  <c r="N795" i="1"/>
  <c r="L834" i="1"/>
  <c r="N854" i="1"/>
  <c r="L798" i="1"/>
  <c r="L771" i="1"/>
  <c r="N817" i="1"/>
  <c r="N809" i="1"/>
  <c r="N848" i="1"/>
  <c r="L853" i="1"/>
  <c r="N851" i="1"/>
  <c r="L856" i="1"/>
  <c r="N845" i="1"/>
  <c r="N846" i="1"/>
  <c r="N840" i="1"/>
  <c r="N842" i="1"/>
  <c r="L847" i="1"/>
  <c r="N837" i="1"/>
  <c r="N821" i="1"/>
  <c r="L824" i="1"/>
  <c r="L835" i="1"/>
  <c r="L831" i="1"/>
  <c r="N834" i="1"/>
  <c r="L823" i="1"/>
  <c r="L806" i="1"/>
  <c r="N814" i="1"/>
  <c r="N808" i="1"/>
  <c r="L817" i="1"/>
  <c r="N819" i="1"/>
  <c r="N803" i="1"/>
  <c r="L794" i="1"/>
  <c r="N792" i="1"/>
  <c r="L793" i="1"/>
  <c r="L773" i="1"/>
  <c r="L765" i="1"/>
  <c r="L788" i="1"/>
  <c r="L784" i="1"/>
  <c r="L780" i="1"/>
  <c r="L779" i="1"/>
  <c r="L777" i="1"/>
  <c r="N767" i="1"/>
  <c r="L766" i="1"/>
  <c r="L764" i="1"/>
  <c r="N722" i="1"/>
  <c r="N714" i="1"/>
  <c r="L741" i="1"/>
  <c r="L750" i="1"/>
  <c r="L719" i="1"/>
  <c r="N726" i="1"/>
  <c r="N759" i="1"/>
  <c r="L745" i="1"/>
  <c r="N752" i="1"/>
  <c r="L753" i="1"/>
  <c r="L747" i="1"/>
  <c r="N745" i="1"/>
  <c r="N750" i="1"/>
  <c r="L737" i="1"/>
  <c r="L739" i="1"/>
  <c r="L736" i="1"/>
  <c r="L731" i="1"/>
  <c r="N728" i="1"/>
  <c r="N727" i="1"/>
  <c r="L732" i="1"/>
  <c r="L723" i="1"/>
  <c r="L715" i="1"/>
  <c r="N719" i="1"/>
  <c r="L718" i="1"/>
  <c r="N716" i="1"/>
  <c r="N720" i="1"/>
  <c r="L727" i="1"/>
  <c r="L752" i="1"/>
  <c r="N748" i="1"/>
  <c r="L717" i="1"/>
  <c r="N740" i="1"/>
  <c r="N757" i="1"/>
  <c r="L743" i="1"/>
  <c r="L756" i="1"/>
  <c r="N758" i="1"/>
  <c r="N755" i="1"/>
  <c r="N747" i="1"/>
  <c r="N743" i="1"/>
  <c r="N746" i="1"/>
  <c r="N737" i="1"/>
  <c r="N739" i="1"/>
  <c r="N738" i="1"/>
  <c r="N731" i="1"/>
  <c r="L728" i="1"/>
  <c r="L726" i="1"/>
  <c r="N723" i="1"/>
  <c r="N715" i="1"/>
  <c r="N717" i="1"/>
  <c r="L714" i="1"/>
  <c r="L712" i="1"/>
  <c r="N718" i="1"/>
  <c r="L733" i="1"/>
  <c r="L758" i="1"/>
  <c r="L746" i="1"/>
  <c r="N732" i="1"/>
  <c r="L738" i="1"/>
  <c r="L755" i="1"/>
  <c r="N756" i="1"/>
  <c r="L757" i="1"/>
  <c r="L751" i="1"/>
  <c r="L749" i="1"/>
  <c r="L748" i="1"/>
  <c r="L742" i="1"/>
  <c r="L735" i="1"/>
  <c r="N741" i="1"/>
  <c r="L734" i="1"/>
  <c r="L725" i="1"/>
  <c r="N729" i="1"/>
  <c r="L724" i="1"/>
  <c r="L721" i="1"/>
  <c r="L713" i="1"/>
  <c r="L722" i="1"/>
  <c r="N712" i="1"/>
  <c r="N754" i="1"/>
  <c r="L759" i="1"/>
  <c r="N751" i="1"/>
  <c r="N749" i="1"/>
  <c r="L744" i="1"/>
  <c r="N742" i="1"/>
  <c r="L716" i="1"/>
  <c r="L729" i="1"/>
  <c r="L754" i="1"/>
  <c r="N744" i="1"/>
  <c r="N730" i="1"/>
  <c r="N736" i="1"/>
  <c r="N753" i="1"/>
  <c r="N735" i="1"/>
  <c r="N725" i="1"/>
  <c r="N724" i="1"/>
  <c r="N733" i="1"/>
  <c r="N721" i="1"/>
  <c r="L720" i="1"/>
  <c r="L740" i="1"/>
  <c r="N713" i="1"/>
  <c r="N734" i="1"/>
  <c r="L730" i="1"/>
  <c r="L700" i="1"/>
  <c r="L701" i="1"/>
  <c r="N709" i="1"/>
  <c r="L708" i="1"/>
  <c r="N702" i="1"/>
  <c r="N703" i="1"/>
  <c r="N708" i="1"/>
  <c r="L703" i="1"/>
  <c r="N710" i="1"/>
  <c r="L702" i="1"/>
  <c r="L710" i="1"/>
  <c r="L706" i="1"/>
  <c r="L707" i="1"/>
  <c r="N705" i="1"/>
  <c r="L709" i="1"/>
  <c r="L705" i="1"/>
  <c r="N701" i="1"/>
  <c r="N711" i="1"/>
  <c r="N706" i="1"/>
  <c r="L711" i="1"/>
  <c r="N700" i="1"/>
  <c r="L704" i="1"/>
  <c r="N707" i="1"/>
  <c r="N704" i="1"/>
  <c r="L660" i="1"/>
  <c r="L699" i="1"/>
  <c r="N674" i="1"/>
  <c r="N658" i="1"/>
  <c r="L661" i="1"/>
  <c r="L673" i="1"/>
  <c r="N680" i="1"/>
  <c r="N696" i="1"/>
  <c r="L691" i="1"/>
  <c r="L693" i="1"/>
  <c r="N695" i="1"/>
  <c r="L698" i="1"/>
  <c r="L692" i="1"/>
  <c r="L688" i="1"/>
  <c r="L684" i="1"/>
  <c r="N691" i="1"/>
  <c r="L665" i="1"/>
  <c r="L681" i="1"/>
  <c r="L677" i="1"/>
  <c r="L678" i="1"/>
  <c r="N673" i="1"/>
  <c r="N671" i="1"/>
  <c r="L666" i="1"/>
  <c r="L655" i="1"/>
  <c r="N659" i="1"/>
  <c r="L652" i="1"/>
  <c r="N650" i="1"/>
  <c r="L690" i="1"/>
  <c r="L663" i="1"/>
  <c r="L680" i="1"/>
  <c r="N667" i="1"/>
  <c r="N661" i="1"/>
  <c r="L658" i="1"/>
  <c r="N664" i="1"/>
  <c r="N666" i="1"/>
  <c r="N682" i="1"/>
  <c r="N685" i="1"/>
  <c r="N697" i="1"/>
  <c r="N690" i="1"/>
  <c r="N683" i="1"/>
  <c r="N675" i="1"/>
  <c r="N669" i="1"/>
  <c r="N653" i="1"/>
  <c r="N652" i="1"/>
  <c r="L695" i="1"/>
  <c r="L654" i="1"/>
  <c r="L659" i="1"/>
  <c r="L671" i="1"/>
  <c r="N678" i="1"/>
  <c r="L694" i="1"/>
  <c r="N689" i="1"/>
  <c r="N693" i="1"/>
  <c r="N699" i="1"/>
  <c r="N692" i="1"/>
  <c r="N688" i="1"/>
  <c r="N684" i="1"/>
  <c r="N687" i="1"/>
  <c r="N665" i="1"/>
  <c r="N681" i="1"/>
  <c r="N677" i="1"/>
  <c r="L682" i="1"/>
  <c r="L674" i="1"/>
  <c r="L667" i="1"/>
  <c r="L670" i="1"/>
  <c r="N668" i="1"/>
  <c r="N655" i="1"/>
  <c r="N651" i="1"/>
  <c r="N660" i="1"/>
  <c r="L696" i="1"/>
  <c r="L685" i="1"/>
  <c r="L679" i="1"/>
  <c r="N662" i="1"/>
  <c r="L657" i="1"/>
  <c r="N654" i="1"/>
  <c r="L651" i="1"/>
  <c r="N698" i="1"/>
  <c r="L668" i="1"/>
  <c r="N694" i="1"/>
  <c r="L689" i="1"/>
  <c r="N679" i="1"/>
  <c r="L662" i="1"/>
  <c r="L672" i="1"/>
  <c r="L656" i="1"/>
  <c r="N672" i="1"/>
  <c r="N670" i="1"/>
  <c r="L653" i="1"/>
  <c r="L669" i="1"/>
  <c r="N676" i="1"/>
  <c r="N656" i="1"/>
  <c r="L687" i="1"/>
  <c r="L697" i="1"/>
  <c r="L686" i="1"/>
  <c r="L683" i="1"/>
  <c r="L675" i="1"/>
  <c r="L664" i="1"/>
  <c r="N686" i="1"/>
  <c r="N663" i="1"/>
  <c r="L676" i="1"/>
  <c r="N657" i="1"/>
  <c r="L650" i="1"/>
  <c r="N637" i="1"/>
  <c r="L639" i="1"/>
  <c r="L648" i="1"/>
  <c r="N638" i="1"/>
  <c r="N636" i="1"/>
  <c r="N648" i="1"/>
  <c r="L644" i="1"/>
  <c r="L649" i="1"/>
  <c r="N647" i="1"/>
  <c r="N633" i="1"/>
  <c r="N645" i="1"/>
  <c r="L642" i="1"/>
  <c r="L634" i="1"/>
  <c r="N644" i="1"/>
  <c r="L646" i="1"/>
  <c r="L647" i="1"/>
  <c r="L645" i="1"/>
  <c r="N643" i="1"/>
  <c r="L640" i="1"/>
  <c r="N641" i="1"/>
  <c r="N642" i="1"/>
  <c r="N634" i="1"/>
  <c r="N640" i="1"/>
  <c r="L643" i="1"/>
  <c r="L641" i="1"/>
  <c r="N639" i="1"/>
  <c r="L635" i="1"/>
  <c r="N649" i="1"/>
  <c r="L638" i="1"/>
  <c r="L636" i="1"/>
  <c r="L633" i="1"/>
  <c r="N646" i="1"/>
  <c r="L637" i="1"/>
  <c r="N635" i="1"/>
  <c r="N623" i="1"/>
  <c r="N625" i="1"/>
  <c r="N626" i="1"/>
  <c r="N628" i="1"/>
  <c r="L629" i="1"/>
  <c r="L623" i="1"/>
  <c r="L630" i="1"/>
  <c r="N629" i="1"/>
  <c r="L632" i="1"/>
  <c r="L624" i="1"/>
  <c r="N630" i="1"/>
  <c r="L625" i="1"/>
  <c r="N627" i="1"/>
  <c r="L631" i="1"/>
  <c r="N632" i="1"/>
  <c r="N624" i="1"/>
  <c r="N631" i="1"/>
  <c r="L627" i="1"/>
  <c r="L626" i="1"/>
  <c r="L628" i="1"/>
  <c r="N622" i="1"/>
  <c r="N616" i="1"/>
  <c r="L621" i="1"/>
  <c r="L613" i="1"/>
  <c r="L616" i="1"/>
  <c r="N612" i="1"/>
  <c r="N614" i="1"/>
  <c r="N621" i="1"/>
  <c r="N617" i="1"/>
  <c r="N613" i="1"/>
  <c r="N620" i="1"/>
  <c r="L619" i="1"/>
  <c r="L615" i="1"/>
  <c r="L622" i="1"/>
  <c r="N618" i="1"/>
  <c r="L618" i="1"/>
  <c r="N619" i="1"/>
  <c r="N615" i="1"/>
  <c r="L614" i="1"/>
  <c r="L617" i="1"/>
  <c r="L620" i="1"/>
  <c r="L612" i="1"/>
  <c r="N601" i="1"/>
  <c r="N603" i="1"/>
  <c r="N608" i="1"/>
  <c r="N610" i="1"/>
  <c r="N609" i="1"/>
  <c r="L607" i="1"/>
  <c r="L611" i="1"/>
  <c r="L602" i="1"/>
  <c r="L606" i="1"/>
  <c r="N607" i="1"/>
  <c r="L609" i="1"/>
  <c r="L604" i="1"/>
  <c r="N602" i="1"/>
  <c r="N606" i="1"/>
  <c r="L603" i="1"/>
  <c r="N605" i="1"/>
  <c r="L605" i="1"/>
  <c r="L608" i="1"/>
  <c r="L610" i="1"/>
  <c r="N604" i="1"/>
  <c r="N611" i="1"/>
  <c r="L601" i="1"/>
  <c r="L578" i="1"/>
  <c r="L589" i="1"/>
  <c r="L579" i="1"/>
  <c r="L598" i="1"/>
  <c r="N588" i="1"/>
  <c r="L583" i="1"/>
  <c r="L597" i="1"/>
  <c r="L593" i="1"/>
  <c r="L572" i="1"/>
  <c r="L600" i="1"/>
  <c r="N576" i="1"/>
  <c r="N570" i="1"/>
  <c r="N590" i="1"/>
  <c r="L588" i="1"/>
  <c r="L580" i="1"/>
  <c r="L575" i="1"/>
  <c r="N577" i="1"/>
  <c r="L587" i="1"/>
  <c r="N575" i="1"/>
  <c r="N596" i="1"/>
  <c r="N586" i="1"/>
  <c r="N583" i="1"/>
  <c r="N597" i="1"/>
  <c r="N593" i="1"/>
  <c r="N572" i="1"/>
  <c r="L592" i="1"/>
  <c r="L574" i="1"/>
  <c r="N587" i="1"/>
  <c r="N589" i="1"/>
  <c r="L586" i="1"/>
  <c r="N579" i="1"/>
  <c r="L573" i="1"/>
  <c r="L585" i="1"/>
  <c r="N580" i="1"/>
  <c r="N594" i="1"/>
  <c r="L584" i="1"/>
  <c r="L599" i="1"/>
  <c r="L595" i="1"/>
  <c r="L591" i="1"/>
  <c r="L596" i="1"/>
  <c r="N598" i="1"/>
  <c r="N574" i="1"/>
  <c r="N578" i="1"/>
  <c r="N581" i="1"/>
  <c r="L582" i="1"/>
  <c r="L571" i="1"/>
  <c r="N573" i="1"/>
  <c r="N571" i="1"/>
  <c r="L581" i="1"/>
  <c r="N600" i="1"/>
  <c r="N592" i="1"/>
  <c r="N582" i="1"/>
  <c r="N599" i="1"/>
  <c r="N595" i="1"/>
  <c r="N591" i="1"/>
  <c r="L594" i="1"/>
  <c r="L576" i="1"/>
  <c r="L570" i="1"/>
  <c r="L590" i="1"/>
  <c r="N585" i="1"/>
  <c r="N584" i="1"/>
  <c r="L577" i="1"/>
  <c r="L569" i="1"/>
  <c r="N564" i="1"/>
  <c r="N181" i="1"/>
  <c r="N567" i="1"/>
  <c r="N565" i="1"/>
  <c r="N568" i="1"/>
  <c r="L561" i="1"/>
  <c r="L568" i="1"/>
  <c r="L182" i="1"/>
  <c r="L180" i="1"/>
  <c r="L563" i="1"/>
  <c r="N569" i="1"/>
  <c r="L564" i="1"/>
  <c r="L560" i="1"/>
  <c r="N566" i="1"/>
  <c r="N182" i="1"/>
  <c r="N180" i="1"/>
  <c r="N563" i="1"/>
  <c r="N561" i="1"/>
  <c r="L562" i="1"/>
  <c r="N560" i="1"/>
  <c r="N562" i="1"/>
  <c r="L181" i="1"/>
  <c r="L567" i="1"/>
  <c r="L565" i="1"/>
  <c r="L566" i="1"/>
  <c r="N239" i="1"/>
  <c r="L289" i="1"/>
  <c r="L251" i="1"/>
  <c r="N300" i="1"/>
  <c r="L284" i="1"/>
  <c r="N234" i="1"/>
  <c r="N305" i="1"/>
  <c r="L255" i="1"/>
  <c r="L306" i="1"/>
  <c r="L290" i="1"/>
  <c r="N274" i="1"/>
  <c r="N232" i="1"/>
  <c r="N248" i="1"/>
  <c r="N297" i="1"/>
  <c r="N299" i="1"/>
  <c r="N283" i="1"/>
  <c r="N260" i="1"/>
  <c r="N237" i="1"/>
  <c r="N253" i="1"/>
  <c r="L259" i="1"/>
  <c r="L257" i="1"/>
  <c r="L265" i="1"/>
  <c r="N236" i="1"/>
  <c r="N263" i="1"/>
  <c r="L264" i="1"/>
  <c r="N268" i="1"/>
  <c r="N245" i="1"/>
  <c r="L250" i="1"/>
  <c r="N246" i="1"/>
  <c r="N242" i="1"/>
  <c r="L302" i="1"/>
  <c r="L297" i="1"/>
  <c r="L285" i="1"/>
  <c r="L277" i="1"/>
  <c r="L271" i="1"/>
  <c r="N310" i="1"/>
  <c r="N286" i="1"/>
  <c r="L243" i="1"/>
  <c r="N277" i="1"/>
  <c r="N266" i="1"/>
  <c r="L296" i="1"/>
  <c r="N280" i="1"/>
  <c r="L246" i="1"/>
  <c r="N293" i="1"/>
  <c r="N285" i="1"/>
  <c r="N302" i="1"/>
  <c r="L286" i="1"/>
  <c r="L270" i="1"/>
  <c r="L236" i="1"/>
  <c r="L252" i="1"/>
  <c r="N258" i="1"/>
  <c r="L295" i="1"/>
  <c r="L279" i="1"/>
  <c r="N264" i="1"/>
  <c r="L241" i="1"/>
  <c r="N259" i="1"/>
  <c r="N257" i="1"/>
  <c r="N265" i="1"/>
  <c r="N238" i="1"/>
  <c r="N256" i="1"/>
  <c r="L262" i="1"/>
  <c r="N247" i="1"/>
  <c r="N249" i="1"/>
  <c r="N240" i="1"/>
  <c r="L237" i="1"/>
  <c r="L234" i="1"/>
  <c r="L301" i="1"/>
  <c r="L293" i="1"/>
  <c r="L283" i="1"/>
  <c r="L276" i="1"/>
  <c r="L309" i="1"/>
  <c r="L288" i="1"/>
  <c r="N306" i="1"/>
  <c r="N290" i="1"/>
  <c r="N284" i="1"/>
  <c r="N270" i="1"/>
  <c r="N235" i="1"/>
  <c r="L242" i="1"/>
  <c r="N308" i="1"/>
  <c r="N292" i="1"/>
  <c r="N276" i="1"/>
  <c r="N250" i="1"/>
  <c r="N281" i="1"/>
  <c r="L273" i="1"/>
  <c r="N298" i="1"/>
  <c r="N282" i="1"/>
  <c r="L238" i="1"/>
  <c r="L240" i="1"/>
  <c r="L256" i="1"/>
  <c r="N307" i="1"/>
  <c r="N291" i="1"/>
  <c r="L275" i="1"/>
  <c r="L268" i="1"/>
  <c r="L245" i="1"/>
  <c r="N243" i="1"/>
  <c r="L267" i="1"/>
  <c r="L261" i="1"/>
  <c r="L269" i="1"/>
  <c r="N241" i="1"/>
  <c r="L260" i="1"/>
  <c r="N251" i="1"/>
  <c r="L253" i="1"/>
  <c r="L239" i="1"/>
  <c r="L235" i="1"/>
  <c r="L232" i="1"/>
  <c r="L299" i="1"/>
  <c r="L292" i="1"/>
  <c r="L280" i="1"/>
  <c r="L274" i="1"/>
  <c r="L308" i="1"/>
  <c r="L282" i="1"/>
  <c r="N296" i="1"/>
  <c r="N289" i="1"/>
  <c r="N279" i="1"/>
  <c r="L305" i="1"/>
  <c r="N301" i="1"/>
  <c r="L247" i="1"/>
  <c r="N304" i="1"/>
  <c r="N288" i="1"/>
  <c r="N272" i="1"/>
  <c r="L254" i="1"/>
  <c r="N262" i="1"/>
  <c r="L310" i="1"/>
  <c r="L294" i="1"/>
  <c r="N278" i="1"/>
  <c r="L263" i="1"/>
  <c r="N244" i="1"/>
  <c r="N309" i="1"/>
  <c r="N303" i="1"/>
  <c r="L287" i="1"/>
  <c r="N271" i="1"/>
  <c r="L233" i="1"/>
  <c r="L249" i="1"/>
  <c r="N254" i="1"/>
  <c r="N267" i="1"/>
  <c r="N261" i="1"/>
  <c r="N269" i="1"/>
  <c r="N252" i="1"/>
  <c r="L266" i="1"/>
  <c r="L258" i="1"/>
  <c r="N233" i="1"/>
  <c r="N255" i="1"/>
  <c r="L248" i="1"/>
  <c r="L244" i="1"/>
  <c r="L307" i="1"/>
  <c r="L298" i="1"/>
  <c r="L291" i="1"/>
  <c r="L278" i="1"/>
  <c r="L272" i="1"/>
  <c r="L304" i="1"/>
  <c r="L281" i="1"/>
  <c r="N295" i="1"/>
  <c r="N287" i="1"/>
  <c r="N275" i="1"/>
  <c r="L303" i="1"/>
  <c r="L300" i="1"/>
  <c r="N294" i="1"/>
  <c r="N273" i="1"/>
  <c r="L559" i="1"/>
  <c r="N555" i="1"/>
  <c r="N556" i="1"/>
  <c r="L553" i="1"/>
  <c r="N559" i="1"/>
  <c r="L552" i="1"/>
  <c r="N553" i="1"/>
  <c r="L556" i="1"/>
  <c r="N552" i="1"/>
  <c r="N554" i="1"/>
  <c r="L558" i="1"/>
  <c r="L557" i="1"/>
  <c r="L555" i="1"/>
  <c r="L554" i="1"/>
  <c r="N557" i="1"/>
  <c r="N558" i="1"/>
  <c r="L549" i="1"/>
  <c r="N547" i="1"/>
  <c r="N544" i="1"/>
  <c r="N546" i="1"/>
  <c r="N549" i="1"/>
  <c r="L545" i="1"/>
  <c r="L548" i="1"/>
  <c r="L550" i="1"/>
  <c r="N545" i="1"/>
  <c r="N543" i="1"/>
  <c r="N548" i="1"/>
  <c r="N550" i="1"/>
  <c r="L551" i="1"/>
  <c r="L543" i="1"/>
  <c r="N551" i="1"/>
  <c r="L544" i="1"/>
  <c r="L546" i="1"/>
  <c r="L547" i="1"/>
  <c r="L542" i="1"/>
  <c r="L536" i="1"/>
  <c r="L539" i="1"/>
  <c r="L535" i="1"/>
  <c r="N542" i="1"/>
  <c r="N538" i="1"/>
  <c r="N539" i="1"/>
  <c r="N535" i="1"/>
  <c r="L540" i="1"/>
  <c r="N536" i="1"/>
  <c r="N534" i="1"/>
  <c r="L541" i="1"/>
  <c r="L537" i="1"/>
  <c r="L533" i="1"/>
  <c r="L538" i="1"/>
  <c r="L532" i="1"/>
  <c r="N540" i="1"/>
  <c r="N541" i="1"/>
  <c r="N537" i="1"/>
  <c r="N533" i="1"/>
  <c r="L534" i="1"/>
  <c r="N532" i="1"/>
  <c r="L502" i="1"/>
  <c r="L503" i="1"/>
  <c r="L511" i="1"/>
  <c r="N510" i="1"/>
  <c r="L508" i="1"/>
  <c r="L506" i="1"/>
  <c r="L505" i="1"/>
  <c r="L504" i="1"/>
  <c r="N512" i="1"/>
  <c r="N520" i="1"/>
  <c r="N518" i="1"/>
  <c r="N516" i="1"/>
  <c r="N514" i="1"/>
  <c r="N521" i="1"/>
  <c r="L531" i="1"/>
  <c r="L529" i="1"/>
  <c r="L527" i="1"/>
  <c r="N525" i="1"/>
  <c r="L524" i="1"/>
  <c r="L523" i="1"/>
  <c r="L519" i="1"/>
  <c r="N519" i="1"/>
  <c r="L517" i="1"/>
  <c r="N517" i="1"/>
  <c r="L515" i="1"/>
  <c r="N515" i="1"/>
  <c r="L513" i="1"/>
  <c r="N513" i="1"/>
  <c r="L530" i="1"/>
  <c r="N530" i="1"/>
  <c r="L528" i="1"/>
  <c r="N528" i="1"/>
  <c r="L526" i="1"/>
  <c r="N526" i="1"/>
  <c r="L522" i="1"/>
  <c r="N522" i="1"/>
  <c r="L509" i="1"/>
  <c r="N509" i="1"/>
  <c r="L507" i="1"/>
  <c r="N507" i="1"/>
  <c r="N524" i="1"/>
  <c r="L525" i="1"/>
  <c r="N531" i="1"/>
  <c r="N529" i="1"/>
  <c r="N527" i="1"/>
  <c r="N523" i="1"/>
  <c r="L521" i="1"/>
  <c r="L514" i="1"/>
  <c r="L520" i="1"/>
  <c r="L518" i="1"/>
  <c r="L516" i="1"/>
  <c r="L512" i="1"/>
  <c r="N505" i="1"/>
  <c r="N511" i="1"/>
  <c r="N503" i="1"/>
  <c r="L510" i="1"/>
  <c r="N508" i="1"/>
  <c r="N506" i="1"/>
  <c r="N504" i="1"/>
  <c r="N502" i="1"/>
  <c r="L493" i="1"/>
  <c r="L501" i="1"/>
  <c r="N499" i="1"/>
  <c r="L497" i="1"/>
  <c r="L495" i="1"/>
  <c r="N494" i="1"/>
  <c r="L498" i="1"/>
  <c r="N498" i="1"/>
  <c r="L496" i="1"/>
  <c r="N496" i="1"/>
  <c r="L500" i="1"/>
  <c r="N500" i="1"/>
  <c r="L499" i="1"/>
  <c r="N497" i="1"/>
  <c r="L494" i="1"/>
  <c r="N493" i="1"/>
  <c r="N501" i="1"/>
  <c r="N495" i="1"/>
  <c r="L486" i="1"/>
  <c r="L489" i="1"/>
  <c r="L488" i="1"/>
  <c r="L487" i="1"/>
  <c r="N486" i="1"/>
  <c r="N484" i="1"/>
  <c r="N490" i="1"/>
  <c r="N492" i="1"/>
  <c r="N485" i="1"/>
  <c r="N491" i="1"/>
  <c r="L484" i="1"/>
  <c r="N483" i="1"/>
  <c r="L490" i="1"/>
  <c r="L483" i="1"/>
  <c r="L491" i="1"/>
  <c r="N487" i="1"/>
  <c r="L485" i="1"/>
  <c r="N488" i="1"/>
  <c r="L492" i="1"/>
  <c r="N489" i="1"/>
  <c r="N475" i="1"/>
  <c r="N478" i="1"/>
  <c r="L481" i="1"/>
  <c r="L473" i="1"/>
  <c r="L476" i="1"/>
  <c r="N476" i="1"/>
  <c r="L482" i="1"/>
  <c r="L474" i="1"/>
  <c r="N481" i="1"/>
  <c r="N473" i="1"/>
  <c r="L479" i="1"/>
  <c r="N472" i="1"/>
  <c r="N482" i="1"/>
  <c r="N474" i="1"/>
  <c r="L477" i="1"/>
  <c r="L472" i="1"/>
  <c r="L475" i="1"/>
  <c r="L478" i="1"/>
  <c r="N479" i="1"/>
  <c r="N477" i="1"/>
  <c r="L480" i="1"/>
  <c r="N480" i="1"/>
  <c r="L470" i="1"/>
  <c r="N471" i="1"/>
  <c r="N463" i="1"/>
  <c r="N465" i="1"/>
  <c r="N464" i="1"/>
  <c r="L462" i="1"/>
  <c r="L469" i="1"/>
  <c r="L467" i="1"/>
  <c r="N466" i="1"/>
  <c r="L461" i="1"/>
  <c r="L468" i="1"/>
  <c r="N469" i="1"/>
  <c r="N467" i="1"/>
  <c r="N462" i="1"/>
  <c r="N461" i="1"/>
  <c r="L464" i="1"/>
  <c r="L471" i="1"/>
  <c r="L463" i="1"/>
  <c r="L465" i="1"/>
  <c r="N468" i="1"/>
  <c r="L466" i="1"/>
  <c r="N470" i="1"/>
  <c r="L441" i="1"/>
  <c r="L433" i="1"/>
  <c r="L460" i="1"/>
  <c r="L452" i="1"/>
  <c r="L440" i="1"/>
  <c r="L434" i="1"/>
  <c r="L444" i="1"/>
  <c r="L455" i="1"/>
  <c r="L432" i="1"/>
  <c r="N443" i="1"/>
  <c r="N435" i="1"/>
  <c r="L428" i="1"/>
  <c r="L426" i="1"/>
  <c r="N454" i="1"/>
  <c r="N446" i="1"/>
  <c r="N440" i="1"/>
  <c r="L425" i="1"/>
  <c r="L430" i="1"/>
  <c r="L429" i="1"/>
  <c r="N426" i="1"/>
  <c r="L423" i="1"/>
  <c r="L427" i="1"/>
  <c r="N441" i="1"/>
  <c r="N433" i="1"/>
  <c r="N460" i="1"/>
  <c r="N452" i="1"/>
  <c r="L438" i="1"/>
  <c r="N434" i="1"/>
  <c r="N444" i="1"/>
  <c r="N455" i="1"/>
  <c r="L447" i="1"/>
  <c r="N458" i="1"/>
  <c r="L442" i="1"/>
  <c r="L424" i="1"/>
  <c r="N431" i="1"/>
  <c r="N450" i="1"/>
  <c r="N442" i="1"/>
  <c r="N436" i="1"/>
  <c r="N425" i="1"/>
  <c r="N430" i="1"/>
  <c r="N429" i="1"/>
  <c r="N428" i="1"/>
  <c r="L437" i="1"/>
  <c r="N449" i="1"/>
  <c r="L456" i="1"/>
  <c r="N439" i="1"/>
  <c r="N438" i="1"/>
  <c r="L448" i="1"/>
  <c r="L459" i="1"/>
  <c r="L451" i="1"/>
  <c r="N447" i="1"/>
  <c r="L454" i="1"/>
  <c r="N457" i="1"/>
  <c r="N427" i="1"/>
  <c r="L458" i="1"/>
  <c r="L457" i="1"/>
  <c r="L449" i="1"/>
  <c r="N432" i="1"/>
  <c r="L421" i="1"/>
  <c r="L422" i="1"/>
  <c r="N420" i="1"/>
  <c r="N424" i="1"/>
  <c r="N437" i="1"/>
  <c r="N445" i="1"/>
  <c r="N456" i="1"/>
  <c r="L446" i="1"/>
  <c r="L436" i="1"/>
  <c r="N448" i="1"/>
  <c r="N459" i="1"/>
  <c r="N451" i="1"/>
  <c r="L443" i="1"/>
  <c r="L450" i="1"/>
  <c r="N453" i="1"/>
  <c r="N423" i="1"/>
  <c r="L453" i="1"/>
  <c r="L445" i="1"/>
  <c r="L439" i="1"/>
  <c r="L435" i="1"/>
  <c r="N421" i="1"/>
  <c r="N422" i="1"/>
  <c r="L420" i="1"/>
  <c r="L431" i="1"/>
  <c r="N415" i="1"/>
  <c r="N411" i="1"/>
  <c r="N410" i="1"/>
  <c r="N416" i="1"/>
  <c r="N412" i="1"/>
  <c r="L419" i="1"/>
  <c r="N413" i="1"/>
  <c r="N419" i="1"/>
  <c r="L418" i="1"/>
  <c r="L414" i="1"/>
  <c r="L411" i="1"/>
  <c r="L413" i="1"/>
  <c r="L416" i="1"/>
  <c r="N417" i="1"/>
  <c r="N418" i="1"/>
  <c r="N414" i="1"/>
  <c r="L417" i="1"/>
  <c r="L410" i="1"/>
  <c r="L412" i="1"/>
  <c r="L415" i="1"/>
  <c r="L408" i="1"/>
  <c r="L400" i="1"/>
  <c r="L403" i="1"/>
  <c r="N405" i="1"/>
  <c r="N409" i="1"/>
  <c r="N406" i="1"/>
  <c r="L404" i="1"/>
  <c r="N401" i="1"/>
  <c r="L406" i="1"/>
  <c r="L405" i="1"/>
  <c r="L401" i="1"/>
  <c r="L399" i="1"/>
  <c r="N403" i="1"/>
  <c r="N404" i="1"/>
  <c r="L402" i="1"/>
  <c r="N402" i="1"/>
  <c r="L407" i="1"/>
  <c r="N407" i="1"/>
  <c r="N408" i="1"/>
  <c r="L409" i="1"/>
  <c r="N399" i="1"/>
  <c r="N400" i="1"/>
  <c r="L388" i="1"/>
  <c r="L395" i="1"/>
  <c r="N394" i="1"/>
  <c r="N390" i="1"/>
  <c r="N391" i="1"/>
  <c r="N388" i="1"/>
  <c r="L396" i="1"/>
  <c r="N393" i="1"/>
  <c r="L398" i="1"/>
  <c r="L392" i="1"/>
  <c r="N396" i="1"/>
  <c r="L393" i="1"/>
  <c r="N389" i="1"/>
  <c r="L397" i="1"/>
  <c r="L394" i="1"/>
  <c r="L390" i="1"/>
  <c r="L389" i="1"/>
  <c r="L391" i="1"/>
  <c r="N398" i="1"/>
  <c r="N392" i="1"/>
  <c r="N397" i="1"/>
  <c r="N395" i="1"/>
  <c r="N384" i="1"/>
  <c r="N374" i="1"/>
  <c r="N366" i="1"/>
  <c r="N358" i="1"/>
  <c r="L383" i="1"/>
  <c r="L369" i="1"/>
  <c r="L379" i="1"/>
  <c r="L371" i="1"/>
  <c r="L363" i="1"/>
  <c r="N383" i="1"/>
  <c r="N373" i="1"/>
  <c r="N377" i="1"/>
  <c r="L378" i="1"/>
  <c r="L364" i="1"/>
  <c r="L360" i="1"/>
  <c r="N380" i="1"/>
  <c r="N372" i="1"/>
  <c r="N364" i="1"/>
  <c r="N386" i="1"/>
  <c r="L381" i="1"/>
  <c r="L365" i="1"/>
  <c r="N379" i="1"/>
  <c r="N371" i="1"/>
  <c r="N363" i="1"/>
  <c r="L387" i="1"/>
  <c r="N365" i="1"/>
  <c r="N369" i="1"/>
  <c r="L374" i="1"/>
  <c r="L362" i="1"/>
  <c r="N382" i="1"/>
  <c r="L376" i="1"/>
  <c r="N368" i="1"/>
  <c r="L385" i="1"/>
  <c r="N375" i="1"/>
  <c r="N359" i="1"/>
  <c r="N385" i="1"/>
  <c r="L384" i="1"/>
  <c r="L368" i="1"/>
  <c r="N378" i="1"/>
  <c r="L370" i="1"/>
  <c r="N362" i="1"/>
  <c r="L382" i="1"/>
  <c r="L377" i="1"/>
  <c r="L361" i="1"/>
  <c r="L375" i="1"/>
  <c r="L367" i="1"/>
  <c r="L359" i="1"/>
  <c r="N387" i="1"/>
  <c r="L358" i="1"/>
  <c r="N361" i="1"/>
  <c r="L386" i="1"/>
  <c r="L372" i="1"/>
  <c r="L380" i="1"/>
  <c r="N376" i="1"/>
  <c r="N360" i="1"/>
  <c r="L373" i="1"/>
  <c r="N367" i="1"/>
  <c r="N381" i="1"/>
  <c r="L366" i="1"/>
  <c r="N370" i="1"/>
  <c r="L348" i="1"/>
  <c r="N355" i="1"/>
  <c r="N349" i="1"/>
  <c r="L354" i="1"/>
  <c r="N348" i="1"/>
  <c r="L352" i="1"/>
  <c r="N351" i="1"/>
  <c r="N357" i="1"/>
  <c r="N354" i="1"/>
  <c r="L355" i="1"/>
  <c r="L350" i="1"/>
  <c r="L353" i="1"/>
  <c r="L356" i="1"/>
  <c r="L351" i="1"/>
  <c r="L357" i="1"/>
  <c r="N350" i="1"/>
  <c r="N353" i="1"/>
  <c r="N356" i="1"/>
  <c r="L349" i="1"/>
  <c r="N352" i="1"/>
  <c r="L341" i="1"/>
  <c r="L340" i="1"/>
  <c r="N345" i="1"/>
  <c r="N341" i="1"/>
  <c r="L345" i="1"/>
  <c r="L344" i="1"/>
  <c r="N346" i="1"/>
  <c r="L346" i="1"/>
  <c r="N340" i="1"/>
  <c r="L347" i="1"/>
  <c r="N343" i="1"/>
  <c r="N344" i="1"/>
  <c r="L343" i="1"/>
  <c r="L342" i="1"/>
  <c r="N342" i="1"/>
  <c r="N347" i="1"/>
  <c r="L333" i="1"/>
  <c r="L334" i="1"/>
  <c r="L332" i="1"/>
  <c r="N335" i="1"/>
  <c r="N334" i="1"/>
  <c r="L339" i="1"/>
  <c r="L338" i="1"/>
  <c r="N339" i="1"/>
  <c r="L337" i="1"/>
  <c r="N337" i="1"/>
  <c r="N338" i="1"/>
  <c r="N336" i="1"/>
  <c r="N332" i="1"/>
  <c r="L335" i="1"/>
  <c r="L336" i="1"/>
  <c r="N333" i="1"/>
  <c r="N330" i="1"/>
  <c r="L319" i="1"/>
  <c r="L328" i="1"/>
  <c r="N321" i="1"/>
  <c r="N328" i="1"/>
  <c r="L330" i="1"/>
  <c r="L326" i="1"/>
  <c r="N318" i="1"/>
  <c r="N331" i="1"/>
  <c r="N323" i="1"/>
  <c r="L325" i="1"/>
  <c r="L322" i="1"/>
  <c r="L329" i="1"/>
  <c r="N322" i="1"/>
  <c r="N327" i="1"/>
  <c r="L323" i="1"/>
  <c r="L327" i="1"/>
  <c r="N326" i="1"/>
  <c r="L320" i="1"/>
  <c r="N329" i="1"/>
  <c r="N320" i="1"/>
  <c r="N324" i="1"/>
  <c r="L324" i="1"/>
  <c r="L318" i="1"/>
  <c r="L321" i="1"/>
  <c r="N325" i="1"/>
  <c r="L331" i="1"/>
  <c r="N319" i="1"/>
  <c r="N312" i="1"/>
  <c r="L315" i="1"/>
  <c r="L313" i="1"/>
  <c r="L312" i="1"/>
  <c r="N315" i="1"/>
  <c r="N313" i="1"/>
  <c r="L314" i="1"/>
  <c r="N314" i="1"/>
  <c r="L311" i="1"/>
  <c r="L317" i="1"/>
  <c r="N316" i="1"/>
  <c r="N311" i="1"/>
  <c r="N317" i="1"/>
  <c r="L316" i="1"/>
  <c r="L220" i="1"/>
  <c r="L228" i="1"/>
  <c r="N230" i="1"/>
  <c r="N229" i="1"/>
  <c r="N228" i="1"/>
  <c r="N224" i="1"/>
  <c r="L231" i="1"/>
  <c r="L225" i="1"/>
  <c r="N222" i="1"/>
  <c r="N221" i="1"/>
  <c r="N226" i="1"/>
  <c r="N225" i="1"/>
  <c r="L221" i="1"/>
  <c r="L229" i="1"/>
  <c r="N231" i="1"/>
  <c r="L227" i="1"/>
  <c r="L224" i="1"/>
  <c r="L223" i="1"/>
  <c r="L230" i="1"/>
  <c r="N223" i="1"/>
  <c r="L222" i="1"/>
  <c r="L226" i="1"/>
  <c r="N227" i="1"/>
  <c r="N220" i="1"/>
  <c r="L219" i="1"/>
  <c r="N219" i="1"/>
  <c r="L218" i="1"/>
  <c r="N217" i="1"/>
  <c r="N218" i="1"/>
  <c r="L217" i="1"/>
  <c r="L215" i="1"/>
  <c r="N214" i="1"/>
  <c r="L214" i="1"/>
  <c r="N215" i="1"/>
  <c r="N216" i="1"/>
  <c r="L216" i="1"/>
  <c r="N211" i="1"/>
  <c r="N213" i="1"/>
  <c r="L213" i="1"/>
  <c r="N212" i="1"/>
  <c r="L212" i="1"/>
  <c r="L211" i="1"/>
  <c r="L209" i="1"/>
  <c r="L210" i="1"/>
  <c r="N210" i="1"/>
  <c r="N208" i="1"/>
  <c r="L208" i="1"/>
  <c r="N209" i="1"/>
  <c r="L204" i="1"/>
  <c r="L199" i="1"/>
  <c r="L207" i="1"/>
  <c r="L203" i="1"/>
  <c r="N200" i="1"/>
  <c r="L200" i="1"/>
  <c r="L202" i="1"/>
  <c r="N206" i="1"/>
  <c r="L201" i="1"/>
  <c r="N198" i="1"/>
  <c r="L205" i="1"/>
  <c r="L206" i="1"/>
  <c r="L198" i="1"/>
  <c r="N204" i="1"/>
  <c r="N199" i="1"/>
  <c r="N207" i="1"/>
  <c r="N203" i="1"/>
  <c r="N201" i="1"/>
  <c r="N202" i="1"/>
  <c r="N205" i="1"/>
  <c r="L197" i="1"/>
  <c r="N197" i="1"/>
  <c r="N196" i="1"/>
  <c r="L196" i="1"/>
  <c r="L195" i="1"/>
  <c r="N195" i="1"/>
  <c r="L194" i="1"/>
  <c r="N193" i="1"/>
  <c r="N194" i="1"/>
  <c r="L193" i="1"/>
  <c r="L191" i="1"/>
  <c r="N190" i="1"/>
  <c r="L192" i="1"/>
  <c r="L190" i="1"/>
  <c r="N191" i="1"/>
  <c r="N192" i="1"/>
  <c r="L188" i="1"/>
  <c r="N188" i="1"/>
  <c r="L189" i="1"/>
  <c r="N189" i="1"/>
  <c r="L187" i="1"/>
  <c r="L185" i="1"/>
  <c r="N186" i="1"/>
  <c r="N185" i="1"/>
  <c r="L183" i="1"/>
  <c r="N183" i="1"/>
  <c r="L184" i="1"/>
  <c r="L186" i="1"/>
  <c r="N187" i="1"/>
  <c r="N184" i="1"/>
  <c r="O873" i="1" l="1"/>
  <c r="M873" i="1"/>
  <c r="M895" i="1"/>
  <c r="O895" i="1"/>
  <c r="M869" i="1"/>
  <c r="O869" i="1"/>
  <c r="O866" i="1"/>
  <c r="M866" i="1"/>
  <c r="O885" i="1"/>
  <c r="M885" i="1"/>
  <c r="O860" i="1"/>
  <c r="M860" i="1"/>
  <c r="O882" i="1"/>
  <c r="M882" i="1"/>
  <c r="O857" i="1"/>
  <c r="M857" i="1"/>
  <c r="O875" i="1"/>
  <c r="M875" i="1"/>
  <c r="M887" i="1"/>
  <c r="O887" i="1"/>
  <c r="M876" i="1"/>
  <c r="O876" i="1"/>
  <c r="O894" i="1"/>
  <c r="M894" i="1"/>
  <c r="M872" i="1"/>
  <c r="O872" i="1"/>
  <c r="M888" i="1"/>
  <c r="O888" i="1"/>
  <c r="M879" i="1"/>
  <c r="O879" i="1"/>
  <c r="M886" i="1"/>
  <c r="O886" i="1"/>
  <c r="O865" i="1"/>
  <c r="M865" i="1"/>
  <c r="M871" i="1"/>
  <c r="O871" i="1"/>
  <c r="M893" i="1"/>
  <c r="O893" i="1"/>
  <c r="M880" i="1"/>
  <c r="O880" i="1"/>
  <c r="M877" i="1"/>
  <c r="O877" i="1"/>
  <c r="M870" i="1"/>
  <c r="O870" i="1"/>
  <c r="M892" i="1"/>
  <c r="O892" i="1"/>
  <c r="M883" i="1"/>
  <c r="O883" i="1"/>
  <c r="O889" i="1"/>
  <c r="M889" i="1"/>
  <c r="M884" i="1"/>
  <c r="O884" i="1"/>
  <c r="O858" i="1"/>
  <c r="M858" i="1"/>
  <c r="O862" i="1"/>
  <c r="M862" i="1"/>
  <c r="M868" i="1"/>
  <c r="O868" i="1"/>
  <c r="O859" i="1"/>
  <c r="M859" i="1"/>
  <c r="O867" i="1"/>
  <c r="M867" i="1"/>
  <c r="O891" i="1"/>
  <c r="M891" i="1"/>
  <c r="M863" i="1"/>
  <c r="O863" i="1"/>
  <c r="O881" i="1"/>
  <c r="M881" i="1"/>
  <c r="M861" i="1"/>
  <c r="O861" i="1"/>
  <c r="O874" i="1"/>
  <c r="M874" i="1"/>
  <c r="M878" i="1"/>
  <c r="O878" i="1"/>
  <c r="O890" i="1"/>
  <c r="M890" i="1"/>
  <c r="O864" i="1"/>
  <c r="M864" i="1"/>
  <c r="O754" i="1"/>
  <c r="M754" i="1"/>
  <c r="M744" i="1"/>
  <c r="O744" i="1"/>
  <c r="O721" i="1"/>
  <c r="M721" i="1"/>
  <c r="M734" i="1"/>
  <c r="O734" i="1"/>
  <c r="M748" i="1"/>
  <c r="O748" i="1"/>
  <c r="M746" i="1"/>
  <c r="O746" i="1"/>
  <c r="M712" i="1"/>
  <c r="O712" i="1"/>
  <c r="O756" i="1"/>
  <c r="M756" i="1"/>
  <c r="O717" i="1"/>
  <c r="M717" i="1"/>
  <c r="O715" i="1"/>
  <c r="M715" i="1"/>
  <c r="O737" i="1"/>
  <c r="M737" i="1"/>
  <c r="M753" i="1"/>
  <c r="O753" i="1"/>
  <c r="M784" i="1"/>
  <c r="O784" i="1"/>
  <c r="M793" i="1"/>
  <c r="O793" i="1"/>
  <c r="M806" i="1"/>
  <c r="O806" i="1"/>
  <c r="M835" i="1"/>
  <c r="O835" i="1"/>
  <c r="O847" i="1"/>
  <c r="M847" i="1"/>
  <c r="O798" i="1"/>
  <c r="M798" i="1"/>
  <c r="O812" i="1"/>
  <c r="M812" i="1"/>
  <c r="M840" i="1"/>
  <c r="O840" i="1"/>
  <c r="O819" i="1"/>
  <c r="M819" i="1"/>
  <c r="O836" i="1"/>
  <c r="M836" i="1"/>
  <c r="O808" i="1"/>
  <c r="M808" i="1"/>
  <c r="M776" i="1"/>
  <c r="O776" i="1"/>
  <c r="O778" i="1"/>
  <c r="M778" i="1"/>
  <c r="M769" i="1"/>
  <c r="O769" i="1"/>
  <c r="M832" i="1"/>
  <c r="O832" i="1"/>
  <c r="M826" i="1"/>
  <c r="O826" i="1"/>
  <c r="M849" i="1"/>
  <c r="O849" i="1"/>
  <c r="O763" i="1"/>
  <c r="M763" i="1"/>
  <c r="O810" i="1"/>
  <c r="M810" i="1"/>
  <c r="M760" i="1"/>
  <c r="O760" i="1"/>
  <c r="M828" i="1"/>
  <c r="O828" i="1"/>
  <c r="M838" i="1"/>
  <c r="O838" i="1"/>
  <c r="O767" i="1"/>
  <c r="M767" i="1"/>
  <c r="O814" i="1"/>
  <c r="M814" i="1"/>
  <c r="O740" i="1"/>
  <c r="M740" i="1"/>
  <c r="M729" i="1"/>
  <c r="O729" i="1"/>
  <c r="M724" i="1"/>
  <c r="O724" i="1"/>
  <c r="O749" i="1"/>
  <c r="M749" i="1"/>
  <c r="M755" i="1"/>
  <c r="O755" i="1"/>
  <c r="O758" i="1"/>
  <c r="M758" i="1"/>
  <c r="M714" i="1"/>
  <c r="O714" i="1"/>
  <c r="M726" i="1"/>
  <c r="O726" i="1"/>
  <c r="O743" i="1"/>
  <c r="M743" i="1"/>
  <c r="M723" i="1"/>
  <c r="O723" i="1"/>
  <c r="O731" i="1"/>
  <c r="M731" i="1"/>
  <c r="O719" i="1"/>
  <c r="M719" i="1"/>
  <c r="O777" i="1"/>
  <c r="M777" i="1"/>
  <c r="M788" i="1"/>
  <c r="O788" i="1"/>
  <c r="M817" i="1"/>
  <c r="O817" i="1"/>
  <c r="M823" i="1"/>
  <c r="O823" i="1"/>
  <c r="M824" i="1"/>
  <c r="O824" i="1"/>
  <c r="M856" i="1"/>
  <c r="O856" i="1"/>
  <c r="M799" i="1"/>
  <c r="O799" i="1"/>
  <c r="M807" i="1"/>
  <c r="O807" i="1"/>
  <c r="O837" i="1"/>
  <c r="M837" i="1"/>
  <c r="O846" i="1"/>
  <c r="M846" i="1"/>
  <c r="O775" i="1"/>
  <c r="M775" i="1"/>
  <c r="M818" i="1"/>
  <c r="O818" i="1"/>
  <c r="O770" i="1"/>
  <c r="M770" i="1"/>
  <c r="O782" i="1"/>
  <c r="M782" i="1"/>
  <c r="M789" i="1"/>
  <c r="O789" i="1"/>
  <c r="M802" i="1"/>
  <c r="O802" i="1"/>
  <c r="M829" i="1"/>
  <c r="O829" i="1"/>
  <c r="M855" i="1"/>
  <c r="O855" i="1"/>
  <c r="O820" i="1"/>
  <c r="M820" i="1"/>
  <c r="O762" i="1"/>
  <c r="M762" i="1"/>
  <c r="O801" i="1"/>
  <c r="M801" i="1"/>
  <c r="M830" i="1"/>
  <c r="O830" i="1"/>
  <c r="O821" i="1"/>
  <c r="M821" i="1"/>
  <c r="O844" i="1"/>
  <c r="M844" i="1"/>
  <c r="O848" i="1"/>
  <c r="M848" i="1"/>
  <c r="O792" i="1"/>
  <c r="M792" i="1"/>
  <c r="M781" i="1"/>
  <c r="O781" i="1"/>
  <c r="M804" i="1"/>
  <c r="O804" i="1"/>
  <c r="M730" i="1"/>
  <c r="O730" i="1"/>
  <c r="M720" i="1"/>
  <c r="O720" i="1"/>
  <c r="M716" i="1"/>
  <c r="O716" i="1"/>
  <c r="O722" i="1"/>
  <c r="M722" i="1"/>
  <c r="M735" i="1"/>
  <c r="O735" i="1"/>
  <c r="O751" i="1"/>
  <c r="M751" i="1"/>
  <c r="M738" i="1"/>
  <c r="O738" i="1"/>
  <c r="O733" i="1"/>
  <c r="M733" i="1"/>
  <c r="M728" i="1"/>
  <c r="O728" i="1"/>
  <c r="O752" i="1"/>
  <c r="M752" i="1"/>
  <c r="O718" i="1"/>
  <c r="M718" i="1"/>
  <c r="M732" i="1"/>
  <c r="O732" i="1"/>
  <c r="M736" i="1"/>
  <c r="O736" i="1"/>
  <c r="O745" i="1"/>
  <c r="M745" i="1"/>
  <c r="M750" i="1"/>
  <c r="O750" i="1"/>
  <c r="M764" i="1"/>
  <c r="O764" i="1"/>
  <c r="M779" i="1"/>
  <c r="O779" i="1"/>
  <c r="O765" i="1"/>
  <c r="M765" i="1"/>
  <c r="O794" i="1"/>
  <c r="M794" i="1"/>
  <c r="M834" i="1"/>
  <c r="O834" i="1"/>
  <c r="M774" i="1"/>
  <c r="O774" i="1"/>
  <c r="O785" i="1"/>
  <c r="M785" i="1"/>
  <c r="M827" i="1"/>
  <c r="O827" i="1"/>
  <c r="M839" i="1"/>
  <c r="O839" i="1"/>
  <c r="M803" i="1"/>
  <c r="O803" i="1"/>
  <c r="O786" i="1"/>
  <c r="M786" i="1"/>
  <c r="O795" i="1"/>
  <c r="M795" i="1"/>
  <c r="M809" i="1"/>
  <c r="O809" i="1"/>
  <c r="O790" i="1"/>
  <c r="M790" i="1"/>
  <c r="O833" i="1"/>
  <c r="M833" i="1"/>
  <c r="O805" i="1"/>
  <c r="M805" i="1"/>
  <c r="M772" i="1"/>
  <c r="O772" i="1"/>
  <c r="O791" i="1"/>
  <c r="M791" i="1"/>
  <c r="O825" i="1"/>
  <c r="M825" i="1"/>
  <c r="O843" i="1"/>
  <c r="M843" i="1"/>
  <c r="M852" i="1"/>
  <c r="O852" i="1"/>
  <c r="O759" i="1"/>
  <c r="M759" i="1"/>
  <c r="O713" i="1"/>
  <c r="M713" i="1"/>
  <c r="O725" i="1"/>
  <c r="M725" i="1"/>
  <c r="O742" i="1"/>
  <c r="M742" i="1"/>
  <c r="M757" i="1"/>
  <c r="O757" i="1"/>
  <c r="O727" i="1"/>
  <c r="M727" i="1"/>
  <c r="O739" i="1"/>
  <c r="M739" i="1"/>
  <c r="O747" i="1"/>
  <c r="M747" i="1"/>
  <c r="M741" i="1"/>
  <c r="O741" i="1"/>
  <c r="M766" i="1"/>
  <c r="O766" i="1"/>
  <c r="M780" i="1"/>
  <c r="O780" i="1"/>
  <c r="O773" i="1"/>
  <c r="M773" i="1"/>
  <c r="O831" i="1"/>
  <c r="M831" i="1"/>
  <c r="O853" i="1"/>
  <c r="M853" i="1"/>
  <c r="O771" i="1"/>
  <c r="M771" i="1"/>
  <c r="M816" i="1"/>
  <c r="O816" i="1"/>
  <c r="O768" i="1"/>
  <c r="M768" i="1"/>
  <c r="O842" i="1"/>
  <c r="M842" i="1"/>
  <c r="O854" i="1"/>
  <c r="M854" i="1"/>
  <c r="O811" i="1"/>
  <c r="M811" i="1"/>
  <c r="O796" i="1"/>
  <c r="M796" i="1"/>
  <c r="M761" i="1"/>
  <c r="O761" i="1"/>
  <c r="O822" i="1"/>
  <c r="M822" i="1"/>
  <c r="O845" i="1"/>
  <c r="M845" i="1"/>
  <c r="O851" i="1"/>
  <c r="M851" i="1"/>
  <c r="O800" i="1"/>
  <c r="M800" i="1"/>
  <c r="M797" i="1"/>
  <c r="O797" i="1"/>
  <c r="M813" i="1"/>
  <c r="O813" i="1"/>
  <c r="M841" i="1"/>
  <c r="O841" i="1"/>
  <c r="O850" i="1"/>
  <c r="M850" i="1"/>
  <c r="M815" i="1"/>
  <c r="O815" i="1"/>
  <c r="M787" i="1"/>
  <c r="O787" i="1"/>
  <c r="M783" i="1"/>
  <c r="O783" i="1"/>
  <c r="M711" i="1"/>
  <c r="O711" i="1"/>
  <c r="M705" i="1"/>
  <c r="O705" i="1"/>
  <c r="M706" i="1"/>
  <c r="O706" i="1"/>
  <c r="M703" i="1"/>
  <c r="O703" i="1"/>
  <c r="M708" i="1"/>
  <c r="O708" i="1"/>
  <c r="M709" i="1"/>
  <c r="O709" i="1"/>
  <c r="O710" i="1"/>
  <c r="M710" i="1"/>
  <c r="O704" i="1"/>
  <c r="M704" i="1"/>
  <c r="M702" i="1"/>
  <c r="O702" i="1"/>
  <c r="O701" i="1"/>
  <c r="M701" i="1"/>
  <c r="M707" i="1"/>
  <c r="O707" i="1"/>
  <c r="O700" i="1"/>
  <c r="M700" i="1"/>
  <c r="M694" i="1"/>
  <c r="O694" i="1"/>
  <c r="M654" i="1"/>
  <c r="O654" i="1"/>
  <c r="M666" i="1"/>
  <c r="O666" i="1"/>
  <c r="O677" i="1"/>
  <c r="M677" i="1"/>
  <c r="M684" i="1"/>
  <c r="O684" i="1"/>
  <c r="O675" i="1"/>
  <c r="M675" i="1"/>
  <c r="M687" i="1"/>
  <c r="O687" i="1"/>
  <c r="M653" i="1"/>
  <c r="O653" i="1"/>
  <c r="M685" i="1"/>
  <c r="O685" i="1"/>
  <c r="O674" i="1"/>
  <c r="M674" i="1"/>
  <c r="O650" i="1"/>
  <c r="M650" i="1"/>
  <c r="O683" i="1"/>
  <c r="M683" i="1"/>
  <c r="O656" i="1"/>
  <c r="M656" i="1"/>
  <c r="O689" i="1"/>
  <c r="M689" i="1"/>
  <c r="O668" i="1"/>
  <c r="M668" i="1"/>
  <c r="M657" i="1"/>
  <c r="O657" i="1"/>
  <c r="O696" i="1"/>
  <c r="M696" i="1"/>
  <c r="M682" i="1"/>
  <c r="O682" i="1"/>
  <c r="M686" i="1"/>
  <c r="O686" i="1"/>
  <c r="O672" i="1"/>
  <c r="M672" i="1"/>
  <c r="O670" i="1"/>
  <c r="M670" i="1"/>
  <c r="M680" i="1"/>
  <c r="O680" i="1"/>
  <c r="M652" i="1"/>
  <c r="O652" i="1"/>
  <c r="O681" i="1"/>
  <c r="M681" i="1"/>
  <c r="O688" i="1"/>
  <c r="M688" i="1"/>
  <c r="O693" i="1"/>
  <c r="M693" i="1"/>
  <c r="O676" i="1"/>
  <c r="M676" i="1"/>
  <c r="M664" i="1"/>
  <c r="O664" i="1"/>
  <c r="O697" i="1"/>
  <c r="M697" i="1"/>
  <c r="O669" i="1"/>
  <c r="M669" i="1"/>
  <c r="O662" i="1"/>
  <c r="M662" i="1"/>
  <c r="O651" i="1"/>
  <c r="M651" i="1"/>
  <c r="M679" i="1"/>
  <c r="O679" i="1"/>
  <c r="M667" i="1"/>
  <c r="O667" i="1"/>
  <c r="O671" i="1"/>
  <c r="M671" i="1"/>
  <c r="O695" i="1"/>
  <c r="M695" i="1"/>
  <c r="M658" i="1"/>
  <c r="O658" i="1"/>
  <c r="O663" i="1"/>
  <c r="M663" i="1"/>
  <c r="O665" i="1"/>
  <c r="M665" i="1"/>
  <c r="O692" i="1"/>
  <c r="M692" i="1"/>
  <c r="M691" i="1"/>
  <c r="O691" i="1"/>
  <c r="M673" i="1"/>
  <c r="O673" i="1"/>
  <c r="O699" i="1"/>
  <c r="M699" i="1"/>
  <c r="O659" i="1"/>
  <c r="M659" i="1"/>
  <c r="O690" i="1"/>
  <c r="M690" i="1"/>
  <c r="O655" i="1"/>
  <c r="M655" i="1"/>
  <c r="O678" i="1"/>
  <c r="M678" i="1"/>
  <c r="O698" i="1"/>
  <c r="M698" i="1"/>
  <c r="O661" i="1"/>
  <c r="M661" i="1"/>
  <c r="M660" i="1"/>
  <c r="O660" i="1"/>
  <c r="O533" i="1"/>
  <c r="M533" i="1"/>
  <c r="O536" i="1"/>
  <c r="M536" i="1"/>
  <c r="O544" i="1"/>
  <c r="M544" i="1"/>
  <c r="M550" i="1"/>
  <c r="O550" i="1"/>
  <c r="O557" i="1"/>
  <c r="M557" i="1"/>
  <c r="O556" i="1"/>
  <c r="M556" i="1"/>
  <c r="O553" i="1"/>
  <c r="M553" i="1"/>
  <c r="M304" i="1"/>
  <c r="O304" i="1"/>
  <c r="M298" i="1"/>
  <c r="O298" i="1"/>
  <c r="O287" i="1"/>
  <c r="M287" i="1"/>
  <c r="O263" i="1"/>
  <c r="M263" i="1"/>
  <c r="M308" i="1"/>
  <c r="O308" i="1"/>
  <c r="M299" i="1"/>
  <c r="O299" i="1"/>
  <c r="M253" i="1"/>
  <c r="O253" i="1"/>
  <c r="O269" i="1"/>
  <c r="M269" i="1"/>
  <c r="O245" i="1"/>
  <c r="M245" i="1"/>
  <c r="M242" i="1"/>
  <c r="O242" i="1"/>
  <c r="M276" i="1"/>
  <c r="O276" i="1"/>
  <c r="O234" i="1"/>
  <c r="M234" i="1"/>
  <c r="O252" i="1"/>
  <c r="M252" i="1"/>
  <c r="M243" i="1"/>
  <c r="O243" i="1"/>
  <c r="M277" i="1"/>
  <c r="O277" i="1"/>
  <c r="O265" i="1"/>
  <c r="M265" i="1"/>
  <c r="O290" i="1"/>
  <c r="M290" i="1"/>
  <c r="O289" i="1"/>
  <c r="M289" i="1"/>
  <c r="O567" i="1"/>
  <c r="M567" i="1"/>
  <c r="M562" i="1"/>
  <c r="O562" i="1"/>
  <c r="O568" i="1"/>
  <c r="M568" i="1"/>
  <c r="O577" i="1"/>
  <c r="M577" i="1"/>
  <c r="M570" i="1"/>
  <c r="O570" i="1"/>
  <c r="M571" i="1"/>
  <c r="O571" i="1"/>
  <c r="M595" i="1"/>
  <c r="O595" i="1"/>
  <c r="M586" i="1"/>
  <c r="O586" i="1"/>
  <c r="M592" i="1"/>
  <c r="O592" i="1"/>
  <c r="O587" i="1"/>
  <c r="M587" i="1"/>
  <c r="O588" i="1"/>
  <c r="M588" i="1"/>
  <c r="M600" i="1"/>
  <c r="O600" i="1"/>
  <c r="O583" i="1"/>
  <c r="M583" i="1"/>
  <c r="O589" i="1"/>
  <c r="M589" i="1"/>
  <c r="O604" i="1"/>
  <c r="M604" i="1"/>
  <c r="M602" i="1"/>
  <c r="O602" i="1"/>
  <c r="O612" i="1"/>
  <c r="M612" i="1"/>
  <c r="M622" i="1"/>
  <c r="O622" i="1"/>
  <c r="O627" i="1"/>
  <c r="M627" i="1"/>
  <c r="O631" i="1"/>
  <c r="M631" i="1"/>
  <c r="O624" i="1"/>
  <c r="M624" i="1"/>
  <c r="O623" i="1"/>
  <c r="M623" i="1"/>
  <c r="M643" i="1"/>
  <c r="O643" i="1"/>
  <c r="M647" i="1"/>
  <c r="O647" i="1"/>
  <c r="O642" i="1"/>
  <c r="M642" i="1"/>
  <c r="O649" i="1"/>
  <c r="M649" i="1"/>
  <c r="M534" i="1"/>
  <c r="O534" i="1"/>
  <c r="O537" i="1"/>
  <c r="M537" i="1"/>
  <c r="M540" i="1"/>
  <c r="O540" i="1"/>
  <c r="M542" i="1"/>
  <c r="O542" i="1"/>
  <c r="O548" i="1"/>
  <c r="M548" i="1"/>
  <c r="M558" i="1"/>
  <c r="O558" i="1"/>
  <c r="M272" i="1"/>
  <c r="O272" i="1"/>
  <c r="M307" i="1"/>
  <c r="O307" i="1"/>
  <c r="O249" i="1"/>
  <c r="M249" i="1"/>
  <c r="O254" i="1"/>
  <c r="M254" i="1"/>
  <c r="M247" i="1"/>
  <c r="O247" i="1"/>
  <c r="M274" i="1"/>
  <c r="O274" i="1"/>
  <c r="O232" i="1"/>
  <c r="M232" i="1"/>
  <c r="O261" i="1"/>
  <c r="M261" i="1"/>
  <c r="M268" i="1"/>
  <c r="O268" i="1"/>
  <c r="O256" i="1"/>
  <c r="M256" i="1"/>
  <c r="M283" i="1"/>
  <c r="O283" i="1"/>
  <c r="O237" i="1"/>
  <c r="M237" i="1"/>
  <c r="M262" i="1"/>
  <c r="O262" i="1"/>
  <c r="M279" i="1"/>
  <c r="O279" i="1"/>
  <c r="O236" i="1"/>
  <c r="M236" i="1"/>
  <c r="M296" i="1"/>
  <c r="O296" i="1"/>
  <c r="M285" i="1"/>
  <c r="O285" i="1"/>
  <c r="M264" i="1"/>
  <c r="O264" i="1"/>
  <c r="O257" i="1"/>
  <c r="M257" i="1"/>
  <c r="O306" i="1"/>
  <c r="M306" i="1"/>
  <c r="O284" i="1"/>
  <c r="M284" i="1"/>
  <c r="M181" i="1"/>
  <c r="O181" i="1"/>
  <c r="O563" i="1"/>
  <c r="M563" i="1"/>
  <c r="O561" i="1"/>
  <c r="M561" i="1"/>
  <c r="M576" i="1"/>
  <c r="O576" i="1"/>
  <c r="O581" i="1"/>
  <c r="M581" i="1"/>
  <c r="O582" i="1"/>
  <c r="M582" i="1"/>
  <c r="O599" i="1"/>
  <c r="M599" i="1"/>
  <c r="O585" i="1"/>
  <c r="M585" i="1"/>
  <c r="O572" i="1"/>
  <c r="M572" i="1"/>
  <c r="O578" i="1"/>
  <c r="M578" i="1"/>
  <c r="M610" i="1"/>
  <c r="O610" i="1"/>
  <c r="M603" i="1"/>
  <c r="O603" i="1"/>
  <c r="M609" i="1"/>
  <c r="O609" i="1"/>
  <c r="M611" i="1"/>
  <c r="O611" i="1"/>
  <c r="M620" i="1"/>
  <c r="O620" i="1"/>
  <c r="O615" i="1"/>
  <c r="M615" i="1"/>
  <c r="M616" i="1"/>
  <c r="O616" i="1"/>
  <c r="O632" i="1"/>
  <c r="M632" i="1"/>
  <c r="M629" i="1"/>
  <c r="O629" i="1"/>
  <c r="O633" i="1"/>
  <c r="M633" i="1"/>
  <c r="M635" i="1"/>
  <c r="O635" i="1"/>
  <c r="O640" i="1"/>
  <c r="M640" i="1"/>
  <c r="O646" i="1"/>
  <c r="M646" i="1"/>
  <c r="O644" i="1"/>
  <c r="M644" i="1"/>
  <c r="O648" i="1"/>
  <c r="M648" i="1"/>
  <c r="O532" i="1"/>
  <c r="M532" i="1"/>
  <c r="M541" i="1"/>
  <c r="O541" i="1"/>
  <c r="O535" i="1"/>
  <c r="M535" i="1"/>
  <c r="M547" i="1"/>
  <c r="O547" i="1"/>
  <c r="O543" i="1"/>
  <c r="M543" i="1"/>
  <c r="M545" i="1"/>
  <c r="O545" i="1"/>
  <c r="M554" i="1"/>
  <c r="O554" i="1"/>
  <c r="O552" i="1"/>
  <c r="M552" i="1"/>
  <c r="M300" i="1"/>
  <c r="O300" i="1"/>
  <c r="M278" i="1"/>
  <c r="O278" i="1"/>
  <c r="M244" i="1"/>
  <c r="O244" i="1"/>
  <c r="M258" i="1"/>
  <c r="O258" i="1"/>
  <c r="M233" i="1"/>
  <c r="O233" i="1"/>
  <c r="M294" i="1"/>
  <c r="O294" i="1"/>
  <c r="M280" i="1"/>
  <c r="O280" i="1"/>
  <c r="O235" i="1"/>
  <c r="M235" i="1"/>
  <c r="M260" i="1"/>
  <c r="O260" i="1"/>
  <c r="M267" i="1"/>
  <c r="O267" i="1"/>
  <c r="O275" i="1"/>
  <c r="M275" i="1"/>
  <c r="M240" i="1"/>
  <c r="O240" i="1"/>
  <c r="M273" i="1"/>
  <c r="O273" i="1"/>
  <c r="M288" i="1"/>
  <c r="O288" i="1"/>
  <c r="M293" i="1"/>
  <c r="O293" i="1"/>
  <c r="M295" i="1"/>
  <c r="O295" i="1"/>
  <c r="M270" i="1"/>
  <c r="O270" i="1"/>
  <c r="M297" i="1"/>
  <c r="O297" i="1"/>
  <c r="M250" i="1"/>
  <c r="O250" i="1"/>
  <c r="O259" i="1"/>
  <c r="M259" i="1"/>
  <c r="M255" i="1"/>
  <c r="O255" i="1"/>
  <c r="M566" i="1"/>
  <c r="O566" i="1"/>
  <c r="O560" i="1"/>
  <c r="M560" i="1"/>
  <c r="M180" i="1"/>
  <c r="O180" i="1"/>
  <c r="M594" i="1"/>
  <c r="O594" i="1"/>
  <c r="M596" i="1"/>
  <c r="O596" i="1"/>
  <c r="M584" i="1"/>
  <c r="O584" i="1"/>
  <c r="M573" i="1"/>
  <c r="O573" i="1"/>
  <c r="O575" i="1"/>
  <c r="M575" i="1"/>
  <c r="M593" i="1"/>
  <c r="O593" i="1"/>
  <c r="O598" i="1"/>
  <c r="M598" i="1"/>
  <c r="O601" i="1"/>
  <c r="M601" i="1"/>
  <c r="O608" i="1"/>
  <c r="M608" i="1"/>
  <c r="M607" i="1"/>
  <c r="O607" i="1"/>
  <c r="M617" i="1"/>
  <c r="O617" i="1"/>
  <c r="M618" i="1"/>
  <c r="O618" i="1"/>
  <c r="M619" i="1"/>
  <c r="O619" i="1"/>
  <c r="O613" i="1"/>
  <c r="M613" i="1"/>
  <c r="O628" i="1"/>
  <c r="M628" i="1"/>
  <c r="M625" i="1"/>
  <c r="O625" i="1"/>
  <c r="O636" i="1"/>
  <c r="M636" i="1"/>
  <c r="M639" i="1"/>
  <c r="O639" i="1"/>
  <c r="M538" i="1"/>
  <c r="O538" i="1"/>
  <c r="M539" i="1"/>
  <c r="O539" i="1"/>
  <c r="O546" i="1"/>
  <c r="M546" i="1"/>
  <c r="M551" i="1"/>
  <c r="O551" i="1"/>
  <c r="M549" i="1"/>
  <c r="O549" i="1"/>
  <c r="O555" i="1"/>
  <c r="M555" i="1"/>
  <c r="M559" i="1"/>
  <c r="O559" i="1"/>
  <c r="M303" i="1"/>
  <c r="O303" i="1"/>
  <c r="M281" i="1"/>
  <c r="O281" i="1"/>
  <c r="M291" i="1"/>
  <c r="O291" i="1"/>
  <c r="M248" i="1"/>
  <c r="O248" i="1"/>
  <c r="M266" i="1"/>
  <c r="O266" i="1"/>
  <c r="O310" i="1"/>
  <c r="M310" i="1"/>
  <c r="M305" i="1"/>
  <c r="O305" i="1"/>
  <c r="M282" i="1"/>
  <c r="O282" i="1"/>
  <c r="M292" i="1"/>
  <c r="O292" i="1"/>
  <c r="M239" i="1"/>
  <c r="O239" i="1"/>
  <c r="O238" i="1"/>
  <c r="M238" i="1"/>
  <c r="M309" i="1"/>
  <c r="O309" i="1"/>
  <c r="M301" i="1"/>
  <c r="O301" i="1"/>
  <c r="O241" i="1"/>
  <c r="M241" i="1"/>
  <c r="M286" i="1"/>
  <c r="O286" i="1"/>
  <c r="M246" i="1"/>
  <c r="O246" i="1"/>
  <c r="M271" i="1"/>
  <c r="O271" i="1"/>
  <c r="M302" i="1"/>
  <c r="O302" i="1"/>
  <c r="O251" i="1"/>
  <c r="M251" i="1"/>
  <c r="O565" i="1"/>
  <c r="M565" i="1"/>
  <c r="M564" i="1"/>
  <c r="O564" i="1"/>
  <c r="M182" i="1"/>
  <c r="O182" i="1"/>
  <c r="M569" i="1"/>
  <c r="O569" i="1"/>
  <c r="O590" i="1"/>
  <c r="M590" i="1"/>
  <c r="M591" i="1"/>
  <c r="O591" i="1"/>
  <c r="O574" i="1"/>
  <c r="M574" i="1"/>
  <c r="O580" i="1"/>
  <c r="M580" i="1"/>
  <c r="O597" i="1"/>
  <c r="M597" i="1"/>
  <c r="M579" i="1"/>
  <c r="O579" i="1"/>
  <c r="M605" i="1"/>
  <c r="O605" i="1"/>
  <c r="O606" i="1"/>
  <c r="M606" i="1"/>
  <c r="M614" i="1"/>
  <c r="O614" i="1"/>
  <c r="O621" i="1"/>
  <c r="M621" i="1"/>
  <c r="O626" i="1"/>
  <c r="M626" i="1"/>
  <c r="O630" i="1"/>
  <c r="M630" i="1"/>
  <c r="M637" i="1"/>
  <c r="O637" i="1"/>
  <c r="O638" i="1"/>
  <c r="M638" i="1"/>
  <c r="O641" i="1"/>
  <c r="M641" i="1"/>
  <c r="M645" i="1"/>
  <c r="O645" i="1"/>
  <c r="O634" i="1"/>
  <c r="M634" i="1"/>
  <c r="M494" i="1"/>
  <c r="O494" i="1"/>
  <c r="O499" i="1"/>
  <c r="M499" i="1"/>
  <c r="M500" i="1"/>
  <c r="O500" i="1"/>
  <c r="M496" i="1"/>
  <c r="O496" i="1"/>
  <c r="M498" i="1"/>
  <c r="O498" i="1"/>
  <c r="O495" i="1"/>
  <c r="M495" i="1"/>
  <c r="O497" i="1"/>
  <c r="M497" i="1"/>
  <c r="O501" i="1"/>
  <c r="M501" i="1"/>
  <c r="O493" i="1"/>
  <c r="M493" i="1"/>
  <c r="O510" i="1"/>
  <c r="M510" i="1"/>
  <c r="M512" i="1"/>
  <c r="O512" i="1"/>
  <c r="M516" i="1"/>
  <c r="O516" i="1"/>
  <c r="M518" i="1"/>
  <c r="O518" i="1"/>
  <c r="M520" i="1"/>
  <c r="O520" i="1"/>
  <c r="M514" i="1"/>
  <c r="O514" i="1"/>
  <c r="O521" i="1"/>
  <c r="M521" i="1"/>
  <c r="M525" i="1"/>
  <c r="O525" i="1"/>
  <c r="M507" i="1"/>
  <c r="O507" i="1"/>
  <c r="M509" i="1"/>
  <c r="O509" i="1"/>
  <c r="O522" i="1"/>
  <c r="M522" i="1"/>
  <c r="O526" i="1"/>
  <c r="M526" i="1"/>
  <c r="O528" i="1"/>
  <c r="M528" i="1"/>
  <c r="O530" i="1"/>
  <c r="M530" i="1"/>
  <c r="O513" i="1"/>
  <c r="M513" i="1"/>
  <c r="O515" i="1"/>
  <c r="M515" i="1"/>
  <c r="O517" i="1"/>
  <c r="M517" i="1"/>
  <c r="O519" i="1"/>
  <c r="M519" i="1"/>
  <c r="M523" i="1"/>
  <c r="O523" i="1"/>
  <c r="O524" i="1"/>
  <c r="M524" i="1"/>
  <c r="M527" i="1"/>
  <c r="O527" i="1"/>
  <c r="M529" i="1"/>
  <c r="O529" i="1"/>
  <c r="M531" i="1"/>
  <c r="O531" i="1"/>
  <c r="M504" i="1"/>
  <c r="O504" i="1"/>
  <c r="O505" i="1"/>
  <c r="M505" i="1"/>
  <c r="O506" i="1"/>
  <c r="M506" i="1"/>
  <c r="O508" i="1"/>
  <c r="M508" i="1"/>
  <c r="M511" i="1"/>
  <c r="O511" i="1"/>
  <c r="O503" i="1"/>
  <c r="M503" i="1"/>
  <c r="M502" i="1"/>
  <c r="O502" i="1"/>
  <c r="O314" i="1"/>
  <c r="M314" i="1"/>
  <c r="O313" i="1"/>
  <c r="M313" i="1"/>
  <c r="O330" i="1"/>
  <c r="M330" i="1"/>
  <c r="M319" i="1"/>
  <c r="O319" i="1"/>
  <c r="O335" i="1"/>
  <c r="M335" i="1"/>
  <c r="O339" i="1"/>
  <c r="M339" i="1"/>
  <c r="M334" i="1"/>
  <c r="O334" i="1"/>
  <c r="O342" i="1"/>
  <c r="M342" i="1"/>
  <c r="M347" i="1"/>
  <c r="O347" i="1"/>
  <c r="O344" i="1"/>
  <c r="M344" i="1"/>
  <c r="M340" i="1"/>
  <c r="O340" i="1"/>
  <c r="M351" i="1"/>
  <c r="O351" i="1"/>
  <c r="O355" i="1"/>
  <c r="M355" i="1"/>
  <c r="M352" i="1"/>
  <c r="O352" i="1"/>
  <c r="M367" i="1"/>
  <c r="O367" i="1"/>
  <c r="M382" i="1"/>
  <c r="O382" i="1"/>
  <c r="M368" i="1"/>
  <c r="O368" i="1"/>
  <c r="O364" i="1"/>
  <c r="M364" i="1"/>
  <c r="M369" i="1"/>
  <c r="O369" i="1"/>
  <c r="O390" i="1"/>
  <c r="M390" i="1"/>
  <c r="O393" i="1"/>
  <c r="M393" i="1"/>
  <c r="M405" i="1"/>
  <c r="O405" i="1"/>
  <c r="O400" i="1"/>
  <c r="M400" i="1"/>
  <c r="O410" i="1"/>
  <c r="M410" i="1"/>
  <c r="O414" i="1"/>
  <c r="M414" i="1"/>
  <c r="O419" i="1"/>
  <c r="M419" i="1"/>
  <c r="M445" i="1"/>
  <c r="O445" i="1"/>
  <c r="M450" i="1"/>
  <c r="O450" i="1"/>
  <c r="M422" i="1"/>
  <c r="O422" i="1"/>
  <c r="M457" i="1"/>
  <c r="O457" i="1"/>
  <c r="M454" i="1"/>
  <c r="O454" i="1"/>
  <c r="M448" i="1"/>
  <c r="O448" i="1"/>
  <c r="M428" i="1"/>
  <c r="O428" i="1"/>
  <c r="O455" i="1"/>
  <c r="M455" i="1"/>
  <c r="O452" i="1"/>
  <c r="M452" i="1"/>
  <c r="M463" i="1"/>
  <c r="O463" i="1"/>
  <c r="O461" i="1"/>
  <c r="M461" i="1"/>
  <c r="M462" i="1"/>
  <c r="O462" i="1"/>
  <c r="O472" i="1"/>
  <c r="M472" i="1"/>
  <c r="O474" i="1"/>
  <c r="M474" i="1"/>
  <c r="O473" i="1"/>
  <c r="M473" i="1"/>
  <c r="M487" i="1"/>
  <c r="O487" i="1"/>
  <c r="O317" i="1"/>
  <c r="M317" i="1"/>
  <c r="O311" i="1"/>
  <c r="M311" i="1"/>
  <c r="O312" i="1"/>
  <c r="M312" i="1"/>
  <c r="M315" i="1"/>
  <c r="O315" i="1"/>
  <c r="O321" i="1"/>
  <c r="M321" i="1"/>
  <c r="M327" i="1"/>
  <c r="O327" i="1"/>
  <c r="O329" i="1"/>
  <c r="M329" i="1"/>
  <c r="M337" i="1"/>
  <c r="O337" i="1"/>
  <c r="O333" i="1"/>
  <c r="M333" i="1"/>
  <c r="O343" i="1"/>
  <c r="M343" i="1"/>
  <c r="O345" i="1"/>
  <c r="M345" i="1"/>
  <c r="M341" i="1"/>
  <c r="O341" i="1"/>
  <c r="M356" i="1"/>
  <c r="O356" i="1"/>
  <c r="M348" i="1"/>
  <c r="O348" i="1"/>
  <c r="O380" i="1"/>
  <c r="M380" i="1"/>
  <c r="O358" i="1"/>
  <c r="M358" i="1"/>
  <c r="O375" i="1"/>
  <c r="M375" i="1"/>
  <c r="O384" i="1"/>
  <c r="M384" i="1"/>
  <c r="M385" i="1"/>
  <c r="O385" i="1"/>
  <c r="M362" i="1"/>
  <c r="O362" i="1"/>
  <c r="M387" i="1"/>
  <c r="O387" i="1"/>
  <c r="O365" i="1"/>
  <c r="M365" i="1"/>
  <c r="M378" i="1"/>
  <c r="O378" i="1"/>
  <c r="O363" i="1"/>
  <c r="M363" i="1"/>
  <c r="M383" i="1"/>
  <c r="O383" i="1"/>
  <c r="O394" i="1"/>
  <c r="M394" i="1"/>
  <c r="O396" i="1"/>
  <c r="M396" i="1"/>
  <c r="O407" i="1"/>
  <c r="M407" i="1"/>
  <c r="O406" i="1"/>
  <c r="M406" i="1"/>
  <c r="M408" i="1"/>
  <c r="O408" i="1"/>
  <c r="O417" i="1"/>
  <c r="M417" i="1"/>
  <c r="O416" i="1"/>
  <c r="M416" i="1"/>
  <c r="O418" i="1"/>
  <c r="M418" i="1"/>
  <c r="M453" i="1"/>
  <c r="O453" i="1"/>
  <c r="O443" i="1"/>
  <c r="M443" i="1"/>
  <c r="M436" i="1"/>
  <c r="O436" i="1"/>
  <c r="O421" i="1"/>
  <c r="M421" i="1"/>
  <c r="M458" i="1"/>
  <c r="O458" i="1"/>
  <c r="O437" i="1"/>
  <c r="M437" i="1"/>
  <c r="O447" i="1"/>
  <c r="M447" i="1"/>
  <c r="O438" i="1"/>
  <c r="M438" i="1"/>
  <c r="M429" i="1"/>
  <c r="O429" i="1"/>
  <c r="M444" i="1"/>
  <c r="O444" i="1"/>
  <c r="O460" i="1"/>
  <c r="M460" i="1"/>
  <c r="M466" i="1"/>
  <c r="O466" i="1"/>
  <c r="O471" i="1"/>
  <c r="M471" i="1"/>
  <c r="O470" i="1"/>
  <c r="M470" i="1"/>
  <c r="M477" i="1"/>
  <c r="O477" i="1"/>
  <c r="O479" i="1"/>
  <c r="M479" i="1"/>
  <c r="M482" i="1"/>
  <c r="O482" i="1"/>
  <c r="O481" i="1"/>
  <c r="M481" i="1"/>
  <c r="O492" i="1"/>
  <c r="M492" i="1"/>
  <c r="M491" i="1"/>
  <c r="O491" i="1"/>
  <c r="O484" i="1"/>
  <c r="M484" i="1"/>
  <c r="O488" i="1"/>
  <c r="M488" i="1"/>
  <c r="M318" i="1"/>
  <c r="O318" i="1"/>
  <c r="M323" i="1"/>
  <c r="O323" i="1"/>
  <c r="M322" i="1"/>
  <c r="O322" i="1"/>
  <c r="O346" i="1"/>
  <c r="M346" i="1"/>
  <c r="M353" i="1"/>
  <c r="O353" i="1"/>
  <c r="O354" i="1"/>
  <c r="M354" i="1"/>
  <c r="O373" i="1"/>
  <c r="M373" i="1"/>
  <c r="O372" i="1"/>
  <c r="M372" i="1"/>
  <c r="O361" i="1"/>
  <c r="M361" i="1"/>
  <c r="O370" i="1"/>
  <c r="M370" i="1"/>
  <c r="O374" i="1"/>
  <c r="M374" i="1"/>
  <c r="M381" i="1"/>
  <c r="O381" i="1"/>
  <c r="M371" i="1"/>
  <c r="O371" i="1"/>
  <c r="O391" i="1"/>
  <c r="M391" i="1"/>
  <c r="O397" i="1"/>
  <c r="M397" i="1"/>
  <c r="O392" i="1"/>
  <c r="M392" i="1"/>
  <c r="O395" i="1"/>
  <c r="M395" i="1"/>
  <c r="M409" i="1"/>
  <c r="O409" i="1"/>
  <c r="M399" i="1"/>
  <c r="O399" i="1"/>
  <c r="O415" i="1"/>
  <c r="M415" i="1"/>
  <c r="O413" i="1"/>
  <c r="M413" i="1"/>
  <c r="M431" i="1"/>
  <c r="O431" i="1"/>
  <c r="O435" i="1"/>
  <c r="M435" i="1"/>
  <c r="O446" i="1"/>
  <c r="M446" i="1"/>
  <c r="O451" i="1"/>
  <c r="M451" i="1"/>
  <c r="M424" i="1"/>
  <c r="O424" i="1"/>
  <c r="O427" i="1"/>
  <c r="M427" i="1"/>
  <c r="O430" i="1"/>
  <c r="M430" i="1"/>
  <c r="M434" i="1"/>
  <c r="O434" i="1"/>
  <c r="M433" i="1"/>
  <c r="O433" i="1"/>
  <c r="M464" i="1"/>
  <c r="O464" i="1"/>
  <c r="O467" i="1"/>
  <c r="M467" i="1"/>
  <c r="M478" i="1"/>
  <c r="O478" i="1"/>
  <c r="O483" i="1"/>
  <c r="M483" i="1"/>
  <c r="M489" i="1"/>
  <c r="O489" i="1"/>
  <c r="O316" i="1"/>
  <c r="M316" i="1"/>
  <c r="M331" i="1"/>
  <c r="O331" i="1"/>
  <c r="O324" i="1"/>
  <c r="M324" i="1"/>
  <c r="O320" i="1"/>
  <c r="M320" i="1"/>
  <c r="M325" i="1"/>
  <c r="O325" i="1"/>
  <c r="M326" i="1"/>
  <c r="O326" i="1"/>
  <c r="O328" i="1"/>
  <c r="M328" i="1"/>
  <c r="M336" i="1"/>
  <c r="O336" i="1"/>
  <c r="O338" i="1"/>
  <c r="M338" i="1"/>
  <c r="M332" i="1"/>
  <c r="O332" i="1"/>
  <c r="O349" i="1"/>
  <c r="M349" i="1"/>
  <c r="O357" i="1"/>
  <c r="M357" i="1"/>
  <c r="O350" i="1"/>
  <c r="M350" i="1"/>
  <c r="M366" i="1"/>
  <c r="O366" i="1"/>
  <c r="M386" i="1"/>
  <c r="O386" i="1"/>
  <c r="O359" i="1"/>
  <c r="M359" i="1"/>
  <c r="O377" i="1"/>
  <c r="M377" i="1"/>
  <c r="M376" i="1"/>
  <c r="O376" i="1"/>
  <c r="M360" i="1"/>
  <c r="O360" i="1"/>
  <c r="M379" i="1"/>
  <c r="O379" i="1"/>
  <c r="M389" i="1"/>
  <c r="O389" i="1"/>
  <c r="O398" i="1"/>
  <c r="M398" i="1"/>
  <c r="M388" i="1"/>
  <c r="O388" i="1"/>
  <c r="O402" i="1"/>
  <c r="M402" i="1"/>
  <c r="O401" i="1"/>
  <c r="M401" i="1"/>
  <c r="O404" i="1"/>
  <c r="M404" i="1"/>
  <c r="M403" i="1"/>
  <c r="O403" i="1"/>
  <c r="M412" i="1"/>
  <c r="O412" i="1"/>
  <c r="O411" i="1"/>
  <c r="M411" i="1"/>
  <c r="M420" i="1"/>
  <c r="O420" i="1"/>
  <c r="M439" i="1"/>
  <c r="O439" i="1"/>
  <c r="M449" i="1"/>
  <c r="O449" i="1"/>
  <c r="M459" i="1"/>
  <c r="O459" i="1"/>
  <c r="O456" i="1"/>
  <c r="M456" i="1"/>
  <c r="M442" i="1"/>
  <c r="O442" i="1"/>
  <c r="M423" i="1"/>
  <c r="O423" i="1"/>
  <c r="M425" i="1"/>
  <c r="O425" i="1"/>
  <c r="O426" i="1"/>
  <c r="M426" i="1"/>
  <c r="M432" i="1"/>
  <c r="O432" i="1"/>
  <c r="O440" i="1"/>
  <c r="M440" i="1"/>
  <c r="M441" i="1"/>
  <c r="O441" i="1"/>
  <c r="O465" i="1"/>
  <c r="M465" i="1"/>
  <c r="M468" i="1"/>
  <c r="O468" i="1"/>
  <c r="M469" i="1"/>
  <c r="O469" i="1"/>
  <c r="O480" i="1"/>
  <c r="M480" i="1"/>
  <c r="M475" i="1"/>
  <c r="O475" i="1"/>
  <c r="M476" i="1"/>
  <c r="O476" i="1"/>
  <c r="M485" i="1"/>
  <c r="O485" i="1"/>
  <c r="O490" i="1"/>
  <c r="M490" i="1"/>
  <c r="O486" i="1"/>
  <c r="M486" i="1"/>
  <c r="M193" i="1"/>
  <c r="O193" i="1"/>
  <c r="M200" i="1"/>
  <c r="O200" i="1"/>
  <c r="M211" i="1"/>
  <c r="O211" i="1"/>
  <c r="O217" i="1"/>
  <c r="M217" i="1"/>
  <c r="O223" i="1"/>
  <c r="M223" i="1"/>
  <c r="M228" i="1"/>
  <c r="O228" i="1"/>
  <c r="O184" i="1"/>
  <c r="M184" i="1"/>
  <c r="O187" i="1"/>
  <c r="M187" i="1"/>
  <c r="M188" i="1"/>
  <c r="O188" i="1"/>
  <c r="O192" i="1"/>
  <c r="M192" i="1"/>
  <c r="M195" i="1"/>
  <c r="O195" i="1"/>
  <c r="O197" i="1"/>
  <c r="M197" i="1"/>
  <c r="O198" i="1"/>
  <c r="M198" i="1"/>
  <c r="M201" i="1"/>
  <c r="O201" i="1"/>
  <c r="M204" i="1"/>
  <c r="O204" i="1"/>
  <c r="M212" i="1"/>
  <c r="O212" i="1"/>
  <c r="O214" i="1"/>
  <c r="M214" i="1"/>
  <c r="M219" i="1"/>
  <c r="O219" i="1"/>
  <c r="O222" i="1"/>
  <c r="M222" i="1"/>
  <c r="O224" i="1"/>
  <c r="M224" i="1"/>
  <c r="M221" i="1"/>
  <c r="O221" i="1"/>
  <c r="M220" i="1"/>
  <c r="O220" i="1"/>
  <c r="M183" i="1"/>
  <c r="O183" i="1"/>
  <c r="M190" i="1"/>
  <c r="O190" i="1"/>
  <c r="O226" i="1"/>
  <c r="M226" i="1"/>
  <c r="M196" i="1"/>
  <c r="O196" i="1"/>
  <c r="M206" i="1"/>
  <c r="O206" i="1"/>
  <c r="M203" i="1"/>
  <c r="O203" i="1"/>
  <c r="M210" i="1"/>
  <c r="O210" i="1"/>
  <c r="M216" i="1"/>
  <c r="O216" i="1"/>
  <c r="M227" i="1"/>
  <c r="O227" i="1"/>
  <c r="O225" i="1"/>
  <c r="M225" i="1"/>
  <c r="O199" i="1"/>
  <c r="M199" i="1"/>
  <c r="M229" i="1"/>
  <c r="O229" i="1"/>
  <c r="O186" i="1"/>
  <c r="M186" i="1"/>
  <c r="M185" i="1"/>
  <c r="O185" i="1"/>
  <c r="M189" i="1"/>
  <c r="O189" i="1"/>
  <c r="M191" i="1"/>
  <c r="O191" i="1"/>
  <c r="M194" i="1"/>
  <c r="O194" i="1"/>
  <c r="O205" i="1"/>
  <c r="M205" i="1"/>
  <c r="M202" i="1"/>
  <c r="O202" i="1"/>
  <c r="O207" i="1"/>
  <c r="M207" i="1"/>
  <c r="M208" i="1"/>
  <c r="O208" i="1"/>
  <c r="O209" i="1"/>
  <c r="M209" i="1"/>
  <c r="M213" i="1"/>
  <c r="O213" i="1"/>
  <c r="M215" i="1"/>
  <c r="O215" i="1"/>
  <c r="M218" i="1"/>
  <c r="O218" i="1"/>
  <c r="M230" i="1"/>
  <c r="O230" i="1"/>
  <c r="M231" i="1"/>
  <c r="O231" i="1"/>
  <c r="I896" i="1"/>
  <c r="E896" i="1"/>
  <c r="P896" i="1" s="1"/>
  <c r="L896" i="1" l="1"/>
  <c r="N896" i="1"/>
  <c r="O896" i="1" l="1"/>
  <c r="M8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tc={F1560D72-BCA5-4919-9555-C6101AAA2C24}</author>
  </authors>
  <commentList>
    <comment ref="M1" authorId="0" shapeId="0" xr:uid="{F1560D72-BCA5-4919-9555-C6101AAA2C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sharedStrings.xml><?xml version="1.0" encoding="utf-8"?>
<sst xmlns="http://schemas.openxmlformats.org/spreadsheetml/2006/main" count="2275" uniqueCount="168">
  <si>
    <t>합계 : 판매액</t>
  </si>
  <si>
    <t>연</t>
  </si>
  <si>
    <t>2021년</t>
  </si>
  <si>
    <t>월</t>
  </si>
  <si>
    <t>2월</t>
  </si>
  <si>
    <t>합계 : 광고비(VAT미포함)</t>
  </si>
  <si>
    <t>열 레이블</t>
  </si>
  <si>
    <t>행 레이블</t>
  </si>
  <si>
    <t>페이스북</t>
  </si>
  <si>
    <t>네이버 GFA</t>
  </si>
  <si>
    <t>네이버 검색</t>
  </si>
  <si>
    <t>(비어 있음)</t>
  </si>
  <si>
    <t>유튜브</t>
  </si>
  <si>
    <t>구글 검색</t>
  </si>
  <si>
    <t>GDN</t>
  </si>
  <si>
    <t>총합계</t>
  </si>
  <si>
    <t>2월1일</t>
  </si>
  <si>
    <t>2월2일</t>
  </si>
  <si>
    <t>2월3일</t>
  </si>
  <si>
    <t>2월4일</t>
  </si>
  <si>
    <t>2월5일</t>
  </si>
  <si>
    <t>2월6일</t>
  </si>
  <si>
    <t>2월7일</t>
  </si>
  <si>
    <t>2월8일</t>
  </si>
  <si>
    <t>샴푸</t>
  </si>
  <si>
    <t>트리트먼트</t>
  </si>
  <si>
    <t>뉴트리셔스밤</t>
  </si>
  <si>
    <t>1월</t>
  </si>
  <si>
    <t>1월1일</t>
  </si>
  <si>
    <t>1월2일</t>
  </si>
  <si>
    <t>1월3일</t>
  </si>
  <si>
    <t>1월4일</t>
  </si>
  <si>
    <t>1월5일</t>
  </si>
  <si>
    <t>1월6일</t>
  </si>
  <si>
    <t>1월7일</t>
  </si>
  <si>
    <t>1월8일</t>
  </si>
  <si>
    <t>`</t>
    <phoneticPr fontId="1" type="noConversion"/>
  </si>
  <si>
    <t>1월9일</t>
  </si>
  <si>
    <t>1월10일</t>
  </si>
  <si>
    <t>1월11일</t>
  </si>
  <si>
    <t>1월12일</t>
  </si>
  <si>
    <t>1월13일</t>
  </si>
  <si>
    <t>1월14일</t>
  </si>
  <si>
    <t>1월15일</t>
  </si>
  <si>
    <t>1월16일</t>
  </si>
  <si>
    <t>1월17일</t>
  </si>
  <si>
    <t>1월18일</t>
  </si>
  <si>
    <t>1월19일</t>
  </si>
  <si>
    <t>1월20일</t>
  </si>
  <si>
    <t>1월21일</t>
  </si>
  <si>
    <t>1월22일</t>
  </si>
  <si>
    <t>1월23일</t>
  </si>
  <si>
    <t>1월24일</t>
  </si>
  <si>
    <t>1월25일</t>
  </si>
  <si>
    <t>1월26일</t>
  </si>
  <si>
    <t>1월27일</t>
  </si>
  <si>
    <t>1월28일</t>
  </si>
  <si>
    <t>1월29일</t>
  </si>
  <si>
    <t>1월30일</t>
  </si>
  <si>
    <t>1월31일</t>
  </si>
  <si>
    <t>일자</t>
  </si>
  <si>
    <t>요일</t>
    <phoneticPr fontId="1" type="noConversion"/>
  </si>
  <si>
    <t>미디어</t>
    <phoneticPr fontId="1" type="noConversion"/>
  </si>
  <si>
    <t>상품1</t>
    <phoneticPr fontId="1" type="noConversion"/>
  </si>
  <si>
    <t>채널</t>
    <phoneticPr fontId="1" type="noConversion"/>
  </si>
  <si>
    <t>상품2</t>
    <phoneticPr fontId="1" type="noConversion"/>
  </si>
  <si>
    <t>판매수량</t>
    <phoneticPr fontId="1" type="noConversion"/>
  </si>
  <si>
    <t>상품 상세</t>
    <phoneticPr fontId="1" type="noConversion"/>
  </si>
  <si>
    <t>구분</t>
    <phoneticPr fontId="1" type="noConversion"/>
  </si>
  <si>
    <t>광고비(VAT미포함)</t>
    <phoneticPr fontId="1" type="noConversion"/>
  </si>
  <si>
    <t>판매액</t>
    <phoneticPr fontId="1" type="noConversion"/>
  </si>
  <si>
    <t>판매액(수수료제외)</t>
    <phoneticPr fontId="1" type="noConversion"/>
  </si>
  <si>
    <t>원가</t>
    <phoneticPr fontId="1" type="noConversion"/>
  </si>
  <si>
    <t>판매액(VAT미포함)</t>
    <phoneticPr fontId="1" type="noConversion"/>
  </si>
  <si>
    <t>구분값</t>
    <phoneticPr fontId="1" type="noConversion"/>
  </si>
  <si>
    <t>페이스북</t>
    <phoneticPr fontId="1" type="noConversion"/>
  </si>
  <si>
    <t>네이버 검색</t>
    <phoneticPr fontId="1" type="noConversion"/>
  </si>
  <si>
    <t>네이버 GFA</t>
    <phoneticPr fontId="1" type="noConversion"/>
  </si>
  <si>
    <t>목</t>
  </si>
  <si>
    <t>금</t>
  </si>
  <si>
    <t>토</t>
  </si>
  <si>
    <t>일</t>
  </si>
  <si>
    <t>화</t>
  </si>
  <si>
    <t>수</t>
  </si>
  <si>
    <t>카카오 플친</t>
  </si>
  <si>
    <t>샴푸</t>
    <phoneticPr fontId="1" type="noConversion"/>
  </si>
  <si>
    <t>라베나 CS</t>
    <phoneticPr fontId="1" type="noConversion"/>
  </si>
  <si>
    <t>리바이탈 샴푸</t>
    <phoneticPr fontId="1" type="noConversion"/>
  </si>
  <si>
    <t>카페24</t>
    <phoneticPr fontId="1" type="noConversion"/>
  </si>
  <si>
    <t>리바이탈 샴푸 2set</t>
    <phoneticPr fontId="1" type="noConversion"/>
  </si>
  <si>
    <t>리바이탈 샴푸 3set</t>
    <phoneticPr fontId="1" type="noConversion"/>
  </si>
  <si>
    <t>카페24</t>
  </si>
  <si>
    <t>HAIR RÉ:COVERY 15 Revital Shampoo [라베나 리커버리 15 리바이탈 샴푸]제품선택=헤어 리커버리 15 리바이탈 샴푸 - 500ml</t>
  </si>
  <si>
    <t>HAIR RÉ:COVERY 15 Revital Shampoo [라베나 리커버리 15 리바이탈 샴푸]제품선택=리바이탈 샴푸 2개 세트 5%추가할인</t>
  </si>
  <si>
    <t>HAIR RÉ:COVERY 15 Revital Shampoo [라베나 리커버리 15 리바이탈 샴푸]제품선택=리바이탈 샴푸 3개 세트 10% 추가할인</t>
  </si>
  <si>
    <t>라베나 CS</t>
  </si>
  <si>
    <t>HAIR RÉ:COVERY 15 Revital Shampoo [라베나 리커버리 15 리바이탈 샴푸]제품선택=헤어 리커버리 15 리바이탈 샴푸 - 500ml</t>
    <phoneticPr fontId="1" type="noConversion"/>
  </si>
  <si>
    <t>헤어 리커버리 15 헤어팩 트리트먼트</t>
  </si>
  <si>
    <t>(플친전용)HAIR RÉ:COVERY 15 Hairpack Treatment [헤어 리커버리 15 헤어팩 트리트먼트]제품선택=헤어 리커버리 15 헤어팩 트리트먼트</t>
  </si>
  <si>
    <t>(플친전용)HAIR RÉ:COVERY 15 Hairpack Treatment [헤어 리커버리 15 헤어팩 트리트먼트]제품선택=헤어팩 트리트먼트 2개 세트</t>
  </si>
  <si>
    <t>(플친전용)HAIR RÉ:COVERY 15 Hairpack Treatment [헤어 리커버리 15 헤어팩 트리트먼트]제품선택=헤어팩 트리트먼트 3개 세트</t>
  </si>
  <si>
    <t>(플친전용)HAIR RÉ:COVERY 15 Hairpack Treatment [헤어 리커버리 15 헤어팩 트리트먼트]제품선택=헤어팩 트리트먼트 1개 + 뉴트리셔스 밤 1개 세트</t>
  </si>
  <si>
    <t>(플친전용)HAIR RÉ:COVERY 15 Nutritious Balm [헤어 리커버리 15 뉴트리셔스 밤]제품선택=헤어 리커버리 15 뉴트리셔스 밤</t>
  </si>
  <si>
    <t>(플친전용)HAIR RÉ:COVERY 15 Nutritious Balm [헤어 리커버리 15 뉴트리셔스 밤]제품선택=뉴트리셔스 밤 3개 세트</t>
  </si>
  <si>
    <t>HAIR RÉ:COVERY 15 Hairpack Treatment [헤어 리커버리 15 헤어팩 트리트먼트]제품선택=헤어 리커버리 15 헤어팩 트리트먼트</t>
  </si>
  <si>
    <t>HAIR RÉ:COVERY 15 Hairpack Treatment [헤어 리커버리 15 헤어팩 트리트먼트]제품선택=헤어팩 트리트먼트 1개 + 뉴트리셔스밤 1개 세트 5% 추가할인</t>
  </si>
  <si>
    <t>HAIR RÉ:COVERY 15 Nutritious Balm [헤어 리커버리 15 뉴트리셔스 밤]제품선택=헤어 리커버리 15 뉴트리셔스 밤</t>
  </si>
  <si>
    <t>LAVENA HAIR RÉ:COVERY 15 Nutritious Balm [헤어 리커버리 15 뉴트리셔스 밤]제품선택=헤어 리커버리 15 뉴트리셔스 밤</t>
  </si>
  <si>
    <t>HAIR RÉ:COVERY 15 Hairpack Treatment [헤어 리커버리 15 헤어팩 트리트먼트]제품선택=헤어팩 트리트먼트 3개 세트 10% 추가할인</t>
  </si>
  <si>
    <t>HAIR RÉ:COVERY 15 Nutritious Balm [헤어 리커버리 15 뉴트리셔스 밤]제품선택=뉴트리셔스 밤 2개 세트 5% 추가할인</t>
  </si>
  <si>
    <t>HAIR RÉ:COVERY 15 Nutritious Balm [헤어 리커버리 15 뉴트리셔스 밤]제품선택=뉴트리셔스밤 1개 + 헤어팩 트리트먼트 1개 세트 5%추가할인</t>
  </si>
  <si>
    <t>(플친전용)HAIR RÉ:COVERY 15 Nutritious Balm [헤어 리커버리 15 뉴트리셔스 밤]제품선택=뉴트리셔스밤 1개 + 헤어팩 트리트먼트 1개 세트</t>
  </si>
  <si>
    <t>HAIR RÉ:COVERY 15 Nutritious Balm [헤어 리커버리 15 뉴트리셔스 밤]제품선택=뉴트리셔스 밤 3개 세트 10% 추가할인</t>
  </si>
  <si>
    <t>HAIR RÉ:COVERY 15 Hairpack Treatment [헤어 리커버리 15 헤어팩 트리트먼트]제품선택=헤어팩 트리트먼트 2개 세트 5% 추가할인</t>
  </si>
  <si>
    <t>헤어 리커버리 15 뉴트리셔스 밤</t>
  </si>
  <si>
    <t>HAIR RÉ:COVERY 15 Hairpack Treatment [라베나 리커버리 15 헤어팩 트리트먼트]제품선택=헤어 리커버리 15 헤어팩 트리트먼트</t>
  </si>
  <si>
    <t>HAIR RÉ:COVERY 15 Hairpack Treatment [라베나 리커버리 15 헤어팩 트리트먼트]제품선택=헤어팩 트리트먼트 2개 세트 5% 추가할인</t>
  </si>
  <si>
    <t>HAIR RÉ:COVERY 15 Hairpack Treatment [라베나 리커버리 15 헤어팩 트리트먼트]제품선택=헤어팩 트리트먼트 1개 + 뉴트리셔스밤 1개 세트 5% 추가할인</t>
  </si>
  <si>
    <t>HAIR RÉ:COVERY 15 Nutritious Balm [라베나 리커버리 15 뉴트리셔스 밤]제품선택=헤어 리커버리 15 뉴트리셔스 밤</t>
  </si>
  <si>
    <t>HAIR RÉ:COVERY 15 Nutritious Balm [라베나 리커버리 15 뉴트리셔스 밤]제품선택=뉴트리셔스 밤 3개 세트 10% 추가할인</t>
  </si>
  <si>
    <t>HAIR RÉ:COVERY 15 Hairpack Treatment [라베나 리커버리 15 헤어팩 트리트먼트]제품선택=헤어팩 트리트먼트 3개 세트 10% 추가할인</t>
  </si>
  <si>
    <t>HAIR RÉ:COVERY 15 Nutritious Balm [라베나 리커버리 15 뉴트리셔스 밤]제품선택=뉴트리셔스 밤 2개 세트 5% 추가할인</t>
  </si>
  <si>
    <t>HAIR RÉ:COVERY 15 Nutritious Balm [라베나 리커버리 15 뉴트리셔스 밤]제품선택=뉴트리셔스밤 1개 + 헤어팩 트리트먼트 1개 세트 5%추가할인</t>
  </si>
  <si>
    <t>헤어 리커버리 15 리바이탈 샴푸</t>
  </si>
  <si>
    <t>라베나 리커버리 15 뉴트리셔스 밤 [HAIR RÉ:COVERY 15 Nutritious Balm]제품선택=헤어 리커버리 15 뉴트리셔스 밤</t>
  </si>
  <si>
    <t>라베나 리커버리 15 뉴트리셔스 밤 [HAIR RÉ:COVERY 15 Nutritious Balm]제품선택=뉴트리셔스 밤 2개 세트 5% 추가할인</t>
  </si>
  <si>
    <t>라베나 리커버리 15 뉴트리셔스 밤 [HAIR RÉ:COVERY 15 Nutritious Balm]제품선택=뉴트리셔스밤 1개 + 헤어팩 트리트먼트 1개 세트 5%추가할인</t>
  </si>
  <si>
    <t>라베나 리커버리 15 리바이탈 샴푸 [HAIR RÉ:COVERY 15 Revital Shampoo]제품선택=헤어 리커버리 15 리바이탈 샴푸 - 500ml</t>
  </si>
  <si>
    <t>라베나 리커버리 15 리바이탈 샴푸 [HAIR RÉ:COVERY 15 Revital Shampoo]제품선택=리바이탈 샴푸 2개 세트 5%추가할인</t>
  </si>
  <si>
    <t>라베나 리커버리 15 리바이탈 샴푸 [HAIR RÉ:COVERY 15 Revital Shampoo]제품선택=리바이탈 샴푸 3개 세트 10% 추가할인</t>
  </si>
  <si>
    <t>라베나 리커버리 15 헤어팩 트리트먼트 [HAIR RÉ:COVERY 15 Hairpack Treatment]제품선택=헤어 리커버리 15 헤어팩 트리트먼트</t>
  </si>
  <si>
    <t>라베나 리커버리 15 헤어팩 트리트먼트 [HAIR RÉ:COVERY 15 Hairpack Treatment]제품선택=헤어팩 트리트먼트 2개 세트 5% 추가할인</t>
  </si>
  <si>
    <t>라베나 리커버리 15 헤어팩 트리트먼트 [HAIR RÉ:COVERY 15 Hairpack Treatment]제품선택=헤어팩 트리트먼트 3개 세트 10% 추가할인</t>
  </si>
  <si>
    <t>라베나 리커버리 15 헤어팩 트리트먼트 [HAIR RÉ:COVERY 15 Hairpack Treatment]제품선택=헤어팩 트리트먼트 1개 + 뉴트리셔스밤 1개 세트 5% 추가할인</t>
  </si>
  <si>
    <t>라베나 리커버리 15 뉴트리셔스 밤 [HAIR RÉ:COVERY 15 Nutritious Balm]제품선택=뉴트리셔스 밤 3개 세트 10% 추가할인</t>
  </si>
  <si>
    <t>라베나 리커버리 15 뉴트리셔스 밤 [HAIR R?:COVERY 15 Nutritious Balm]제품선택=헤어 리커버리 15 뉴트리셔스 밤</t>
  </si>
  <si>
    <t>라베나 리커버리 15 뉴트리셔스 밤 [HAIR R?:COVERY 15 Nutritious Balm]제품선택=뉴트리셔스 밤 2개 세트 5% 추가할인</t>
  </si>
  <si>
    <t>라베나 리커버리 15 뉴트리셔스 밤 [HAIR R?:COVERY 15 Nutritious Balm]제품선택=뉴트리셔스밤 1개 + 헤어팩 트리트먼트 1개 세트 5%추가할인</t>
  </si>
  <si>
    <t>라베나 리커버리 15 리바이탈 샴푸 [HAIR R?:COVERY 15 Revital Shampoo]제품선택=헤어 리커버리 15 리바이탈 샴푸 - 500ml</t>
  </si>
  <si>
    <t>라베나 리커버리 15 리바이탈 샴푸 [HAIR R?:COVERY 15 Revital Shampoo]제품선택=리바이탈 샴푸 2개 세트 5%추가할인</t>
  </si>
  <si>
    <t>라베나 리커버리 15 리바이탈 샴푸 [HAIR R?:COVERY 15 Revital Shampoo]제품선택=리바이탈 샴푸 3개 세트 10% 추가할인</t>
  </si>
  <si>
    <t>라베나 리커버리 15 헤어팩 트리트먼트 [HAIR R?:COVERY 15 Hairpack Treatment]제품선택=헤어 리커버리 15 헤어팩 트리트먼트</t>
  </si>
  <si>
    <t>라베나 리커버리 15 헤어팩 트리트먼트 [HAIR R?:COVERY 15 Hairpack Treatment]제품선택=헤어팩 트리트먼트 2개 세트 5% 추가할인</t>
  </si>
  <si>
    <t>(플친전용)HAIR RÉ:COVERY 15 Nutritious Balm [헤어 리커버리 15 뉴트리셔스 밤]제품선택=뉴트리셔스 밤 2개 세트</t>
  </si>
  <si>
    <t>라베나 리커버리 15 리바이탈 바이오플라보노이드샴푸 [HAIR RÉ:COVERY 15 Revital Shampoo]제품선택=헤어 리커버리 15 리바이탈 샴푸 - 500ml</t>
  </si>
  <si>
    <t>라베나 리커버리 15 리바이탈 바이오플라보노이드샴푸 [HAIR RÉ:COVERY 15 Revital Shampoo]제품선택=리바이탈 샴푸 2개 세트 5%추가할인</t>
  </si>
  <si>
    <t>라베나 리커버리 15 리바이탈 바이오플라보노이드샴푸 [HAIR RÉ:COVERY 15 Revital Shampoo]제품선택=리바이탈 샴푸 3개 세트 10% 추가할인</t>
  </si>
  <si>
    <t>채널</t>
  </si>
  <si>
    <t>상품1</t>
  </si>
  <si>
    <t>상품2</t>
  </si>
  <si>
    <t>구분(판매가)</t>
  </si>
  <si>
    <t>판매가</t>
    <phoneticPr fontId="1" type="noConversion"/>
  </si>
  <si>
    <t>수수료</t>
    <phoneticPr fontId="1" type="noConversion"/>
  </si>
  <si>
    <t>리바이탈 샴푸</t>
  </si>
  <si>
    <t>뉴트리셔스밤</t>
    <phoneticPr fontId="1" type="noConversion"/>
  </si>
  <si>
    <t>트리트먼트</t>
    <phoneticPr fontId="1" type="noConversion"/>
  </si>
  <si>
    <t>트리트먼트+뉴트리셔스밤</t>
    <phoneticPr fontId="1" type="noConversion"/>
  </si>
  <si>
    <t>트리트먼트 2set</t>
    <phoneticPr fontId="1" type="noConversion"/>
  </si>
  <si>
    <t>트리트먼트 3set</t>
    <phoneticPr fontId="1" type="noConversion"/>
  </si>
  <si>
    <t>(플친전용)HAIR RÉ:COVERY 15 Nutritious Balm [헤어 리커버리 15 뉴트리셔스 밤]제품선택=뉴트리셔스 밤 2개 세트</t>
    <phoneticPr fontId="1" type="noConversion"/>
  </si>
  <si>
    <t>뉴트리셔스밤 2set</t>
    <phoneticPr fontId="1" type="noConversion"/>
  </si>
  <si>
    <t>뉴트리셔스밤 3set</t>
    <phoneticPr fontId="1" type="noConversion"/>
  </si>
  <si>
    <t>HAIR RÉ:COVERY 15 Hairpack Treatment [헤어 리커버리 15 헤어팩 트리트먼트]제품선택=헤어팩 트리트먼트 2개 세트 5% 추가할인</t>
    <phoneticPr fontId="1" type="noConversion"/>
  </si>
  <si>
    <t>HAIR RÉ:COVERY 15 Nutritious Balm [헤어 리커버리 15 뉴트리셔스 밤]제품선택=뉴트리셔스 밤 3개 세트 10% 추가할인</t>
    <phoneticPr fontId="1" type="noConversion"/>
  </si>
  <si>
    <t>리바이탈 샴푸 2set</t>
  </si>
  <si>
    <t>리바이탈 샴푸 3set</t>
  </si>
  <si>
    <t>(모두)</t>
  </si>
  <si>
    <t>합계 : 판매액(VAT미포함)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</si>
</sst>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rgb="FF555555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0" borderId="0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3" borderId="0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4" fillId="0" borderId="0" xfId="0" applyFont="1">
      <alignment vertical="center"/>
    </xf>
    <xf numFmtId="0" fontId="0" fillId="2" borderId="0" xfId="0" applyNumberFormat="1" applyFill="1">
      <alignment vertical="center"/>
    </xf>
    <xf numFmtId="3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 applyFill="1" applyAlignment="1">
      <alignment horizontal="right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0" borderId="0" xfId="0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4">
    <dxf>
      <numFmt numFmtId="33" formatCode="_-* #,##0_-;\-* #,##0_-;_-* &quot;-&quot;_-;_-@_-"/>
    </dxf>
    <dxf>
      <numFmt numFmtId="33" formatCode="_-* #,##0_-;\-* #,##0_-;_-* &quot;-&quot;_-;_-@_-"/>
    </dxf>
    <dxf>
      <fill>
        <patternFill patternType="solid">
          <bgColor rgb="FFFFFF00"/>
        </patternFill>
      </fill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22584" id="{EABBB34B-F2FC-4B18-9653-7845AD18DB71}" userId="S::m22584@mc365vip.com::28e3fe40-fb72-4635-8504-45cd8a5a2bc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un lee" refreshedDate="44236.48636087963" createdVersion="6" refreshedVersion="6" minRefreshableVersion="3" recordCount="914" xr:uid="{3FB1AFF0-F405-4A7A-BF95-9783010A6647}">
  <cacheSource type="worksheet">
    <worksheetSource ref="B1:O1048576" sheet="RD"/>
  </cacheSource>
  <cacheFields count="14">
    <cacheField name="일자" numFmtId="0">
      <sharedItems containsNonDate="0" containsDate="1" containsString="0" containsBlank="1" minDate="2020-01-04T00:00:00" maxDate="2021-02-09T00:00:00" count="92"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m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01-05T00:00:00" u="1"/>
        <d v="2020-01-04T00:00:00" u="1"/>
      </sharedItems>
    </cacheField>
    <cacheField name="요일" numFmtId="0">
      <sharedItems containsBlank="1"/>
    </cacheField>
    <cacheField name="미디어" numFmtId="0">
      <sharedItems containsBlank="1"/>
    </cacheField>
    <cacheField name="상품1" numFmtId="0">
      <sharedItems containsBlank="1" count="4">
        <m/>
        <s v="샴푸"/>
        <s v="트리트먼트"/>
        <s v="뉴트리셔스밤"/>
      </sharedItems>
    </cacheField>
    <cacheField name="채널" numFmtId="0">
      <sharedItems containsBlank="1"/>
    </cacheField>
    <cacheField name="상품2" numFmtId="0">
      <sharedItems containsBlank="1"/>
    </cacheField>
    <cacheField name="판매수량" numFmtId="0">
      <sharedItems containsString="0" containsBlank="1" containsNumber="1" containsInteger="1" minValue="1" maxValue="459"/>
    </cacheField>
    <cacheField name="상품 상세" numFmtId="0">
      <sharedItems containsBlank="1"/>
    </cacheField>
    <cacheField name="구분" numFmtId="0">
      <sharedItems containsString="0" containsBlank="1" containsNumber="1" containsInteger="1" minValue="201109" maxValue="210201"/>
    </cacheField>
    <cacheField name="광고비(VAT미포함)" numFmtId="0">
      <sharedItems containsString="0" containsBlank="1" containsNumber="1" minValue="0" maxValue="3379340"/>
    </cacheField>
    <cacheField name="판매액" numFmtId="0">
      <sharedItems containsString="0" containsBlank="1" containsNumber="1" containsInteger="1" minValue="0" maxValue="12347100"/>
    </cacheField>
    <cacheField name="판매액(수수료제외)" numFmtId="0">
      <sharedItems containsString="0" containsBlank="1" containsNumber="1" minValue="0" maxValue="11624794.65"/>
    </cacheField>
    <cacheField name="원가" numFmtId="0">
      <sharedItems containsString="0" containsBlank="1" containsNumber="1" minValue="1580" maxValue="1386180"/>
    </cacheField>
    <cacheField name="판매액(VAT미포함)" numFmtId="0">
      <sharedItems containsString="0" containsBlank="1" containsNumber="1" minValue="0" maxValue="11224636.3636363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이선형" refreshedDate="44236.547988194441" createdVersion="6" refreshedVersion="6" minRefreshableVersion="3" recordCount="913" xr:uid="{2406BEA4-069C-40E7-AD04-7D6F03AEDEDC}">
  <cacheSource type="worksheet">
    <worksheetSource ref="B1:P1048576" sheet="RD"/>
  </cacheSource>
  <cacheFields count="17">
    <cacheField name="일자" numFmtId="0">
      <sharedItems containsNonDate="0" containsDate="1" containsString="0" containsBlank="1" minDate="2020-11-09T00:00:00" maxDate="2021-02-09T00:00:00" count="90"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m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</sharedItems>
      <fieldGroup par="16" base="0">
        <rangePr groupBy="days" startDate="2020-11-09T00:00:00" endDate="2021-02-09T00:00:00"/>
        <groupItems count="368">
          <s v="(비어 있음)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1-02-09"/>
        </groupItems>
      </fieldGroup>
    </cacheField>
    <cacheField name="요일" numFmtId="0">
      <sharedItems containsBlank="1"/>
    </cacheField>
    <cacheField name="미디어" numFmtId="0">
      <sharedItems containsBlank="1" count="8">
        <s v="페이스북"/>
        <s v="네이버 검색"/>
        <s v="네이버 GFA"/>
        <s v="유튜브"/>
        <s v="구글 검색"/>
        <s v="카카오 플친"/>
        <s v="GDN"/>
        <m/>
      </sharedItems>
    </cacheField>
    <cacheField name="상품1" numFmtId="0">
      <sharedItems containsBlank="1" count="4">
        <m/>
        <s v="샴푸"/>
        <s v="트리트먼트"/>
        <s v="뉴트리셔스밤"/>
      </sharedItems>
    </cacheField>
    <cacheField name="채널" numFmtId="0">
      <sharedItems containsBlank="1"/>
    </cacheField>
    <cacheField name="상품2" numFmtId="0">
      <sharedItems containsBlank="1"/>
    </cacheField>
    <cacheField name="판매수량" numFmtId="0">
      <sharedItems containsString="0" containsBlank="1" containsNumber="1" containsInteger="1" minValue="1" maxValue="459"/>
    </cacheField>
    <cacheField name="상품 상세" numFmtId="0">
      <sharedItems containsBlank="1"/>
    </cacheField>
    <cacheField name="구분" numFmtId="0">
      <sharedItems containsString="0" containsBlank="1" containsNumber="1" containsInteger="1" minValue="201109" maxValue="210201"/>
    </cacheField>
    <cacheField name="광고비(VAT미포함)" numFmtId="0">
      <sharedItems containsString="0" containsBlank="1" containsNumber="1" minValue="0" maxValue="3379340"/>
    </cacheField>
    <cacheField name="판매액" numFmtId="0">
      <sharedItems containsString="0" containsBlank="1" containsNumber="1" containsInteger="1" minValue="0" maxValue="12347100"/>
    </cacheField>
    <cacheField name="판매액(수수료제외)" numFmtId="0">
      <sharedItems containsString="0" containsBlank="1" containsNumber="1" minValue="0" maxValue="11624794.65"/>
    </cacheField>
    <cacheField name="원가" numFmtId="0">
      <sharedItems containsString="0" containsBlank="1" containsNumber="1" minValue="1580" maxValue="1386180"/>
    </cacheField>
    <cacheField name="판매액(VAT미포함)" numFmtId="0">
      <sharedItems containsString="0" containsBlank="1" containsNumber="1" minValue="0" maxValue="11224636.363636363"/>
    </cacheField>
    <cacheField name="구분값" numFmtId="0">
      <sharedItems containsBlank="1"/>
    </cacheField>
    <cacheField name="월" numFmtId="0" databaseField="0">
      <fieldGroup base="0">
        <rangePr groupBy="months" startDate="2020-11-09T00:00:00" endDate="2021-02-09T00:00:00"/>
        <groupItems count="14">
          <s v="&lt;2020-1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2-09"/>
        </groupItems>
      </fieldGroup>
    </cacheField>
    <cacheField name="연" numFmtId="0" databaseField="0">
      <fieldGroup base="0">
        <rangePr groupBy="years" startDate="2020-11-09T00:00:00" endDate="2021-02-09T00:00:00"/>
        <groupItems count="4">
          <s v="&lt;2020-11-09"/>
          <s v="2020년"/>
          <s v="2021년"/>
          <s v="&gt;2021-02-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4">
  <r>
    <x v="0"/>
    <s v="수"/>
    <s v="페이스북"/>
    <x v="0"/>
    <m/>
    <m/>
    <m/>
    <m/>
    <m/>
    <n v="1266829"/>
    <m/>
    <m/>
    <m/>
    <m/>
  </r>
  <r>
    <x v="0"/>
    <s v="수"/>
    <s v="네이버 검색"/>
    <x v="0"/>
    <m/>
    <m/>
    <m/>
    <m/>
    <m/>
    <n v="1609.9999999999998"/>
    <m/>
    <m/>
    <m/>
    <m/>
  </r>
  <r>
    <x v="0"/>
    <s v="수"/>
    <s v="네이버 GFA"/>
    <x v="0"/>
    <m/>
    <m/>
    <m/>
    <m/>
    <m/>
    <n v="164738.18181818179"/>
    <m/>
    <m/>
    <m/>
    <m/>
  </r>
  <r>
    <x v="1"/>
    <s v="목"/>
    <s v="페이스북"/>
    <x v="0"/>
    <m/>
    <m/>
    <m/>
    <m/>
    <m/>
    <n v="604068"/>
    <m/>
    <m/>
    <m/>
    <m/>
  </r>
  <r>
    <x v="1"/>
    <s v="목"/>
    <s v="네이버 검색"/>
    <x v="0"/>
    <m/>
    <m/>
    <m/>
    <m/>
    <m/>
    <n v="1050"/>
    <m/>
    <m/>
    <m/>
    <m/>
  </r>
  <r>
    <x v="1"/>
    <s v="목"/>
    <s v="네이버 GFA"/>
    <x v="0"/>
    <m/>
    <m/>
    <m/>
    <m/>
    <m/>
    <n v="206420.90909090909"/>
    <m/>
    <m/>
    <m/>
    <m/>
  </r>
  <r>
    <x v="2"/>
    <s v="금"/>
    <s v="페이스북"/>
    <x v="0"/>
    <m/>
    <m/>
    <m/>
    <m/>
    <m/>
    <n v="621910"/>
    <m/>
    <m/>
    <m/>
    <m/>
  </r>
  <r>
    <x v="2"/>
    <s v="금"/>
    <s v="네이버 검색"/>
    <x v="0"/>
    <m/>
    <m/>
    <m/>
    <m/>
    <m/>
    <n v="1190"/>
    <m/>
    <m/>
    <m/>
    <m/>
  </r>
  <r>
    <x v="2"/>
    <s v="금"/>
    <s v="네이버 GFA"/>
    <x v="0"/>
    <m/>
    <m/>
    <m/>
    <m/>
    <m/>
    <n v="201929.99999999997"/>
    <m/>
    <m/>
    <m/>
    <m/>
  </r>
  <r>
    <x v="3"/>
    <s v="토"/>
    <s v="페이스북"/>
    <x v="0"/>
    <m/>
    <m/>
    <m/>
    <m/>
    <m/>
    <n v="862403"/>
    <m/>
    <m/>
    <m/>
    <m/>
  </r>
  <r>
    <x v="3"/>
    <s v="토"/>
    <s v="네이버 검색"/>
    <x v="0"/>
    <m/>
    <m/>
    <m/>
    <m/>
    <m/>
    <n v="1260"/>
    <m/>
    <m/>
    <m/>
    <m/>
  </r>
  <r>
    <x v="3"/>
    <s v="토"/>
    <s v="네이버 GFA"/>
    <x v="0"/>
    <m/>
    <m/>
    <m/>
    <m/>
    <m/>
    <n v="180623.63636363635"/>
    <m/>
    <m/>
    <m/>
    <m/>
  </r>
  <r>
    <x v="4"/>
    <s v="일"/>
    <s v="페이스북"/>
    <x v="0"/>
    <m/>
    <m/>
    <m/>
    <m/>
    <m/>
    <n v="1115571"/>
    <m/>
    <m/>
    <m/>
    <m/>
  </r>
  <r>
    <x v="4"/>
    <s v="일"/>
    <s v="네이버 검색"/>
    <x v="0"/>
    <m/>
    <m/>
    <m/>
    <m/>
    <m/>
    <n v="2029.9999999999998"/>
    <m/>
    <m/>
    <m/>
    <m/>
  </r>
  <r>
    <x v="4"/>
    <s v="일"/>
    <s v="네이버 GFA"/>
    <x v="0"/>
    <m/>
    <m/>
    <m/>
    <m/>
    <m/>
    <n v="214530.90909090906"/>
    <m/>
    <m/>
    <m/>
    <m/>
  </r>
  <r>
    <x v="5"/>
    <s v="월"/>
    <s v="페이스북"/>
    <x v="0"/>
    <m/>
    <m/>
    <m/>
    <m/>
    <m/>
    <n v="1084337"/>
    <m/>
    <m/>
    <m/>
    <m/>
  </r>
  <r>
    <x v="5"/>
    <s v="월"/>
    <s v="네이버 검색"/>
    <x v="0"/>
    <m/>
    <m/>
    <m/>
    <m/>
    <m/>
    <n v="1889.9999999999998"/>
    <m/>
    <m/>
    <m/>
    <m/>
  </r>
  <r>
    <x v="5"/>
    <s v="월"/>
    <s v="네이버 GFA"/>
    <x v="0"/>
    <m/>
    <m/>
    <m/>
    <m/>
    <m/>
    <n v="423435.45454545453"/>
    <m/>
    <m/>
    <m/>
    <m/>
  </r>
  <r>
    <x v="6"/>
    <s v="화"/>
    <s v="페이스북"/>
    <x v="0"/>
    <m/>
    <m/>
    <m/>
    <m/>
    <m/>
    <n v="857492"/>
    <m/>
    <m/>
    <m/>
    <m/>
  </r>
  <r>
    <x v="6"/>
    <s v="화"/>
    <s v="네이버 검색"/>
    <x v="0"/>
    <m/>
    <m/>
    <m/>
    <m/>
    <m/>
    <n v="1260"/>
    <m/>
    <m/>
    <m/>
    <m/>
  </r>
  <r>
    <x v="6"/>
    <s v="화"/>
    <s v="네이버 GFA"/>
    <x v="0"/>
    <m/>
    <m/>
    <m/>
    <m/>
    <m/>
    <n v="484894.54545454541"/>
    <m/>
    <m/>
    <m/>
    <m/>
  </r>
  <r>
    <x v="7"/>
    <s v="수"/>
    <s v="페이스북"/>
    <x v="0"/>
    <m/>
    <m/>
    <m/>
    <m/>
    <m/>
    <n v="725091"/>
    <m/>
    <m/>
    <m/>
    <m/>
  </r>
  <r>
    <x v="7"/>
    <s v="수"/>
    <s v="네이버 검색"/>
    <x v="0"/>
    <m/>
    <m/>
    <m/>
    <m/>
    <m/>
    <n v="1609.9999999999998"/>
    <m/>
    <m/>
    <m/>
    <m/>
  </r>
  <r>
    <x v="7"/>
    <s v="수"/>
    <s v="네이버 GFA"/>
    <x v="0"/>
    <m/>
    <m/>
    <m/>
    <m/>
    <m/>
    <n v="776300.90909090906"/>
    <m/>
    <m/>
    <m/>
    <m/>
  </r>
  <r>
    <x v="8"/>
    <s v="목"/>
    <s v="페이스북"/>
    <x v="0"/>
    <m/>
    <m/>
    <m/>
    <m/>
    <m/>
    <n v="1073186"/>
    <m/>
    <m/>
    <m/>
    <m/>
  </r>
  <r>
    <x v="8"/>
    <s v="목"/>
    <s v="네이버 검색"/>
    <x v="0"/>
    <m/>
    <m/>
    <m/>
    <m/>
    <m/>
    <n v="1959.9999999999998"/>
    <m/>
    <m/>
    <m/>
    <m/>
  </r>
  <r>
    <x v="8"/>
    <s v="목"/>
    <s v="네이버 GFA"/>
    <x v="0"/>
    <m/>
    <m/>
    <m/>
    <m/>
    <m/>
    <n v="755081.81818181812"/>
    <m/>
    <m/>
    <m/>
    <m/>
  </r>
  <r>
    <x v="9"/>
    <s v="금"/>
    <s v="페이스북"/>
    <x v="0"/>
    <m/>
    <m/>
    <m/>
    <m/>
    <m/>
    <n v="851832"/>
    <m/>
    <m/>
    <m/>
    <m/>
  </r>
  <r>
    <x v="9"/>
    <s v="금"/>
    <s v="네이버 검색"/>
    <x v="0"/>
    <m/>
    <m/>
    <m/>
    <m/>
    <m/>
    <n v="1190"/>
    <m/>
    <m/>
    <m/>
    <m/>
  </r>
  <r>
    <x v="9"/>
    <s v="금"/>
    <s v="네이버 GFA"/>
    <x v="0"/>
    <m/>
    <m/>
    <m/>
    <m/>
    <m/>
    <n v="309267.27272727271"/>
    <m/>
    <m/>
    <m/>
    <m/>
  </r>
  <r>
    <x v="10"/>
    <s v="토"/>
    <s v="페이스북"/>
    <x v="0"/>
    <m/>
    <m/>
    <m/>
    <m/>
    <m/>
    <n v="928639"/>
    <m/>
    <m/>
    <m/>
    <m/>
  </r>
  <r>
    <x v="10"/>
    <s v="토"/>
    <s v="네이버 검색"/>
    <x v="0"/>
    <m/>
    <m/>
    <m/>
    <m/>
    <m/>
    <n v="1539.9999999999998"/>
    <m/>
    <m/>
    <m/>
    <m/>
  </r>
  <r>
    <x v="10"/>
    <s v="토"/>
    <s v="네이버 GFA"/>
    <x v="0"/>
    <m/>
    <m/>
    <m/>
    <m/>
    <m/>
    <n v="0"/>
    <m/>
    <m/>
    <m/>
    <m/>
  </r>
  <r>
    <x v="11"/>
    <s v="일"/>
    <s v="페이스북"/>
    <x v="0"/>
    <m/>
    <m/>
    <m/>
    <m/>
    <m/>
    <n v="1190341"/>
    <m/>
    <m/>
    <m/>
    <m/>
  </r>
  <r>
    <x v="11"/>
    <s v="일"/>
    <s v="네이버 검색"/>
    <x v="0"/>
    <m/>
    <m/>
    <m/>
    <m/>
    <m/>
    <n v="1190"/>
    <m/>
    <m/>
    <m/>
    <m/>
  </r>
  <r>
    <x v="11"/>
    <s v="일"/>
    <s v="네이버 GFA"/>
    <x v="0"/>
    <m/>
    <m/>
    <m/>
    <m/>
    <m/>
    <n v="0"/>
    <m/>
    <m/>
    <m/>
    <m/>
  </r>
  <r>
    <x v="12"/>
    <s v="월"/>
    <s v="페이스북"/>
    <x v="0"/>
    <m/>
    <m/>
    <m/>
    <m/>
    <m/>
    <n v="783186"/>
    <m/>
    <m/>
    <m/>
    <m/>
  </r>
  <r>
    <x v="12"/>
    <s v="월"/>
    <s v="네이버 검색"/>
    <x v="0"/>
    <m/>
    <m/>
    <m/>
    <m/>
    <m/>
    <n v="2100"/>
    <m/>
    <m/>
    <m/>
    <m/>
  </r>
  <r>
    <x v="12"/>
    <s v="월"/>
    <s v="네이버 GFA"/>
    <x v="0"/>
    <m/>
    <m/>
    <m/>
    <m/>
    <m/>
    <n v="0"/>
    <m/>
    <m/>
    <m/>
    <m/>
  </r>
  <r>
    <x v="12"/>
    <s v="월"/>
    <s v="유튜브"/>
    <x v="0"/>
    <m/>
    <m/>
    <m/>
    <m/>
    <m/>
    <n v="155050"/>
    <m/>
    <m/>
    <m/>
    <m/>
  </r>
  <r>
    <x v="13"/>
    <s v="화"/>
    <s v="페이스북"/>
    <x v="0"/>
    <m/>
    <m/>
    <m/>
    <m/>
    <m/>
    <n v="662365"/>
    <m/>
    <m/>
    <m/>
    <m/>
  </r>
  <r>
    <x v="13"/>
    <s v="화"/>
    <s v="네이버 검색"/>
    <x v="0"/>
    <m/>
    <m/>
    <m/>
    <m/>
    <m/>
    <n v="26949.999999999996"/>
    <m/>
    <m/>
    <m/>
    <m/>
  </r>
  <r>
    <x v="13"/>
    <s v="화"/>
    <s v="네이버 GFA"/>
    <x v="0"/>
    <m/>
    <m/>
    <m/>
    <m/>
    <m/>
    <n v="0"/>
    <m/>
    <m/>
    <m/>
    <m/>
  </r>
  <r>
    <x v="13"/>
    <s v="화"/>
    <s v="유튜브"/>
    <x v="0"/>
    <m/>
    <m/>
    <m/>
    <m/>
    <m/>
    <n v="3126235"/>
    <m/>
    <m/>
    <m/>
    <m/>
  </r>
  <r>
    <x v="14"/>
    <s v="수"/>
    <s v="페이스북"/>
    <x v="0"/>
    <m/>
    <m/>
    <m/>
    <m/>
    <m/>
    <n v="716178"/>
    <m/>
    <m/>
    <m/>
    <m/>
  </r>
  <r>
    <x v="14"/>
    <s v="수"/>
    <s v="네이버 검색"/>
    <x v="0"/>
    <m/>
    <m/>
    <m/>
    <m/>
    <m/>
    <n v="5739.9999999999991"/>
    <m/>
    <m/>
    <m/>
    <m/>
  </r>
  <r>
    <x v="14"/>
    <s v="수"/>
    <s v="네이버 GFA"/>
    <x v="0"/>
    <m/>
    <m/>
    <m/>
    <m/>
    <m/>
    <n v="0"/>
    <m/>
    <m/>
    <m/>
    <m/>
  </r>
  <r>
    <x v="14"/>
    <s v="수"/>
    <s v="유튜브"/>
    <x v="0"/>
    <m/>
    <m/>
    <m/>
    <m/>
    <m/>
    <n v="112009"/>
    <m/>
    <m/>
    <m/>
    <m/>
  </r>
  <r>
    <x v="15"/>
    <s v="목"/>
    <s v="페이스북"/>
    <x v="0"/>
    <m/>
    <m/>
    <m/>
    <m/>
    <m/>
    <n v="848875"/>
    <m/>
    <m/>
    <m/>
    <m/>
  </r>
  <r>
    <x v="15"/>
    <s v="목"/>
    <s v="네이버 검색"/>
    <x v="0"/>
    <m/>
    <m/>
    <m/>
    <m/>
    <m/>
    <n v="6089.9999999999991"/>
    <m/>
    <m/>
    <m/>
    <m/>
  </r>
  <r>
    <x v="15"/>
    <s v="목"/>
    <s v="네이버 GFA"/>
    <x v="0"/>
    <m/>
    <m/>
    <m/>
    <m/>
    <m/>
    <n v="0"/>
    <m/>
    <m/>
    <m/>
    <m/>
  </r>
  <r>
    <x v="15"/>
    <s v="목"/>
    <s v="유튜브"/>
    <x v="0"/>
    <m/>
    <m/>
    <m/>
    <m/>
    <m/>
    <n v="719161"/>
    <m/>
    <m/>
    <m/>
    <m/>
  </r>
  <r>
    <x v="16"/>
    <s v="금"/>
    <s v="페이스북"/>
    <x v="0"/>
    <m/>
    <m/>
    <m/>
    <m/>
    <m/>
    <n v="834047"/>
    <m/>
    <m/>
    <m/>
    <m/>
  </r>
  <r>
    <x v="16"/>
    <s v="금"/>
    <s v="네이버 검색"/>
    <x v="0"/>
    <m/>
    <m/>
    <m/>
    <m/>
    <m/>
    <n v="17510"/>
    <m/>
    <m/>
    <m/>
    <m/>
  </r>
  <r>
    <x v="16"/>
    <s v="금"/>
    <s v="네이버 GFA"/>
    <x v="0"/>
    <m/>
    <m/>
    <m/>
    <m/>
    <m/>
    <n v="0"/>
    <m/>
    <m/>
    <m/>
    <m/>
  </r>
  <r>
    <x v="16"/>
    <s v="금"/>
    <s v="유튜브"/>
    <x v="0"/>
    <m/>
    <m/>
    <m/>
    <m/>
    <m/>
    <n v="3244447"/>
    <m/>
    <m/>
    <m/>
    <m/>
  </r>
  <r>
    <x v="17"/>
    <s v="토"/>
    <s v="페이스북"/>
    <x v="0"/>
    <m/>
    <m/>
    <m/>
    <m/>
    <m/>
    <n v="800693"/>
    <m/>
    <m/>
    <m/>
    <m/>
  </r>
  <r>
    <x v="17"/>
    <s v="토"/>
    <s v="네이버 검색"/>
    <x v="0"/>
    <m/>
    <m/>
    <m/>
    <m/>
    <m/>
    <n v="3849.9999999999995"/>
    <m/>
    <m/>
    <m/>
    <m/>
  </r>
  <r>
    <x v="17"/>
    <s v="토"/>
    <s v="네이버 GFA"/>
    <x v="0"/>
    <m/>
    <m/>
    <m/>
    <m/>
    <m/>
    <n v="0"/>
    <m/>
    <m/>
    <m/>
    <m/>
  </r>
  <r>
    <x v="17"/>
    <s v="토"/>
    <s v="유튜브"/>
    <x v="0"/>
    <m/>
    <m/>
    <m/>
    <m/>
    <m/>
    <n v="114461"/>
    <m/>
    <m/>
    <m/>
    <m/>
  </r>
  <r>
    <x v="18"/>
    <s v="일"/>
    <s v="페이스북"/>
    <x v="0"/>
    <m/>
    <m/>
    <m/>
    <m/>
    <m/>
    <n v="921553"/>
    <m/>
    <m/>
    <m/>
    <m/>
  </r>
  <r>
    <x v="18"/>
    <s v="일"/>
    <s v="네이버 검색"/>
    <x v="0"/>
    <m/>
    <m/>
    <m/>
    <m/>
    <m/>
    <n v="3429.9999999999995"/>
    <m/>
    <m/>
    <m/>
    <m/>
  </r>
  <r>
    <x v="18"/>
    <s v="일"/>
    <s v="네이버 GFA"/>
    <x v="0"/>
    <m/>
    <m/>
    <m/>
    <m/>
    <m/>
    <n v="0"/>
    <m/>
    <m/>
    <m/>
    <m/>
  </r>
  <r>
    <x v="18"/>
    <s v="일"/>
    <s v="유튜브"/>
    <x v="0"/>
    <m/>
    <m/>
    <m/>
    <m/>
    <m/>
    <n v="0"/>
    <m/>
    <m/>
    <m/>
    <m/>
  </r>
  <r>
    <x v="19"/>
    <s v="월"/>
    <s v="페이스북"/>
    <x v="0"/>
    <m/>
    <m/>
    <m/>
    <m/>
    <m/>
    <n v="514666"/>
    <m/>
    <m/>
    <m/>
    <m/>
  </r>
  <r>
    <x v="19"/>
    <s v="월"/>
    <s v="네이버 검색"/>
    <x v="0"/>
    <m/>
    <m/>
    <m/>
    <m/>
    <m/>
    <n v="9590"/>
    <m/>
    <m/>
    <m/>
    <m/>
  </r>
  <r>
    <x v="19"/>
    <s v="월"/>
    <s v="네이버 GFA"/>
    <x v="0"/>
    <m/>
    <m/>
    <m/>
    <m/>
    <m/>
    <n v="0"/>
    <m/>
    <m/>
    <m/>
    <m/>
  </r>
  <r>
    <x v="19"/>
    <s v="월"/>
    <s v="유튜브"/>
    <x v="0"/>
    <m/>
    <m/>
    <m/>
    <m/>
    <m/>
    <n v="2021237"/>
    <m/>
    <m/>
    <m/>
    <m/>
  </r>
  <r>
    <x v="20"/>
    <s v="화"/>
    <s v="페이스북"/>
    <x v="0"/>
    <m/>
    <m/>
    <m/>
    <m/>
    <m/>
    <n v="502101"/>
    <m/>
    <m/>
    <m/>
    <m/>
  </r>
  <r>
    <x v="20"/>
    <s v="화"/>
    <s v="네이버 검색"/>
    <x v="0"/>
    <m/>
    <m/>
    <m/>
    <m/>
    <m/>
    <n v="10010"/>
    <m/>
    <m/>
    <m/>
    <m/>
  </r>
  <r>
    <x v="20"/>
    <s v="화"/>
    <s v="네이버 GFA"/>
    <x v="0"/>
    <m/>
    <m/>
    <m/>
    <m/>
    <m/>
    <n v="0"/>
    <m/>
    <m/>
    <m/>
    <m/>
  </r>
  <r>
    <x v="20"/>
    <s v="화"/>
    <s v="유튜브"/>
    <x v="0"/>
    <m/>
    <m/>
    <m/>
    <m/>
    <m/>
    <n v="2024932"/>
    <m/>
    <m/>
    <m/>
    <m/>
  </r>
  <r>
    <x v="21"/>
    <s v="수"/>
    <s v="페이스북"/>
    <x v="0"/>
    <m/>
    <m/>
    <m/>
    <m/>
    <m/>
    <n v="497567"/>
    <m/>
    <m/>
    <m/>
    <m/>
  </r>
  <r>
    <x v="21"/>
    <s v="수"/>
    <s v="네이버 검색"/>
    <x v="0"/>
    <m/>
    <m/>
    <m/>
    <m/>
    <m/>
    <n v="9520"/>
    <m/>
    <m/>
    <m/>
    <m/>
  </r>
  <r>
    <x v="21"/>
    <s v="수"/>
    <s v="네이버 GFA"/>
    <x v="0"/>
    <m/>
    <m/>
    <m/>
    <m/>
    <m/>
    <n v="0"/>
    <m/>
    <m/>
    <m/>
    <m/>
  </r>
  <r>
    <x v="21"/>
    <s v="수"/>
    <s v="유튜브"/>
    <x v="0"/>
    <m/>
    <m/>
    <m/>
    <m/>
    <m/>
    <n v="2062343"/>
    <m/>
    <m/>
    <m/>
    <m/>
  </r>
  <r>
    <x v="22"/>
    <s v="목"/>
    <s v="페이스북"/>
    <x v="0"/>
    <m/>
    <m/>
    <m/>
    <m/>
    <m/>
    <n v="467488"/>
    <m/>
    <m/>
    <m/>
    <m/>
  </r>
  <r>
    <x v="22"/>
    <s v="목"/>
    <s v="네이버 검색"/>
    <x v="0"/>
    <m/>
    <m/>
    <m/>
    <m/>
    <m/>
    <n v="10990"/>
    <m/>
    <m/>
    <m/>
    <m/>
  </r>
  <r>
    <x v="22"/>
    <s v="목"/>
    <s v="네이버 GFA"/>
    <x v="0"/>
    <m/>
    <m/>
    <m/>
    <m/>
    <m/>
    <n v="0"/>
    <m/>
    <m/>
    <m/>
    <m/>
  </r>
  <r>
    <x v="22"/>
    <s v="목"/>
    <s v="유튜브"/>
    <x v="0"/>
    <m/>
    <m/>
    <m/>
    <m/>
    <m/>
    <n v="2041421"/>
    <m/>
    <m/>
    <m/>
    <m/>
  </r>
  <r>
    <x v="23"/>
    <s v="금"/>
    <s v="페이스북"/>
    <x v="0"/>
    <m/>
    <m/>
    <m/>
    <m/>
    <m/>
    <n v="472659"/>
    <m/>
    <m/>
    <m/>
    <m/>
  </r>
  <r>
    <x v="23"/>
    <s v="금"/>
    <s v="네이버 검색"/>
    <x v="0"/>
    <m/>
    <m/>
    <m/>
    <m/>
    <m/>
    <n v="24109.999999999996"/>
    <m/>
    <m/>
    <m/>
    <m/>
  </r>
  <r>
    <x v="23"/>
    <s v="금"/>
    <s v="네이버 GFA"/>
    <x v="0"/>
    <m/>
    <m/>
    <m/>
    <m/>
    <m/>
    <n v="0"/>
    <m/>
    <m/>
    <m/>
    <m/>
  </r>
  <r>
    <x v="23"/>
    <s v="금"/>
    <s v="유튜브"/>
    <x v="0"/>
    <m/>
    <m/>
    <m/>
    <m/>
    <m/>
    <n v="2006058"/>
    <m/>
    <m/>
    <m/>
    <m/>
  </r>
  <r>
    <x v="24"/>
    <s v="토"/>
    <s v="페이스북"/>
    <x v="0"/>
    <m/>
    <m/>
    <m/>
    <m/>
    <m/>
    <n v="513353"/>
    <m/>
    <m/>
    <m/>
    <m/>
  </r>
  <r>
    <x v="24"/>
    <s v="토"/>
    <s v="네이버 검색"/>
    <x v="0"/>
    <m/>
    <m/>
    <m/>
    <m/>
    <m/>
    <n v="30799.999999999996"/>
    <m/>
    <m/>
    <m/>
    <m/>
  </r>
  <r>
    <x v="24"/>
    <s v="토"/>
    <s v="네이버 GFA"/>
    <x v="0"/>
    <m/>
    <m/>
    <m/>
    <m/>
    <m/>
    <n v="0"/>
    <m/>
    <m/>
    <m/>
    <m/>
  </r>
  <r>
    <x v="24"/>
    <s v="토"/>
    <s v="유튜브"/>
    <x v="0"/>
    <m/>
    <m/>
    <m/>
    <m/>
    <m/>
    <n v="2007111"/>
    <m/>
    <m/>
    <m/>
    <m/>
  </r>
  <r>
    <x v="25"/>
    <s v="일"/>
    <s v="페이스북"/>
    <x v="0"/>
    <m/>
    <m/>
    <m/>
    <m/>
    <m/>
    <n v="483137"/>
    <m/>
    <m/>
    <m/>
    <m/>
  </r>
  <r>
    <x v="25"/>
    <s v="일"/>
    <s v="네이버 검색"/>
    <x v="0"/>
    <m/>
    <m/>
    <m/>
    <m/>
    <m/>
    <n v="39170"/>
    <m/>
    <m/>
    <m/>
    <m/>
  </r>
  <r>
    <x v="25"/>
    <s v="일"/>
    <s v="네이버 GFA"/>
    <x v="0"/>
    <m/>
    <m/>
    <m/>
    <m/>
    <m/>
    <n v="0"/>
    <m/>
    <m/>
    <m/>
    <m/>
  </r>
  <r>
    <x v="25"/>
    <s v="일"/>
    <s v="유튜브"/>
    <x v="0"/>
    <m/>
    <m/>
    <m/>
    <m/>
    <m/>
    <n v="2013438"/>
    <m/>
    <m/>
    <m/>
    <m/>
  </r>
  <r>
    <x v="26"/>
    <s v="월"/>
    <s v="페이스북"/>
    <x v="0"/>
    <m/>
    <m/>
    <m/>
    <m/>
    <m/>
    <n v="413785"/>
    <m/>
    <m/>
    <m/>
    <m/>
  </r>
  <r>
    <x v="26"/>
    <s v="월"/>
    <s v="네이버 검색"/>
    <x v="0"/>
    <m/>
    <m/>
    <m/>
    <m/>
    <m/>
    <n v="29999.999999999996"/>
    <m/>
    <m/>
    <m/>
    <m/>
  </r>
  <r>
    <x v="26"/>
    <s v="월"/>
    <s v="네이버 GFA"/>
    <x v="0"/>
    <m/>
    <m/>
    <m/>
    <m/>
    <m/>
    <n v="0"/>
    <m/>
    <m/>
    <m/>
    <m/>
  </r>
  <r>
    <x v="26"/>
    <s v="월"/>
    <s v="유튜브"/>
    <x v="0"/>
    <m/>
    <m/>
    <m/>
    <m/>
    <m/>
    <n v="2082144"/>
    <m/>
    <m/>
    <m/>
    <m/>
  </r>
  <r>
    <x v="27"/>
    <s v="화"/>
    <s v="페이스북"/>
    <x v="0"/>
    <m/>
    <m/>
    <m/>
    <m/>
    <m/>
    <n v="399532"/>
    <m/>
    <m/>
    <m/>
    <m/>
  </r>
  <r>
    <x v="27"/>
    <s v="화"/>
    <s v="네이버 검색"/>
    <x v="0"/>
    <m/>
    <m/>
    <m/>
    <m/>
    <m/>
    <n v="54259.999999999993"/>
    <m/>
    <m/>
    <m/>
    <m/>
  </r>
  <r>
    <x v="27"/>
    <s v="화"/>
    <s v="네이버 GFA"/>
    <x v="0"/>
    <m/>
    <m/>
    <m/>
    <m/>
    <m/>
    <n v="0"/>
    <m/>
    <m/>
    <m/>
    <m/>
  </r>
  <r>
    <x v="27"/>
    <s v="화"/>
    <s v="유튜브"/>
    <x v="0"/>
    <m/>
    <m/>
    <m/>
    <m/>
    <m/>
    <n v="2040635"/>
    <m/>
    <m/>
    <m/>
    <m/>
  </r>
  <r>
    <x v="27"/>
    <s v="화"/>
    <s v="구글 검색"/>
    <x v="0"/>
    <m/>
    <m/>
    <m/>
    <m/>
    <m/>
    <n v="31188"/>
    <m/>
    <m/>
    <m/>
    <m/>
  </r>
  <r>
    <x v="27"/>
    <s v="화"/>
    <s v="카카오 플친"/>
    <x v="0"/>
    <m/>
    <m/>
    <m/>
    <m/>
    <m/>
    <n v="65279.999999999993"/>
    <m/>
    <m/>
    <m/>
    <m/>
  </r>
  <r>
    <x v="28"/>
    <s v="수"/>
    <s v="페이스북"/>
    <x v="0"/>
    <m/>
    <m/>
    <m/>
    <m/>
    <m/>
    <n v="421014"/>
    <m/>
    <m/>
    <m/>
    <m/>
  </r>
  <r>
    <x v="28"/>
    <s v="수"/>
    <s v="네이버 검색"/>
    <x v="0"/>
    <m/>
    <m/>
    <m/>
    <m/>
    <m/>
    <n v="95889.999999999985"/>
    <m/>
    <m/>
    <m/>
    <m/>
  </r>
  <r>
    <x v="28"/>
    <s v="수"/>
    <s v="네이버 GFA"/>
    <x v="0"/>
    <m/>
    <m/>
    <m/>
    <m/>
    <m/>
    <n v="0"/>
    <m/>
    <m/>
    <m/>
    <m/>
  </r>
  <r>
    <x v="28"/>
    <s v="수"/>
    <s v="유튜브"/>
    <x v="0"/>
    <m/>
    <m/>
    <m/>
    <m/>
    <m/>
    <n v="2042870"/>
    <m/>
    <m/>
    <m/>
    <m/>
  </r>
  <r>
    <x v="28"/>
    <s v="수"/>
    <s v="구글 검색"/>
    <x v="0"/>
    <m/>
    <m/>
    <m/>
    <m/>
    <m/>
    <n v="31242"/>
    <m/>
    <m/>
    <m/>
    <m/>
  </r>
  <r>
    <x v="28"/>
    <s v="수"/>
    <s v="카카오 플친"/>
    <x v="0"/>
    <m/>
    <m/>
    <m/>
    <m/>
    <m/>
    <n v="1935.4545454545453"/>
    <m/>
    <m/>
    <m/>
    <m/>
  </r>
  <r>
    <x v="29"/>
    <s v="목"/>
    <s v="페이스북"/>
    <x v="0"/>
    <m/>
    <m/>
    <m/>
    <m/>
    <m/>
    <n v="440888"/>
    <m/>
    <m/>
    <m/>
    <m/>
  </r>
  <r>
    <x v="29"/>
    <s v="목"/>
    <s v="네이버 검색"/>
    <x v="0"/>
    <m/>
    <m/>
    <m/>
    <m/>
    <m/>
    <n v="110810"/>
    <m/>
    <m/>
    <m/>
    <m/>
  </r>
  <r>
    <x v="29"/>
    <s v="목"/>
    <s v="네이버 GFA"/>
    <x v="0"/>
    <m/>
    <m/>
    <m/>
    <m/>
    <m/>
    <n v="0"/>
    <m/>
    <m/>
    <m/>
    <m/>
  </r>
  <r>
    <x v="29"/>
    <s v="목"/>
    <s v="유튜브"/>
    <x v="0"/>
    <m/>
    <m/>
    <m/>
    <m/>
    <m/>
    <n v="2561925"/>
    <m/>
    <m/>
    <m/>
    <m/>
  </r>
  <r>
    <x v="29"/>
    <s v="목"/>
    <s v="구글 검색"/>
    <x v="0"/>
    <m/>
    <m/>
    <m/>
    <m/>
    <m/>
    <n v="30672"/>
    <m/>
    <m/>
    <m/>
    <m/>
  </r>
  <r>
    <x v="29"/>
    <s v="목"/>
    <s v="카카오 플친"/>
    <x v="0"/>
    <m/>
    <m/>
    <m/>
    <m/>
    <m/>
    <n v="1665.4545454545453"/>
    <m/>
    <m/>
    <m/>
    <m/>
  </r>
  <r>
    <x v="29"/>
    <s v="목"/>
    <s v="GDN"/>
    <x v="0"/>
    <m/>
    <m/>
    <m/>
    <m/>
    <m/>
    <n v="65580"/>
    <m/>
    <m/>
    <m/>
    <m/>
  </r>
  <r>
    <x v="30"/>
    <s v="금"/>
    <s v="페이스북"/>
    <x v="0"/>
    <m/>
    <m/>
    <m/>
    <m/>
    <m/>
    <n v="436444"/>
    <m/>
    <m/>
    <m/>
    <m/>
  </r>
  <r>
    <x v="30"/>
    <s v="금"/>
    <s v="네이버 검색"/>
    <x v="0"/>
    <m/>
    <m/>
    <m/>
    <m/>
    <m/>
    <n v="67610"/>
    <m/>
    <m/>
    <m/>
    <m/>
  </r>
  <r>
    <x v="30"/>
    <s v="금"/>
    <s v="네이버 GFA"/>
    <x v="0"/>
    <m/>
    <m/>
    <m/>
    <m/>
    <m/>
    <n v="0"/>
    <m/>
    <m/>
    <m/>
    <m/>
  </r>
  <r>
    <x v="30"/>
    <s v="금"/>
    <s v="유튜브"/>
    <x v="0"/>
    <m/>
    <m/>
    <m/>
    <m/>
    <m/>
    <n v="2472851"/>
    <m/>
    <m/>
    <m/>
    <m/>
  </r>
  <r>
    <x v="30"/>
    <s v="금"/>
    <s v="구글 검색"/>
    <x v="0"/>
    <m/>
    <m/>
    <m/>
    <m/>
    <m/>
    <n v="13563"/>
    <m/>
    <m/>
    <m/>
    <m/>
  </r>
  <r>
    <x v="30"/>
    <s v="금"/>
    <s v="카카오 플친"/>
    <x v="0"/>
    <m/>
    <m/>
    <m/>
    <m/>
    <m/>
    <n v="72764.545454545456"/>
    <m/>
    <m/>
    <m/>
    <m/>
  </r>
  <r>
    <x v="30"/>
    <s v="금"/>
    <s v="GDN"/>
    <x v="0"/>
    <m/>
    <m/>
    <m/>
    <m/>
    <m/>
    <n v="344068"/>
    <m/>
    <m/>
    <m/>
    <m/>
  </r>
  <r>
    <x v="31"/>
    <s v="토"/>
    <s v="페이스북"/>
    <x v="0"/>
    <m/>
    <m/>
    <m/>
    <m/>
    <m/>
    <n v="416119"/>
    <m/>
    <m/>
    <m/>
    <m/>
  </r>
  <r>
    <x v="31"/>
    <s v="토"/>
    <s v="네이버 검색"/>
    <x v="0"/>
    <m/>
    <m/>
    <m/>
    <m/>
    <m/>
    <n v="30959.999999999996"/>
    <m/>
    <m/>
    <m/>
    <m/>
  </r>
  <r>
    <x v="31"/>
    <s v="토"/>
    <s v="네이버 GFA"/>
    <x v="0"/>
    <m/>
    <m/>
    <m/>
    <m/>
    <m/>
    <n v="0"/>
    <m/>
    <m/>
    <m/>
    <m/>
  </r>
  <r>
    <x v="31"/>
    <s v="토"/>
    <s v="유튜브"/>
    <x v="0"/>
    <m/>
    <m/>
    <m/>
    <m/>
    <m/>
    <n v="2367565"/>
    <m/>
    <m/>
    <m/>
    <m/>
  </r>
  <r>
    <x v="31"/>
    <s v="토"/>
    <s v="구글 검색"/>
    <x v="0"/>
    <m/>
    <m/>
    <m/>
    <m/>
    <m/>
    <n v="1647"/>
    <m/>
    <m/>
    <m/>
    <m/>
  </r>
  <r>
    <x v="31"/>
    <s v="토"/>
    <s v="카카오 플친"/>
    <x v="0"/>
    <m/>
    <m/>
    <m/>
    <m/>
    <m/>
    <n v="0"/>
    <m/>
    <m/>
    <m/>
    <m/>
  </r>
  <r>
    <x v="31"/>
    <s v="토"/>
    <s v="GDN"/>
    <x v="0"/>
    <m/>
    <m/>
    <m/>
    <m/>
    <m/>
    <n v="576895"/>
    <m/>
    <m/>
    <m/>
    <m/>
  </r>
  <r>
    <x v="32"/>
    <s v="일"/>
    <s v="페이스북"/>
    <x v="0"/>
    <m/>
    <m/>
    <m/>
    <m/>
    <m/>
    <n v="251292"/>
    <m/>
    <m/>
    <m/>
    <m/>
  </r>
  <r>
    <x v="32"/>
    <s v="일"/>
    <s v="네이버 검색"/>
    <x v="0"/>
    <m/>
    <m/>
    <m/>
    <m/>
    <m/>
    <n v="28879.999999999996"/>
    <m/>
    <m/>
    <m/>
    <m/>
  </r>
  <r>
    <x v="32"/>
    <s v="일"/>
    <s v="네이버 GFA"/>
    <x v="0"/>
    <m/>
    <m/>
    <m/>
    <m/>
    <m/>
    <n v="0"/>
    <m/>
    <m/>
    <m/>
    <m/>
  </r>
  <r>
    <x v="32"/>
    <s v="일"/>
    <s v="유튜브"/>
    <x v="0"/>
    <m/>
    <m/>
    <m/>
    <m/>
    <m/>
    <n v="2366105"/>
    <m/>
    <m/>
    <m/>
    <m/>
  </r>
  <r>
    <x v="32"/>
    <s v="일"/>
    <s v="구글 검색"/>
    <x v="0"/>
    <m/>
    <m/>
    <m/>
    <m/>
    <m/>
    <n v="842"/>
    <m/>
    <m/>
    <m/>
    <m/>
  </r>
  <r>
    <x v="32"/>
    <s v="일"/>
    <s v="카카오 플친"/>
    <x v="0"/>
    <m/>
    <m/>
    <m/>
    <m/>
    <m/>
    <n v="0"/>
    <m/>
    <m/>
    <m/>
    <m/>
  </r>
  <r>
    <x v="32"/>
    <s v="일"/>
    <s v="GDN"/>
    <x v="0"/>
    <m/>
    <m/>
    <m/>
    <m/>
    <m/>
    <n v="329251"/>
    <m/>
    <m/>
    <m/>
    <m/>
  </r>
  <r>
    <x v="33"/>
    <s v="월"/>
    <s v="페이스북"/>
    <x v="0"/>
    <m/>
    <m/>
    <m/>
    <m/>
    <m/>
    <n v="248561"/>
    <m/>
    <m/>
    <m/>
    <m/>
  </r>
  <r>
    <x v="33"/>
    <s v="월"/>
    <s v="네이버 검색"/>
    <x v="0"/>
    <m/>
    <m/>
    <m/>
    <m/>
    <m/>
    <n v="35380"/>
    <m/>
    <m/>
    <m/>
    <m/>
  </r>
  <r>
    <x v="33"/>
    <s v="월"/>
    <s v="유튜브"/>
    <x v="0"/>
    <m/>
    <m/>
    <m/>
    <m/>
    <m/>
    <n v="3379340"/>
    <m/>
    <m/>
    <m/>
    <m/>
  </r>
  <r>
    <x v="33"/>
    <s v="월"/>
    <s v="구글 검색"/>
    <x v="0"/>
    <m/>
    <m/>
    <m/>
    <m/>
    <m/>
    <n v="3952"/>
    <m/>
    <m/>
    <m/>
    <m/>
  </r>
  <r>
    <x v="33"/>
    <s v="월"/>
    <s v="GDN"/>
    <x v="0"/>
    <m/>
    <m/>
    <m/>
    <m/>
    <m/>
    <n v="509390"/>
    <m/>
    <m/>
    <m/>
    <m/>
  </r>
  <r>
    <x v="34"/>
    <s v="화"/>
    <s v="페이스북"/>
    <x v="0"/>
    <m/>
    <m/>
    <m/>
    <m/>
    <m/>
    <n v="240415"/>
    <m/>
    <m/>
    <m/>
    <m/>
  </r>
  <r>
    <x v="34"/>
    <s v="화"/>
    <s v="네이버 검색"/>
    <x v="0"/>
    <m/>
    <m/>
    <m/>
    <m/>
    <m/>
    <n v="37990"/>
    <m/>
    <m/>
    <m/>
    <m/>
  </r>
  <r>
    <x v="34"/>
    <s v="화"/>
    <s v="유튜브"/>
    <x v="0"/>
    <m/>
    <m/>
    <m/>
    <m/>
    <m/>
    <n v="3012864"/>
    <m/>
    <m/>
    <m/>
    <m/>
  </r>
  <r>
    <x v="34"/>
    <s v="화"/>
    <s v="구글 검색"/>
    <x v="0"/>
    <m/>
    <m/>
    <m/>
    <m/>
    <m/>
    <n v="11354"/>
    <m/>
    <m/>
    <m/>
    <m/>
  </r>
  <r>
    <x v="34"/>
    <s v="화"/>
    <s v="GDN"/>
    <x v="0"/>
    <m/>
    <m/>
    <m/>
    <m/>
    <m/>
    <n v="652639"/>
    <m/>
    <m/>
    <m/>
    <m/>
  </r>
  <r>
    <x v="35"/>
    <s v="수"/>
    <s v="페이스북"/>
    <x v="0"/>
    <m/>
    <m/>
    <m/>
    <m/>
    <m/>
    <n v="248918"/>
    <m/>
    <m/>
    <m/>
    <m/>
  </r>
  <r>
    <x v="35"/>
    <s v="수"/>
    <s v="네이버 검색"/>
    <x v="0"/>
    <m/>
    <m/>
    <m/>
    <m/>
    <m/>
    <n v="98829.999999999985"/>
    <m/>
    <m/>
    <m/>
    <m/>
  </r>
  <r>
    <x v="35"/>
    <s v="수"/>
    <s v="유튜브"/>
    <x v="0"/>
    <m/>
    <m/>
    <m/>
    <m/>
    <m/>
    <n v="2797171"/>
    <m/>
    <m/>
    <m/>
    <m/>
  </r>
  <r>
    <x v="35"/>
    <s v="수"/>
    <s v="구글 검색"/>
    <x v="0"/>
    <m/>
    <m/>
    <m/>
    <m/>
    <m/>
    <n v="1726"/>
    <m/>
    <m/>
    <m/>
    <m/>
  </r>
  <r>
    <x v="35"/>
    <s v="수"/>
    <s v="GDN"/>
    <x v="0"/>
    <m/>
    <m/>
    <m/>
    <m/>
    <m/>
    <n v="483827"/>
    <m/>
    <m/>
    <m/>
    <m/>
  </r>
  <r>
    <x v="36"/>
    <s v="목"/>
    <s v="페이스북"/>
    <x v="0"/>
    <m/>
    <m/>
    <m/>
    <m/>
    <m/>
    <n v="257393"/>
    <m/>
    <m/>
    <m/>
    <m/>
  </r>
  <r>
    <x v="36"/>
    <s v="목"/>
    <s v="네이버 검색"/>
    <x v="0"/>
    <m/>
    <m/>
    <m/>
    <m/>
    <m/>
    <n v="68730"/>
    <m/>
    <m/>
    <m/>
    <m/>
  </r>
  <r>
    <x v="36"/>
    <s v="목"/>
    <s v="네이버 GFA"/>
    <x v="0"/>
    <m/>
    <m/>
    <m/>
    <m/>
    <m/>
    <n v="57249.999999999993"/>
    <m/>
    <m/>
    <m/>
    <m/>
  </r>
  <r>
    <x v="36"/>
    <s v="목"/>
    <s v="유튜브"/>
    <x v="0"/>
    <m/>
    <m/>
    <m/>
    <m/>
    <m/>
    <n v="2737636"/>
    <m/>
    <m/>
    <m/>
    <m/>
  </r>
  <r>
    <x v="36"/>
    <s v="목"/>
    <s v="GDN"/>
    <x v="0"/>
    <m/>
    <m/>
    <m/>
    <m/>
    <m/>
    <n v="500262"/>
    <m/>
    <m/>
    <m/>
    <m/>
  </r>
  <r>
    <x v="37"/>
    <s v="금"/>
    <s v="페이스북"/>
    <x v="0"/>
    <m/>
    <m/>
    <m/>
    <m/>
    <m/>
    <n v="290408"/>
    <m/>
    <m/>
    <m/>
    <m/>
  </r>
  <r>
    <x v="37"/>
    <s v="금"/>
    <s v="네이버 검색"/>
    <x v="0"/>
    <m/>
    <m/>
    <m/>
    <m/>
    <m/>
    <n v="56689.999999999993"/>
    <m/>
    <m/>
    <m/>
    <m/>
  </r>
  <r>
    <x v="37"/>
    <s v="금"/>
    <s v="네이버 GFA"/>
    <x v="0"/>
    <m/>
    <m/>
    <m/>
    <m/>
    <m/>
    <n v="18706.363636363636"/>
    <m/>
    <m/>
    <m/>
    <m/>
  </r>
  <r>
    <x v="37"/>
    <s v="금"/>
    <s v="유튜브"/>
    <x v="0"/>
    <m/>
    <m/>
    <m/>
    <m/>
    <m/>
    <n v="2747045"/>
    <m/>
    <m/>
    <m/>
    <m/>
  </r>
  <r>
    <x v="37"/>
    <s v="금"/>
    <s v="GDN"/>
    <x v="0"/>
    <m/>
    <m/>
    <m/>
    <m/>
    <m/>
    <n v="444466"/>
    <m/>
    <m/>
    <m/>
    <m/>
  </r>
  <r>
    <x v="38"/>
    <s v="토"/>
    <s v="페이스북"/>
    <x v="0"/>
    <m/>
    <m/>
    <m/>
    <m/>
    <m/>
    <n v="491238"/>
    <m/>
    <m/>
    <m/>
    <m/>
  </r>
  <r>
    <x v="38"/>
    <s v="토"/>
    <s v="네이버 검색"/>
    <x v="0"/>
    <m/>
    <m/>
    <m/>
    <m/>
    <m/>
    <n v="60809.999999999993"/>
    <m/>
    <m/>
    <m/>
    <m/>
  </r>
  <r>
    <x v="38"/>
    <s v="토"/>
    <s v="유튜브"/>
    <x v="0"/>
    <m/>
    <m/>
    <m/>
    <m/>
    <m/>
    <n v="3149357"/>
    <m/>
    <m/>
    <m/>
    <m/>
  </r>
  <r>
    <x v="38"/>
    <s v="토"/>
    <s v="GDN"/>
    <x v="0"/>
    <m/>
    <m/>
    <m/>
    <m/>
    <m/>
    <n v="1252202"/>
    <m/>
    <m/>
    <m/>
    <m/>
  </r>
  <r>
    <x v="39"/>
    <s v="일"/>
    <s v="페이스북"/>
    <x v="0"/>
    <m/>
    <m/>
    <m/>
    <m/>
    <m/>
    <n v="526175"/>
    <m/>
    <m/>
    <m/>
    <m/>
  </r>
  <r>
    <x v="39"/>
    <s v="일"/>
    <s v="네이버 검색"/>
    <x v="0"/>
    <m/>
    <m/>
    <m/>
    <m/>
    <m/>
    <n v="76130"/>
    <m/>
    <m/>
    <m/>
    <m/>
  </r>
  <r>
    <x v="39"/>
    <s v="일"/>
    <s v="유튜브"/>
    <x v="0"/>
    <m/>
    <m/>
    <m/>
    <m/>
    <m/>
    <n v="2877478"/>
    <m/>
    <m/>
    <m/>
    <m/>
  </r>
  <r>
    <x v="39"/>
    <s v="일"/>
    <s v="GDN"/>
    <x v="0"/>
    <m/>
    <m/>
    <m/>
    <m/>
    <m/>
    <n v="296771"/>
    <m/>
    <m/>
    <m/>
    <m/>
  </r>
  <r>
    <x v="40"/>
    <s v="월"/>
    <s v="페이스북"/>
    <x v="0"/>
    <m/>
    <m/>
    <m/>
    <m/>
    <m/>
    <n v="390803"/>
    <m/>
    <m/>
    <m/>
    <m/>
  </r>
  <r>
    <x v="40"/>
    <s v="월"/>
    <s v="네이버 검색"/>
    <x v="0"/>
    <m/>
    <m/>
    <m/>
    <m/>
    <m/>
    <n v="68660"/>
    <m/>
    <m/>
    <m/>
    <m/>
  </r>
  <r>
    <x v="40"/>
    <s v="월"/>
    <s v="유튜브"/>
    <x v="0"/>
    <m/>
    <m/>
    <m/>
    <m/>
    <m/>
    <n v="2763168"/>
    <m/>
    <m/>
    <m/>
    <m/>
  </r>
  <r>
    <x v="40"/>
    <s v="월"/>
    <s v="GDN"/>
    <x v="0"/>
    <m/>
    <m/>
    <m/>
    <m/>
    <m/>
    <n v="254459"/>
    <m/>
    <m/>
    <m/>
    <m/>
  </r>
  <r>
    <x v="41"/>
    <m/>
    <m/>
    <x v="0"/>
    <m/>
    <m/>
    <m/>
    <m/>
    <m/>
    <m/>
    <m/>
    <m/>
    <m/>
    <m/>
  </r>
  <r>
    <x v="41"/>
    <m/>
    <m/>
    <x v="0"/>
    <m/>
    <m/>
    <m/>
    <m/>
    <m/>
    <m/>
    <m/>
    <m/>
    <m/>
    <m/>
  </r>
  <r>
    <x v="41"/>
    <m/>
    <m/>
    <x v="0"/>
    <m/>
    <m/>
    <m/>
    <m/>
    <m/>
    <m/>
    <m/>
    <m/>
    <m/>
    <m/>
  </r>
  <r>
    <x v="41"/>
    <m/>
    <m/>
    <x v="0"/>
    <m/>
    <m/>
    <m/>
    <m/>
    <m/>
    <m/>
    <m/>
    <m/>
    <m/>
    <m/>
  </r>
  <r>
    <x v="41"/>
    <m/>
    <m/>
    <x v="0"/>
    <m/>
    <m/>
    <m/>
    <m/>
    <m/>
    <m/>
    <m/>
    <m/>
    <m/>
    <m/>
  </r>
  <r>
    <x v="42"/>
    <s v="월"/>
    <m/>
    <x v="1"/>
    <s v="라베나 CS"/>
    <m/>
    <n v="53"/>
    <s v="리바이탈 샴푸"/>
    <n v="201109"/>
    <m/>
    <n v="0"/>
    <n v="0"/>
    <n v="160060"/>
    <n v="0"/>
  </r>
  <r>
    <x v="42"/>
    <s v="월"/>
    <m/>
    <x v="1"/>
    <s v="카페24"/>
    <m/>
    <n v="2"/>
    <s v="리바이탈 샴푸"/>
    <n v="201109"/>
    <m/>
    <n v="53800"/>
    <n v="50652.7"/>
    <n v="6040"/>
    <n v="48909.090909090904"/>
  </r>
  <r>
    <x v="43"/>
    <s v="금"/>
    <m/>
    <x v="1"/>
    <s v="카페24"/>
    <m/>
    <n v="1"/>
    <s v="리바이탈 샴푸"/>
    <n v="201109"/>
    <m/>
    <n v="26900"/>
    <n v="25326.35"/>
    <n v="3020"/>
    <n v="24454.545454545452"/>
  </r>
  <r>
    <x v="44"/>
    <s v="토"/>
    <m/>
    <x v="1"/>
    <s v="카페24"/>
    <m/>
    <n v="1"/>
    <s v="리바이탈 샴푸"/>
    <n v="201109"/>
    <m/>
    <n v="26900"/>
    <n v="25326.35"/>
    <n v="3020"/>
    <n v="24454.545454545452"/>
  </r>
  <r>
    <x v="44"/>
    <s v="토"/>
    <m/>
    <x v="1"/>
    <s v="카페24"/>
    <m/>
    <n v="2"/>
    <s v="리바이탈 샴푸 2set"/>
    <n v="201109"/>
    <m/>
    <n v="102220"/>
    <n v="96240.13"/>
    <n v="12080"/>
    <n v="92927.272727272721"/>
  </r>
  <r>
    <x v="44"/>
    <s v="토"/>
    <m/>
    <x v="1"/>
    <s v="카페24"/>
    <m/>
    <n v="1"/>
    <s v="리바이탈 샴푸 3set"/>
    <n v="201109"/>
    <m/>
    <n v="72630"/>
    <n v="68381.145000000004"/>
    <n v="9060"/>
    <n v="66027.272727272721"/>
  </r>
  <r>
    <x v="45"/>
    <s v="일"/>
    <m/>
    <x v="1"/>
    <s v="카페24"/>
    <m/>
    <n v="3"/>
    <s v="리바이탈 샴푸"/>
    <n v="201109"/>
    <m/>
    <n v="80700"/>
    <n v="75979.05"/>
    <n v="9060"/>
    <n v="73363.636363636353"/>
  </r>
  <r>
    <x v="45"/>
    <s v="일"/>
    <m/>
    <x v="1"/>
    <s v="카페24"/>
    <m/>
    <n v="2"/>
    <s v="리바이탈 샴푸 3set"/>
    <n v="201109"/>
    <m/>
    <n v="145260"/>
    <n v="136762.29"/>
    <n v="18120"/>
    <n v="132054.54545454544"/>
  </r>
  <r>
    <x v="46"/>
    <s v="월"/>
    <m/>
    <x v="1"/>
    <s v="카페24"/>
    <m/>
    <n v="2"/>
    <s v="리바이탈 샴푸"/>
    <n v="201109"/>
    <m/>
    <n v="53800"/>
    <n v="50652.7"/>
    <n v="6040"/>
    <n v="48909.090909090904"/>
  </r>
  <r>
    <x v="46"/>
    <s v="월"/>
    <m/>
    <x v="1"/>
    <s v="카페24"/>
    <m/>
    <n v="1"/>
    <s v="리바이탈 샴푸 3set"/>
    <n v="201109"/>
    <m/>
    <n v="72630"/>
    <n v="68381.145000000004"/>
    <n v="9060"/>
    <n v="66027.272727272721"/>
  </r>
  <r>
    <x v="47"/>
    <s v="화"/>
    <m/>
    <x v="1"/>
    <s v="카페24"/>
    <m/>
    <n v="3"/>
    <s v="리바이탈 샴푸"/>
    <n v="201109"/>
    <m/>
    <n v="80700"/>
    <n v="75979.05"/>
    <n v="9060"/>
    <n v="73363.636363636353"/>
  </r>
  <r>
    <x v="47"/>
    <s v="화"/>
    <m/>
    <x v="1"/>
    <s v="카페24"/>
    <m/>
    <n v="1"/>
    <s v="리바이탈 샴푸 2set"/>
    <n v="201109"/>
    <m/>
    <n v="51110"/>
    <n v="48120.065000000002"/>
    <n v="6040"/>
    <n v="46463.63636363636"/>
  </r>
  <r>
    <x v="47"/>
    <s v="화"/>
    <m/>
    <x v="1"/>
    <s v="카페24"/>
    <m/>
    <n v="1"/>
    <s v="리바이탈 샴푸 3set"/>
    <n v="201109"/>
    <m/>
    <n v="72630"/>
    <n v="68381.145000000004"/>
    <n v="9060"/>
    <n v="66027.272727272721"/>
  </r>
  <r>
    <x v="48"/>
    <s v="수"/>
    <m/>
    <x v="1"/>
    <s v="카페24"/>
    <m/>
    <n v="3"/>
    <s v="리바이탈 샴푸"/>
    <n v="201109"/>
    <m/>
    <n v="80700"/>
    <n v="75979.05"/>
    <n v="9060"/>
    <n v="73363.636363636353"/>
  </r>
  <r>
    <x v="48"/>
    <s v="수"/>
    <m/>
    <x v="1"/>
    <s v="카페24"/>
    <m/>
    <n v="3"/>
    <s v="리바이탈 샴푸 2set"/>
    <n v="201109"/>
    <m/>
    <n v="153330"/>
    <n v="144360.19500000001"/>
    <n v="18120"/>
    <n v="139390.90909090909"/>
  </r>
  <r>
    <x v="48"/>
    <s v="수"/>
    <m/>
    <x v="1"/>
    <s v="카페24"/>
    <m/>
    <n v="4"/>
    <s v="리바이탈 샴푸 3set"/>
    <n v="201109"/>
    <m/>
    <n v="290520"/>
    <n v="273524.58"/>
    <n v="36240"/>
    <n v="264109.09090909088"/>
  </r>
  <r>
    <x v="49"/>
    <s v="목"/>
    <m/>
    <x v="1"/>
    <s v="카페24"/>
    <m/>
    <n v="4"/>
    <s v="리바이탈 샴푸"/>
    <n v="201109"/>
    <m/>
    <n v="107600"/>
    <n v="101305.4"/>
    <n v="12080"/>
    <n v="97818.181818181809"/>
  </r>
  <r>
    <x v="49"/>
    <s v="목"/>
    <m/>
    <x v="1"/>
    <s v="카페24"/>
    <m/>
    <n v="4"/>
    <s v="리바이탈 샴푸 2set"/>
    <n v="201109"/>
    <m/>
    <n v="204440"/>
    <n v="192480.26"/>
    <n v="24160"/>
    <n v="185854.54545454544"/>
  </r>
  <r>
    <x v="50"/>
    <s v="금"/>
    <m/>
    <x v="1"/>
    <s v="라베나 CS"/>
    <m/>
    <n v="1"/>
    <s v="리바이탈 샴푸"/>
    <n v="201109"/>
    <m/>
    <n v="0"/>
    <n v="0"/>
    <n v="3020"/>
    <n v="0"/>
  </r>
  <r>
    <x v="50"/>
    <s v="금"/>
    <m/>
    <x v="1"/>
    <s v="카페24"/>
    <m/>
    <n v="8"/>
    <s v="리바이탈 샴푸"/>
    <n v="201109"/>
    <m/>
    <n v="215200"/>
    <n v="202610.8"/>
    <n v="24160"/>
    <n v="195636.36363636362"/>
  </r>
  <r>
    <x v="50"/>
    <s v="금"/>
    <m/>
    <x v="1"/>
    <s v="카페24"/>
    <m/>
    <n v="4"/>
    <s v="리바이탈 샴푸 2set"/>
    <n v="201109"/>
    <m/>
    <n v="204440"/>
    <n v="192480.26"/>
    <n v="24160"/>
    <n v="185854.54545454544"/>
  </r>
  <r>
    <x v="50"/>
    <s v="금"/>
    <m/>
    <x v="1"/>
    <s v="카페24"/>
    <m/>
    <n v="2"/>
    <s v="리바이탈 샴푸 3set"/>
    <n v="201109"/>
    <m/>
    <n v="145260"/>
    <n v="136762.29"/>
    <n v="18120"/>
    <n v="132054.54545454544"/>
  </r>
  <r>
    <x v="51"/>
    <s v="토"/>
    <m/>
    <x v="1"/>
    <s v="카페24"/>
    <m/>
    <n v="30"/>
    <s v="리바이탈 샴푸"/>
    <n v="201109"/>
    <m/>
    <n v="807000"/>
    <n v="759790.5"/>
    <n v="90600"/>
    <n v="733636.36363636353"/>
  </r>
  <r>
    <x v="51"/>
    <s v="토"/>
    <m/>
    <x v="1"/>
    <s v="카페24"/>
    <m/>
    <n v="13"/>
    <s v="리바이탈 샴푸 2set"/>
    <n v="201109"/>
    <m/>
    <n v="664430"/>
    <n v="625560.84499999997"/>
    <n v="78520"/>
    <n v="604027.27272727271"/>
  </r>
  <r>
    <x v="51"/>
    <s v="토"/>
    <m/>
    <x v="1"/>
    <s v="카페24"/>
    <m/>
    <n v="5"/>
    <s v="리바이탈 샴푸 3set"/>
    <n v="201109"/>
    <m/>
    <n v="363150"/>
    <n v="341905.72499999998"/>
    <n v="45300"/>
    <n v="330136.36363636359"/>
  </r>
  <r>
    <x v="52"/>
    <s v="일"/>
    <m/>
    <x v="1"/>
    <s v="카페24"/>
    <m/>
    <n v="30"/>
    <s v="리바이탈 샴푸"/>
    <n v="201109"/>
    <m/>
    <n v="807000"/>
    <n v="759790.5"/>
    <n v="90600"/>
    <n v="733636.36363636353"/>
  </r>
  <r>
    <x v="52"/>
    <s v="일"/>
    <m/>
    <x v="1"/>
    <s v="카페24"/>
    <m/>
    <n v="9"/>
    <s v="리바이탈 샴푸 2set"/>
    <n v="201109"/>
    <m/>
    <n v="459990"/>
    <n v="433080.58500000002"/>
    <n v="54360"/>
    <n v="418172.72727272724"/>
  </r>
  <r>
    <x v="52"/>
    <s v="일"/>
    <m/>
    <x v="1"/>
    <s v="카페24"/>
    <m/>
    <n v="8"/>
    <s v="리바이탈 샴푸 3set"/>
    <n v="201109"/>
    <m/>
    <n v="581040"/>
    <n v="547049.16"/>
    <n v="72480"/>
    <n v="528218.18181818177"/>
  </r>
  <r>
    <x v="53"/>
    <s v="월"/>
    <m/>
    <x v="1"/>
    <s v="카페24"/>
    <m/>
    <n v="26"/>
    <s v="리바이탈 샴푸"/>
    <n v="201109"/>
    <m/>
    <n v="699400"/>
    <n v="658485.1"/>
    <n v="78520"/>
    <n v="635818.18181818177"/>
  </r>
  <r>
    <x v="53"/>
    <s v="월"/>
    <m/>
    <x v="1"/>
    <s v="카페24"/>
    <m/>
    <n v="10"/>
    <s v="리바이탈 샴푸 2set"/>
    <n v="201109"/>
    <m/>
    <n v="511100"/>
    <n v="481200.65"/>
    <n v="60400"/>
    <n v="464636.36363636359"/>
  </r>
  <r>
    <x v="53"/>
    <s v="월"/>
    <m/>
    <x v="1"/>
    <s v="카페24"/>
    <m/>
    <n v="6"/>
    <s v="리바이탈 샴푸 3set"/>
    <n v="201109"/>
    <m/>
    <n v="435780"/>
    <n v="410286.87"/>
    <n v="54360"/>
    <n v="396163.63636363635"/>
  </r>
  <r>
    <x v="54"/>
    <s v="화"/>
    <m/>
    <x v="1"/>
    <s v="카페24"/>
    <m/>
    <n v="26"/>
    <s v="리바이탈 샴푸"/>
    <n v="201109"/>
    <m/>
    <n v="699400"/>
    <n v="658485.1"/>
    <n v="78520"/>
    <n v="635818.18181818177"/>
  </r>
  <r>
    <x v="54"/>
    <s v="화"/>
    <m/>
    <x v="1"/>
    <s v="카페24"/>
    <m/>
    <n v="14"/>
    <s v="리바이탈 샴푸 2set"/>
    <n v="201109"/>
    <m/>
    <n v="715540"/>
    <n v="673680.91"/>
    <n v="84560"/>
    <n v="650490.90909090906"/>
  </r>
  <r>
    <x v="54"/>
    <s v="화"/>
    <m/>
    <x v="1"/>
    <s v="카페24"/>
    <m/>
    <n v="7"/>
    <s v="리바이탈 샴푸 3set"/>
    <n v="201109"/>
    <m/>
    <n v="508410"/>
    <n v="478668.01500000001"/>
    <n v="63420"/>
    <n v="462190.90909090906"/>
  </r>
  <r>
    <x v="55"/>
    <s v="수"/>
    <m/>
    <x v="1"/>
    <s v="카페24"/>
    <m/>
    <n v="19"/>
    <s v="리바이탈 샴푸"/>
    <n v="201109"/>
    <m/>
    <n v="511100"/>
    <n v="481200.65"/>
    <n v="57380"/>
    <n v="464636.36363636359"/>
  </r>
  <r>
    <x v="55"/>
    <s v="수"/>
    <m/>
    <x v="1"/>
    <s v="카페24"/>
    <m/>
    <n v="11"/>
    <s v="리바이탈 샴푸 2set"/>
    <n v="201109"/>
    <m/>
    <n v="562210"/>
    <n v="529320.71499999997"/>
    <n v="66440"/>
    <n v="511099.99999999994"/>
  </r>
  <r>
    <x v="55"/>
    <s v="수"/>
    <m/>
    <x v="1"/>
    <s v="카페24"/>
    <m/>
    <n v="3"/>
    <s v="리바이탈 샴푸 3set"/>
    <n v="201109"/>
    <m/>
    <n v="217890"/>
    <n v="205143.435"/>
    <n v="27180"/>
    <n v="198081.81818181818"/>
  </r>
  <r>
    <x v="56"/>
    <s v="목"/>
    <m/>
    <x v="1"/>
    <s v="카페24"/>
    <m/>
    <n v="14"/>
    <s v="리바이탈 샴푸"/>
    <n v="201109"/>
    <m/>
    <n v="376600"/>
    <n v="354568.9"/>
    <n v="42280"/>
    <n v="342363.63636363635"/>
  </r>
  <r>
    <x v="56"/>
    <s v="목"/>
    <m/>
    <x v="1"/>
    <s v="카페24"/>
    <m/>
    <n v="10"/>
    <s v="리바이탈 샴푸 2set"/>
    <n v="201109"/>
    <m/>
    <n v="511100"/>
    <n v="481200.65"/>
    <n v="60400"/>
    <n v="464636.36363636359"/>
  </r>
  <r>
    <x v="56"/>
    <s v="목"/>
    <m/>
    <x v="1"/>
    <s v="카페24"/>
    <m/>
    <n v="5"/>
    <s v="리바이탈 샴푸 3set"/>
    <n v="201109"/>
    <m/>
    <n v="363150"/>
    <n v="341905.72499999998"/>
    <n v="45300"/>
    <n v="330136.36363636359"/>
  </r>
  <r>
    <x v="57"/>
    <s v="금"/>
    <m/>
    <x v="1"/>
    <s v="카페24"/>
    <m/>
    <n v="12"/>
    <s v="리바이탈 샴푸"/>
    <n v="201109"/>
    <m/>
    <n v="322800"/>
    <n v="303916.2"/>
    <n v="36240"/>
    <n v="293454.54545454541"/>
  </r>
  <r>
    <x v="57"/>
    <s v="금"/>
    <m/>
    <x v="1"/>
    <s v="카페24"/>
    <m/>
    <n v="8"/>
    <s v="리바이탈 샴푸 2set"/>
    <n v="201109"/>
    <m/>
    <n v="408880"/>
    <n v="384960.52"/>
    <n v="48320"/>
    <n v="371709.09090909088"/>
  </r>
  <r>
    <x v="57"/>
    <s v="금"/>
    <m/>
    <x v="1"/>
    <s v="카페24"/>
    <m/>
    <n v="4"/>
    <s v="리바이탈 샴푸 3set"/>
    <n v="201109"/>
    <m/>
    <n v="290520"/>
    <n v="273524.58"/>
    <n v="36240"/>
    <n v="264109.09090909088"/>
  </r>
  <r>
    <x v="58"/>
    <s v="토"/>
    <m/>
    <x v="1"/>
    <s v="카페24"/>
    <m/>
    <n v="17"/>
    <s v="리바이탈 샴푸"/>
    <n v="201109"/>
    <m/>
    <n v="457300"/>
    <n v="430547.95"/>
    <n v="51340"/>
    <n v="415727.27272727271"/>
  </r>
  <r>
    <x v="58"/>
    <s v="토"/>
    <m/>
    <x v="1"/>
    <s v="카페24"/>
    <m/>
    <n v="7"/>
    <s v="리바이탈 샴푸 2set"/>
    <n v="201109"/>
    <m/>
    <n v="357770"/>
    <n v="336840.45500000002"/>
    <n v="42280"/>
    <n v="325245.45454545453"/>
  </r>
  <r>
    <x v="58"/>
    <s v="토"/>
    <m/>
    <x v="1"/>
    <s v="카페24"/>
    <m/>
    <n v="2"/>
    <s v="리바이탈 샴푸 3set"/>
    <n v="201109"/>
    <m/>
    <n v="145260"/>
    <n v="136762.29"/>
    <n v="18120"/>
    <n v="132054.54545454544"/>
  </r>
  <r>
    <x v="59"/>
    <s v="일"/>
    <m/>
    <x v="1"/>
    <s v="카페24"/>
    <m/>
    <n v="21"/>
    <s v="리바이탈 샴푸"/>
    <n v="201109"/>
    <m/>
    <n v="564900"/>
    <n v="531853.35"/>
    <n v="63420"/>
    <n v="513545.45454545453"/>
  </r>
  <r>
    <x v="59"/>
    <s v="일"/>
    <m/>
    <x v="1"/>
    <s v="카페24"/>
    <m/>
    <n v="19"/>
    <s v="리바이탈 샴푸 2set"/>
    <n v="201109"/>
    <m/>
    <n v="971090"/>
    <n v="914281.23499999999"/>
    <n v="114760"/>
    <n v="882809.09090909082"/>
  </r>
  <r>
    <x v="59"/>
    <s v="일"/>
    <m/>
    <x v="1"/>
    <s v="카페24"/>
    <m/>
    <n v="5"/>
    <s v="리바이탈 샴푸 3set"/>
    <n v="201109"/>
    <m/>
    <n v="363150"/>
    <n v="341905.72499999998"/>
    <n v="45300"/>
    <n v="330136.36363636359"/>
  </r>
  <r>
    <x v="60"/>
    <s v="월"/>
    <m/>
    <x v="1"/>
    <s v="카페24"/>
    <m/>
    <n v="18"/>
    <s v="리바이탈 샴푸"/>
    <n v="201109"/>
    <m/>
    <n v="484200"/>
    <n v="455874.3"/>
    <n v="54360"/>
    <n v="440181.81818181812"/>
  </r>
  <r>
    <x v="60"/>
    <s v="월"/>
    <m/>
    <x v="1"/>
    <s v="카페24"/>
    <m/>
    <n v="15"/>
    <s v="리바이탈 샴푸 2set"/>
    <n v="201109"/>
    <m/>
    <n v="766650"/>
    <n v="721800.97499999998"/>
    <n v="90600"/>
    <n v="696954.54545454541"/>
  </r>
  <r>
    <x v="60"/>
    <s v="월"/>
    <m/>
    <x v="1"/>
    <s v="카페24"/>
    <m/>
    <n v="11"/>
    <s v="리바이탈 샴푸 3set"/>
    <n v="201109"/>
    <m/>
    <n v="798930"/>
    <n v="752192.59499999997"/>
    <n v="99660"/>
    <n v="726299.99999999988"/>
  </r>
  <r>
    <x v="61"/>
    <s v="화"/>
    <m/>
    <x v="1"/>
    <s v="카페24"/>
    <s v="HAIR RÉ:COVERY 15 Revital Shampoo [라베나 리커버리 15 리바이탈 샴푸]제품선택=헤어 리커버리 15 리바이탈 샴푸 - 500ml"/>
    <n v="29"/>
    <s v="리바이탈 샴푸"/>
    <n v="201210"/>
    <m/>
    <n v="780100"/>
    <n v="734464.15"/>
    <n v="87580"/>
    <n v="709181.81818181812"/>
  </r>
  <r>
    <x v="61"/>
    <s v="화"/>
    <m/>
    <x v="1"/>
    <s v="카페24"/>
    <s v="HAIR RÉ:COVERY 15 Revital Shampoo [라베나 리커버리 15 리바이탈 샴푸]제품선택=리바이탈 샴푸 2개 세트 5%추가할인"/>
    <n v="15"/>
    <s v="리바이탈 샴푸"/>
    <n v="201210"/>
    <m/>
    <n v="766650"/>
    <n v="721800.97499999998"/>
    <n v="90600"/>
    <n v="696954.54545454541"/>
  </r>
  <r>
    <x v="61"/>
    <s v="화"/>
    <m/>
    <x v="1"/>
    <s v="카페24"/>
    <s v="HAIR RÉ:COVERY 15 Revital Shampoo [라베나 리커버리 15 리바이탈 샴푸]제품선택=리바이탈 샴푸 3개 세트 10% 추가할인"/>
    <n v="7"/>
    <s v="리바이탈 샴푸 3set"/>
    <n v="201210"/>
    <m/>
    <n v="508410"/>
    <n v="478668.01500000001"/>
    <n v="63420"/>
    <n v="462190.90909090906"/>
  </r>
  <r>
    <x v="62"/>
    <s v="수"/>
    <m/>
    <x v="1"/>
    <s v="카페24"/>
    <s v="HAIR RÉ:COVERY 15 Revital Shampoo [라베나 리커버리 15 리바이탈 샴푸]제품선택=헤어 리커버리 15 리바이탈 샴푸 - 500ml"/>
    <n v="29"/>
    <s v="리바이탈 샴푸"/>
    <n v="201210"/>
    <m/>
    <n v="780100"/>
    <n v="734464.15"/>
    <n v="87580"/>
    <n v="709181.81818181812"/>
  </r>
  <r>
    <x v="62"/>
    <s v="수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59"/>
  </r>
  <r>
    <x v="62"/>
    <s v="수"/>
    <m/>
    <x v="1"/>
    <s v="카페24"/>
    <s v="HAIR RÉ:COVERY 15 Revital Shampoo [라베나 리커버리 15 리바이탈 샴푸]제품선택=리바이탈 샴푸 3개 세트 10% 추가할인"/>
    <n v="5"/>
    <s v="리바이탈 샴푸 3set"/>
    <n v="201210"/>
    <m/>
    <n v="363150"/>
    <n v="341905.72499999998"/>
    <n v="45300"/>
    <n v="330136.36363636359"/>
  </r>
  <r>
    <x v="63"/>
    <s v="목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000000005"/>
    <n v="69460"/>
    <n v="562454.54545454541"/>
  </r>
  <r>
    <x v="63"/>
    <s v="목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59"/>
  </r>
  <r>
    <x v="63"/>
    <s v="목"/>
    <m/>
    <x v="1"/>
    <s v="카페24"/>
    <s v="HAIR RÉ:COVERY 15 Revital Shampoo [라베나 리커버리 15 리바이탈 샴푸]제품선택=리바이탈 샴푸 3개 세트 10% 추가할인"/>
    <n v="12"/>
    <s v="리바이탈 샴푸 3set"/>
    <n v="201210"/>
    <m/>
    <n v="871560"/>
    <n v="820573.74"/>
    <n v="108720"/>
    <n v="792327.27272727271"/>
  </r>
  <r>
    <x v="64"/>
    <s v="금"/>
    <m/>
    <x v="1"/>
    <s v="라베나 CS"/>
    <s v="HAIR RÉ:COVERY 15 Revital Shampoo [라베나 리커버리 15 리바이탈 샴푸]제품선택=헤어 리커버리 15 리바이탈 샴푸 - 500ml"/>
    <n v="1"/>
    <s v="리바이탈 샴푸"/>
    <n v="201210"/>
    <m/>
    <n v="0"/>
    <n v="0"/>
    <n v="3020"/>
    <n v="0"/>
  </r>
  <r>
    <x v="64"/>
    <s v="금"/>
    <m/>
    <x v="1"/>
    <s v="카페24"/>
    <s v="HAIR RÉ:COVERY 15 Revital Shampoo [라베나 리커버리 15 리바이탈 샴푸]제품선택=헤어 리커버리 15 리바이탈 샴푸 - 500ml"/>
    <n v="22"/>
    <s v="리바이탈 샴푸"/>
    <n v="201210"/>
    <m/>
    <n v="591800"/>
    <n v="557179.69999999995"/>
    <n v="66440"/>
    <n v="538000"/>
  </r>
  <r>
    <x v="64"/>
    <s v="금"/>
    <m/>
    <x v="1"/>
    <s v="카페24"/>
    <s v="HAIR RÉ:COVERY 15 Revital Shampoo [라베나 리커버리 15 리바이탈 샴푸]제품선택=리바이탈 샴푸 2개 세트 5%추가할인"/>
    <n v="8"/>
    <s v="리바이탈 샴푸"/>
    <n v="201210"/>
    <m/>
    <n v="408880"/>
    <n v="384960.52"/>
    <n v="48320"/>
    <n v="371709.09090909088"/>
  </r>
  <r>
    <x v="64"/>
    <s v="금"/>
    <m/>
    <x v="1"/>
    <s v="카페24"/>
    <s v="HAIR RÉ:COVERY 15 Revital Shampoo [라베나 리커버리 15 리바이탈 샴푸]제품선택=리바이탈 샴푸 3개 세트 10% 추가할인"/>
    <n v="6"/>
    <s v="리바이탈 샴푸 3set"/>
    <n v="201210"/>
    <m/>
    <n v="435780"/>
    <n v="410286.87"/>
    <n v="54360"/>
    <n v="396163.63636363635"/>
  </r>
  <r>
    <x v="65"/>
    <s v="토"/>
    <m/>
    <x v="1"/>
    <s v="라베나 CS"/>
    <s v="HAIR RÉ:COVERY 15 Revital Shampoo [라베나 리커버리 15 리바이탈 샴푸]제품선택=리바이탈 샴푸 2개 세트 5%추가할인"/>
    <n v="1"/>
    <s v="리바이탈 샴푸"/>
    <n v="201210"/>
    <m/>
    <n v="0"/>
    <n v="0"/>
    <n v="6040"/>
    <n v="0"/>
  </r>
  <r>
    <x v="65"/>
    <s v="토"/>
    <m/>
    <x v="1"/>
    <s v="카페24"/>
    <s v="HAIR RÉ:COVERY 15 Revital Shampoo [라베나 리커버리 15 리바이탈 샴푸]제품선택=헤어 리커버리 15 리바이탈 샴푸 - 500ml"/>
    <n v="25"/>
    <s v="리바이탈 샴푸"/>
    <n v="201210"/>
    <m/>
    <n v="672500"/>
    <n v="633158.75"/>
    <n v="75500"/>
    <n v="611363.63636363635"/>
  </r>
  <r>
    <x v="65"/>
    <s v="토"/>
    <m/>
    <x v="1"/>
    <s v="카페24"/>
    <s v="HAIR RÉ:COVERY 15 Revital Shampoo [라베나 리커버리 15 리바이탈 샴푸]제품선택=리바이탈 샴푸 2개 세트 5%추가할인"/>
    <n v="17"/>
    <s v="리바이탈 샴푸"/>
    <n v="201210"/>
    <m/>
    <n v="868870"/>
    <n v="818041.10499999998"/>
    <n v="102680"/>
    <n v="789881.81818181812"/>
  </r>
  <r>
    <x v="65"/>
    <s v="토"/>
    <m/>
    <x v="1"/>
    <s v="카페24"/>
    <s v="HAIR RÉ:COVERY 15 Revital Shampoo [라베나 리커버리 15 리바이탈 샴푸]제품선택=리바이탈 샴푸 3개 세트 10% 추가할인"/>
    <n v="14"/>
    <s v="리바이탈 샴푸 3set"/>
    <n v="201210"/>
    <m/>
    <n v="1016820"/>
    <n v="957336.03"/>
    <n v="126840"/>
    <n v="924381.81818181812"/>
  </r>
  <r>
    <x v="66"/>
    <s v="일"/>
    <m/>
    <x v="1"/>
    <s v="카페24"/>
    <s v="HAIR RÉ:COVERY 15 Revital Shampoo [라베나 리커버리 15 리바이탈 샴푸]제품선택=헤어 리커버리 15 리바이탈 샴푸 - 500ml"/>
    <n v="33"/>
    <s v="리바이탈 샴푸"/>
    <n v="201210"/>
    <m/>
    <n v="887700"/>
    <n v="835769.55"/>
    <n v="99660"/>
    <n v="806999.99999999988"/>
  </r>
  <r>
    <x v="66"/>
    <s v="일"/>
    <m/>
    <x v="1"/>
    <s v="카페24"/>
    <s v="HAIR RÉ:COVERY 15 Revital Shampoo [라베나 리커버리 15 리바이탈 샴푸]제품선택=리바이탈 샴푸 2개 세트 5%추가할인"/>
    <n v="14"/>
    <s v="리바이탈 샴푸"/>
    <n v="201210"/>
    <m/>
    <n v="715540"/>
    <n v="673680.91"/>
    <n v="84560"/>
    <n v="650490.90909090906"/>
  </r>
  <r>
    <x v="66"/>
    <s v="일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18"/>
  </r>
  <r>
    <x v="67"/>
    <s v="월"/>
    <m/>
    <x v="1"/>
    <s v="라베나 CS"/>
    <s v="HAIR RÉ:COVERY 15 Revital Shampoo [라베나 리커버리 15 리바이탈 샴푸]제품선택=헤어 리커버리 15 리바이탈 샴푸 - 500ml"/>
    <n v="1"/>
    <s v="리바이탈 샴푸"/>
    <n v="201210"/>
    <m/>
    <n v="0"/>
    <n v="0"/>
    <n v="3020"/>
    <n v="0"/>
  </r>
  <r>
    <x v="67"/>
    <s v="월"/>
    <m/>
    <x v="2"/>
    <s v="라베나 CS"/>
    <s v="헤어 리커버리 15 헤어팩 트리트먼트"/>
    <n v="90"/>
    <s v="트리트먼트"/>
    <n v="201210"/>
    <m/>
    <n v="0"/>
    <n v="0"/>
    <n v="143730"/>
    <n v="0"/>
  </r>
  <r>
    <x v="67"/>
    <s v="월"/>
    <m/>
    <x v="1"/>
    <s v="카페24"/>
    <s v="HAIR RÉ:COVERY 15 Revital Shampoo [라베나 리커버리 15 리바이탈 샴푸]제품선택=헤어 리커버리 15 리바이탈 샴푸 - 500ml"/>
    <n v="30"/>
    <s v="리바이탈 샴푸"/>
    <n v="201210"/>
    <m/>
    <n v="807000"/>
    <n v="759790.5"/>
    <n v="90600"/>
    <n v="733636.36363636353"/>
  </r>
  <r>
    <x v="67"/>
    <s v="월"/>
    <m/>
    <x v="1"/>
    <s v="카페24"/>
    <s v="HAIR RÉ:COVERY 15 Revital Shampoo [라베나 리커버리 15 리바이탈 샴푸]제품선택=리바이탈 샴푸 2개 세트 5%추가할인"/>
    <n v="9"/>
    <s v="리바이탈 샴푸"/>
    <n v="201210"/>
    <m/>
    <n v="459990"/>
    <n v="433080.58500000002"/>
    <n v="54360"/>
    <n v="418172.72727272724"/>
  </r>
  <r>
    <x v="67"/>
    <s v="월"/>
    <m/>
    <x v="1"/>
    <s v="카페24"/>
    <s v="HAIR RÉ:COVERY 15 Revital Shampoo [라베나 리커버리 15 리바이탈 샴푸]제품선택=리바이탈 샴푸 3개 세트 10% 추가할인"/>
    <n v="5"/>
    <s v="리바이탈 샴푸 3set"/>
    <n v="201210"/>
    <m/>
    <n v="363150"/>
    <n v="341905.72499999998"/>
    <n v="45300"/>
    <n v="330136.36363636359"/>
  </r>
  <r>
    <x v="68"/>
    <s v="화"/>
    <m/>
    <x v="2"/>
    <s v="카페24"/>
    <s v="(플친전용)HAIR RÉ:COVERY 15 Hairpack Treatment [헤어 리커버리 15 헤어팩 트리트먼트]제품선택=헤어 리커버리 15 헤어팩 트리트먼트"/>
    <n v="5"/>
    <s v="트리트먼트"/>
    <n v="201210"/>
    <m/>
    <n v="110550"/>
    <n v="104082.825"/>
    <n v="7985"/>
    <n v="100499.99999999999"/>
  </r>
  <r>
    <x v="68"/>
    <s v="화"/>
    <m/>
    <x v="2"/>
    <s v="카페24"/>
    <s v="(플친전용)HAIR RÉ:COVERY 15 Hairpack Treatment [헤어 리커버리 15 헤어팩 트리트먼트]제품선택=헤어팩 트리트먼트 2개 세트"/>
    <n v="3"/>
    <s v="트리트먼트 2set"/>
    <n v="201210"/>
    <m/>
    <n v="132660"/>
    <n v="124899.39"/>
    <n v="9582"/>
    <n v="120599.99999999999"/>
  </r>
  <r>
    <x v="68"/>
    <s v="화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3"/>
  </r>
  <r>
    <x v="68"/>
    <s v="화"/>
    <m/>
    <x v="2"/>
    <s v="카페24"/>
    <s v="(플친전용)HAIR RÉ:COVERY 15 Hairpack Treatment [헤어 리커버리 15 헤어팩 트리트먼트]제품선택=헤어팩 트리트먼트 1개 + 뉴트리셔스 밤 1개 세트"/>
    <n v="3"/>
    <s v="트리트먼트+뉴트리셔스밤"/>
    <n v="201210"/>
    <m/>
    <n v="129198"/>
    <n v="121639.917"/>
    <n v="9531"/>
    <n v="117452.72727272726"/>
  </r>
  <r>
    <x v="68"/>
    <s v="화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000000001"/>
    <n v="3160"/>
    <n v="38101.818181818177"/>
  </r>
  <r>
    <x v="68"/>
    <s v="화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000000002"/>
    <n v="4740"/>
    <n v="57152.727272727265"/>
  </r>
  <r>
    <x v="68"/>
    <s v="화"/>
    <m/>
    <x v="2"/>
    <s v="카페24"/>
    <s v="HAIR RÉ:COVERY 15 Hairpack Treatment [헤어 리커버리 15 헤어팩 트리트먼트]제품선택=헤어 리커버리 15 헤어팩 트리트먼트"/>
    <n v="5"/>
    <s v="트리트먼트"/>
    <n v="201210"/>
    <m/>
    <n v="130000"/>
    <n v="122395"/>
    <n v="7985"/>
    <n v="118181.81818181818"/>
  </r>
  <r>
    <x v="68"/>
    <s v="화"/>
    <m/>
    <x v="2"/>
    <s v="카페24"/>
    <s v="HAIR RÉ:COVERY 15 Hairpack Treatment [헤어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68"/>
    <s v="화"/>
    <m/>
    <x v="3"/>
    <s v="카페24"/>
    <s v="HAIR RÉ:COVERY 15 Nutritious Balm [헤어 리커버리 15 뉴트리셔스 밤]제품선택=헤어 리커버리 15 뉴트리셔스 밤"/>
    <n v="2"/>
    <s v="뉴트리셔스밤"/>
    <n v="201210"/>
    <m/>
    <n v="49800"/>
    <n v="46886.7"/>
    <n v="3160"/>
    <n v="45272.727272727272"/>
  </r>
  <r>
    <x v="68"/>
    <s v="화"/>
    <m/>
    <x v="1"/>
    <s v="카페24"/>
    <s v="HAIR RÉ:COVERY 15 Revital Shampoo [라베나 리커버리 15 리바이탈 샴푸]제품선택=헤어 리커버리 15 리바이탈 샴푸 - 500ml"/>
    <n v="27"/>
    <s v="리바이탈 샴푸"/>
    <n v="201210"/>
    <m/>
    <n v="726300"/>
    <n v="683811.45"/>
    <n v="81540"/>
    <n v="660272.72727272718"/>
  </r>
  <r>
    <x v="68"/>
    <s v="화"/>
    <m/>
    <x v="1"/>
    <s v="카페24"/>
    <s v="HAIR RÉ:COVERY 15 Revital Shampoo [라베나 리커버리 15 리바이탈 샴푸]제품선택=리바이탈 샴푸 2개 세트 5%추가할인"/>
    <n v="12"/>
    <s v="리바이탈 샴푸"/>
    <n v="201210"/>
    <m/>
    <n v="613320"/>
    <n v="577440.78"/>
    <n v="72480"/>
    <n v="557563.63636363635"/>
  </r>
  <r>
    <x v="68"/>
    <s v="화"/>
    <m/>
    <x v="1"/>
    <s v="카페24"/>
    <s v="HAIR RÉ:COVERY 15 Revital Shampoo [라베나 리커버리 15 리바이탈 샴푸]제품선택=리바이탈 샴푸 3개 세트 10% 추가할인"/>
    <n v="13"/>
    <s v="리바이탈 샴푸 3set"/>
    <n v="201210"/>
    <m/>
    <n v="944190"/>
    <n v="888954.88500000001"/>
    <n v="117780"/>
    <n v="858354.54545454541"/>
  </r>
  <r>
    <x v="68"/>
    <s v="화"/>
    <m/>
    <x v="3"/>
    <s v="카페24"/>
    <s v="LAVENA HAIR RÉ:COVERY 15 Nutritious Balm [헤어 리커버리 15 뉴트리셔스 밤]제품선택=헤어 리커버리 15 뉴트리셔스 밤"/>
    <n v="1"/>
    <s v="뉴트리셔스밤"/>
    <n v="201210"/>
    <m/>
    <n v="24900"/>
    <n v="23443.35"/>
    <n v="1580"/>
    <n v="22636.363636363636"/>
  </r>
  <r>
    <x v="69"/>
    <s v="수"/>
    <m/>
    <x v="2"/>
    <s v="라베나 CS"/>
    <s v="헤어 리커버리 15 헤어팩 트리트먼트"/>
    <n v="1"/>
    <s v="트리트먼트"/>
    <n v="201210"/>
    <m/>
    <n v="0"/>
    <n v="0"/>
    <n v="1597"/>
    <n v="0"/>
  </r>
  <r>
    <x v="69"/>
    <s v="수"/>
    <m/>
    <x v="2"/>
    <s v="카페24"/>
    <s v="(플친전용)HAIR RÉ:COVERY 15 Hairpack Treatment [헤어 리커버리 15 헤어팩 트리트먼트]제품선택=헤어 리커버리 15 헤어팩 트리트먼트"/>
    <n v="3"/>
    <s v="트리트먼트"/>
    <n v="201210"/>
    <m/>
    <n v="66330"/>
    <n v="62449.695"/>
    <n v="4791"/>
    <n v="60299.999999999993"/>
  </r>
  <r>
    <x v="69"/>
    <s v="수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3"/>
  </r>
  <r>
    <x v="69"/>
    <s v="수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000000003"/>
    <n v="3177"/>
    <n v="39150.909090909088"/>
  </r>
  <r>
    <x v="69"/>
    <s v="수"/>
    <m/>
    <x v="3"/>
    <s v="카페24"/>
    <s v="(플친전용)HAIR RÉ:COVERY 15 Nutritious Balm [헤어 리커버리 15 뉴트리셔스 밤]제품선택=헤어 리커버리 15 뉴트리셔스 밤"/>
    <n v="1"/>
    <s v="뉴트리셔스밤"/>
    <n v="201210"/>
    <m/>
    <n v="20956"/>
    <n v="19730.074000000001"/>
    <n v="1580"/>
    <n v="19050.909090909088"/>
  </r>
  <r>
    <x v="69"/>
    <s v="수"/>
    <m/>
    <x v="2"/>
    <s v="카페24"/>
    <s v="HAIR RÉ:COVERY 15 Hairpack Treatment [헤어 리커버리 15 헤어팩 트리트먼트]제품선택=헤어 리커버리 15 헤어팩 트리트먼트"/>
    <n v="5"/>
    <s v="트리트먼트"/>
    <n v="201210"/>
    <m/>
    <n v="130000"/>
    <n v="122395"/>
    <n v="7985"/>
    <n v="118181.81818181818"/>
  </r>
  <r>
    <x v="69"/>
    <s v="수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69"/>
    <s v="수"/>
    <m/>
    <x v="3"/>
    <s v="카페24"/>
    <s v="HAIR RÉ:COVERY 15 Nutritious Balm [헤어 리커버리 15 뉴트리셔스 밤]제품선택=헤어 리커버리 15 뉴트리셔스 밤"/>
    <n v="3"/>
    <s v="뉴트리셔스밤"/>
    <n v="201210"/>
    <m/>
    <n v="74700"/>
    <n v="70330.05"/>
    <n v="4740"/>
    <n v="67909.090909090897"/>
  </r>
  <r>
    <x v="69"/>
    <s v="수"/>
    <m/>
    <x v="3"/>
    <s v="카페24"/>
    <s v="HAIR RÉ:COVERY 15 Nutritious Balm [헤어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69"/>
    <s v="수"/>
    <m/>
    <x v="1"/>
    <s v="카페24"/>
    <s v="HAIR RÉ:COVERY 15 Revital Shampoo [라베나 리커버리 15 리바이탈 샴푸]제품선택=헤어 리커버리 15 리바이탈 샴푸 - 500ml"/>
    <n v="27"/>
    <s v="리바이탈 샴푸"/>
    <n v="201210"/>
    <m/>
    <n v="726300"/>
    <n v="683811.45"/>
    <n v="81540"/>
    <n v="660272.72727272718"/>
  </r>
  <r>
    <x v="69"/>
    <s v="수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00000002"/>
    <n v="42280"/>
    <n v="325245.45454545453"/>
  </r>
  <r>
    <x v="69"/>
    <s v="수"/>
    <m/>
    <x v="1"/>
    <s v="카페24"/>
    <s v="HAIR RÉ:COVERY 15 Revital Shampoo [라베나 리커버리 15 리바이탈 샴푸]제품선택=리바이탈 샴푸 3개 세트 10% 추가할인"/>
    <n v="8"/>
    <s v="리바이탈 샴푸 3set"/>
    <n v="201210"/>
    <m/>
    <n v="581040"/>
    <n v="547049.16"/>
    <n v="72480"/>
    <n v="528218.18181818177"/>
  </r>
  <r>
    <x v="70"/>
    <s v="목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000000003"/>
    <n v="3177"/>
    <n v="39150.909090909088"/>
  </r>
  <r>
    <x v="70"/>
    <s v="목"/>
    <m/>
    <x v="3"/>
    <s v="카페24"/>
    <s v="(플친전용)HAIR RÉ:COVERY 15 Nutritious Balm [헤어 리커버리 15 뉴트리셔스 밤]제품선택=헤어 리커버리 15 뉴트리셔스 밤"/>
    <n v="1"/>
    <s v="뉴트리셔스밤"/>
    <n v="201210"/>
    <m/>
    <n v="20956"/>
    <n v="19730.074000000001"/>
    <n v="1580"/>
    <n v="19050.909090909088"/>
  </r>
  <r>
    <x v="70"/>
    <s v="목"/>
    <m/>
    <x v="2"/>
    <s v="카페24"/>
    <s v="HAIR RÉ:COVERY 15 Hairpack Treatment [헤어 리커버리 15 헤어팩 트리트먼트]제품선택=헤어 리커버리 15 헤어팩 트리트먼트"/>
    <n v="4"/>
    <s v="트리트먼트"/>
    <n v="201210"/>
    <m/>
    <n v="104000"/>
    <n v="97916"/>
    <n v="6388"/>
    <n v="94545.454545454544"/>
  </r>
  <r>
    <x v="70"/>
    <s v="목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4"/>
    <n v="6320"/>
    <n v="90545.454545454544"/>
  </r>
  <r>
    <x v="70"/>
    <s v="목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70"/>
    <s v="목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06"/>
  </r>
  <r>
    <x v="70"/>
    <s v="목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00000002"/>
    <n v="42280"/>
    <n v="325245.45454545453"/>
  </r>
  <r>
    <x v="70"/>
    <s v="목"/>
    <m/>
    <x v="1"/>
    <s v="카페24"/>
    <s v="HAIR RÉ:COVERY 15 Revital Shampoo [라베나 리커버리 15 리바이탈 샴푸]제품선택=리바이탈 샴푸 3개 세트 10% 추가할인"/>
    <n v="11"/>
    <s v="리바이탈 샴푸 3set"/>
    <n v="201210"/>
    <m/>
    <n v="798930"/>
    <n v="752192.59499999997"/>
    <n v="99660"/>
    <n v="726299.99999999988"/>
  </r>
  <r>
    <x v="71"/>
    <s v="금"/>
    <m/>
    <x v="2"/>
    <s v="카페24"/>
    <s v="(플친전용)HAIR RÉ:COVERY 15 Hairpack Treatment [헤어 리커버리 15 헤어팩 트리트먼트]제품선택=헤어 리커버리 15 헤어팩 트리트먼트"/>
    <n v="2"/>
    <s v="트리트먼트"/>
    <n v="201210"/>
    <m/>
    <n v="44220"/>
    <n v="41633.129999999997"/>
    <n v="3194"/>
    <n v="40200"/>
  </r>
  <r>
    <x v="71"/>
    <s v="금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000000003"/>
    <n v="3177"/>
    <n v="39150.909090909088"/>
  </r>
  <r>
    <x v="71"/>
    <s v="금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000000001"/>
    <n v="3160"/>
    <n v="38101.818181818177"/>
  </r>
  <r>
    <x v="71"/>
    <s v="금"/>
    <m/>
    <x v="3"/>
    <s v="카페24"/>
    <s v="(플친전용)HAIR RÉ:COVERY 15 Nutritious Balm [헤어 리커버리 15 뉴트리셔스 밤]제품선택=뉴트리셔스밤 1개 + 헤어팩 트리트먼트 1개 세트"/>
    <n v="1"/>
    <s v="트리트먼트+뉴트리셔스밤"/>
    <n v="201210"/>
    <m/>
    <n v="43066"/>
    <n v="40546.639000000003"/>
    <n v="3177"/>
    <n v="39150.909090909088"/>
  </r>
  <r>
    <x v="71"/>
    <s v="금"/>
    <m/>
    <x v="2"/>
    <s v="카페24"/>
    <s v="HAIR RÉ:COVERY 15 Hairpack Treatment [헤어 리커버리 15 헤어팩 트리트먼트]제품선택=헤어 리커버리 15 헤어팩 트리트먼트"/>
    <n v="7"/>
    <s v="트리트먼트"/>
    <n v="201210"/>
    <m/>
    <n v="182000"/>
    <n v="171353"/>
    <n v="11179"/>
    <n v="165454.54545454544"/>
  </r>
  <r>
    <x v="71"/>
    <s v="금"/>
    <m/>
    <x v="2"/>
    <s v="카페24"/>
    <s v="HAIR RÉ:COVERY 15 Hairpack Treatment [헤어 리커버리 15 헤어팩 트리트먼트]제품선택=헤어팩 트리트먼트 3개 세트 10% 추가할인"/>
    <n v="2"/>
    <s v="트리트먼트 3set"/>
    <n v="201210"/>
    <m/>
    <n v="140400"/>
    <n v="132186.6"/>
    <n v="9582"/>
    <n v="127636.36363636363"/>
  </r>
  <r>
    <x v="71"/>
    <s v="금"/>
    <m/>
    <x v="3"/>
    <s v="카페24"/>
    <s v="HAIR RÉ:COVERY 15 Nutritious Balm [헤어 리커버리 15 뉴트리셔스 밤]제품선택=헤어 리커버리 15 뉴트리셔스 밤"/>
    <n v="2"/>
    <s v="뉴트리셔스밤"/>
    <n v="201210"/>
    <m/>
    <n v="49800"/>
    <n v="46886.7"/>
    <n v="3160"/>
    <n v="45272.727272727272"/>
  </r>
  <r>
    <x v="71"/>
    <s v="금"/>
    <m/>
    <x v="3"/>
    <s v="카페24"/>
    <s v="HAIR RÉ:COVERY 15 Nutritious Balm [헤어 리커버리 15 뉴트리셔스 밤]제품선택=뉴트리셔스 밤 3개 세트 10% 추가할인"/>
    <n v="2"/>
    <s v="뉴트리셔스밤 3set"/>
    <n v="201210"/>
    <m/>
    <n v="134460"/>
    <n v="126594.09"/>
    <n v="9480"/>
    <n v="122236.36363636363"/>
  </r>
  <r>
    <x v="71"/>
    <s v="금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71"/>
    <s v="금"/>
    <m/>
    <x v="1"/>
    <s v="카페24"/>
    <s v="HAIR RÉ:COVERY 15 Revital Shampoo [라베나 리커버리 15 리바이탈 샴푸]제품선택=헤어 리커버리 15 리바이탈 샴푸 - 500ml"/>
    <n v="21"/>
    <s v="리바이탈 샴푸"/>
    <n v="201210"/>
    <m/>
    <n v="564900"/>
    <n v="531853.35"/>
    <n v="63420"/>
    <n v="513545.45454545453"/>
  </r>
  <r>
    <x v="71"/>
    <s v="금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00000002"/>
    <n v="42280"/>
    <n v="325245.45454545453"/>
  </r>
  <r>
    <x v="71"/>
    <s v="금"/>
    <m/>
    <x v="1"/>
    <s v="카페24"/>
    <s v="HAIR RÉ:COVERY 15 Revital Shampoo [라베나 리커버리 15 리바이탈 샴푸]제품선택=리바이탈 샴푸 3개 세트 10% 추가할인"/>
    <n v="12"/>
    <s v="리바이탈 샴푸 3set"/>
    <n v="201210"/>
    <m/>
    <n v="871560"/>
    <n v="820573.74"/>
    <n v="108720"/>
    <n v="792327.27272727271"/>
  </r>
  <r>
    <x v="72"/>
    <s v="토"/>
    <m/>
    <x v="2"/>
    <s v="카페24"/>
    <s v="HAIR RÉ:COVERY 15 Hairpack Treatment [헤어 리커버리 15 헤어팩 트리트먼트]제품선택=헤어 리커버리 15 헤어팩 트리트먼트"/>
    <n v="7"/>
    <s v="트리트먼트"/>
    <n v="201210"/>
    <m/>
    <n v="182000"/>
    <n v="171353"/>
    <n v="11179"/>
    <n v="165454.54545454544"/>
  </r>
  <r>
    <x v="72"/>
    <s v="토"/>
    <m/>
    <x v="2"/>
    <s v="카페24"/>
    <s v="HAIR RÉ:COVERY 15 Hairpack Treatment [헤어 리커버리 15 헤어팩 트리트먼트]제품선택=헤어팩 트리트먼트 2개 세트 5% 추가할인"/>
    <n v="1"/>
    <s v="트리트먼트 2set"/>
    <n v="201210"/>
    <m/>
    <n v="49400"/>
    <n v="46510.1"/>
    <n v="3194"/>
    <n v="44909.090909090904"/>
  </r>
  <r>
    <x v="72"/>
    <s v="토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72"/>
    <s v="토"/>
    <m/>
    <x v="2"/>
    <s v="카페24"/>
    <s v="HAIR RÉ:COVERY 15 Hairpack Treatment [헤어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72"/>
    <s v="토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4"/>
    <n v="6320"/>
    <n v="90545.454545454544"/>
  </r>
  <r>
    <x v="72"/>
    <s v="토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72"/>
    <s v="토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72"/>
    <s v="토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59"/>
  </r>
  <r>
    <x v="72"/>
    <s v="토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4"/>
  </r>
  <r>
    <x v="73"/>
    <s v="일"/>
    <m/>
    <x v="2"/>
    <s v="카페24"/>
    <s v="HAIR RÉ:COVERY 15 Hairpack Treatment [헤어 리커버리 15 헤어팩 트리트먼트]제품선택=헤어 리커버리 15 헤어팩 트리트먼트"/>
    <n v="3"/>
    <s v="트리트먼트"/>
    <n v="201210"/>
    <m/>
    <n v="78000"/>
    <n v="73437"/>
    <n v="4791"/>
    <n v="70909.090909090897"/>
  </r>
  <r>
    <x v="73"/>
    <s v="일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73"/>
    <s v="일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4"/>
    <n v="6320"/>
    <n v="90545.454545454544"/>
  </r>
  <r>
    <x v="73"/>
    <s v="일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73"/>
    <s v="일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06"/>
  </r>
  <r>
    <x v="73"/>
    <s v="일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00000001"/>
    <n v="18120"/>
    <n v="139390.90909090909"/>
  </r>
  <r>
    <x v="73"/>
    <s v="일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4"/>
  </r>
  <r>
    <x v="74"/>
    <s v="월"/>
    <m/>
    <x v="3"/>
    <s v="라베나 CS"/>
    <s v="헤어 리커버리 15 뉴트리셔스 밤"/>
    <n v="5"/>
    <s v="뉴트리셔스밤"/>
    <n v="201210"/>
    <m/>
    <n v="0"/>
    <n v="0"/>
    <n v="7899.9999999999991"/>
    <n v="0"/>
  </r>
  <r>
    <x v="74"/>
    <s v="월"/>
    <m/>
    <x v="2"/>
    <s v="카페24"/>
    <s v="HAIR RÉ:COVERY 15 Hairpack Treatment [라베나 리커버리 15 헤어팩 트리트먼트]제품선택=헤어 리커버리 15 헤어팩 트리트먼트"/>
    <n v="2"/>
    <s v="트리트먼트"/>
    <n v="201210"/>
    <m/>
    <n v="52000"/>
    <n v="48958"/>
    <n v="3194"/>
    <n v="47272.727272727272"/>
  </r>
  <r>
    <x v="74"/>
    <s v="월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04"/>
  </r>
  <r>
    <x v="74"/>
    <s v="월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74"/>
    <s v="월"/>
    <m/>
    <x v="3"/>
    <s v="카페24"/>
    <s v="HAIR RÉ:COVERY 15 Nutritious Balm [라베나 리커버리 15 뉴트리셔스 밤]제품선택=헤어 리커버리 15 뉴트리셔스 밤"/>
    <n v="2"/>
    <s v="뉴트리셔스밤"/>
    <n v="201210"/>
    <m/>
    <n v="49800"/>
    <n v="46886.7"/>
    <n v="3160"/>
    <n v="45272.727272727272"/>
  </r>
  <r>
    <x v="74"/>
    <s v="월"/>
    <m/>
    <x v="2"/>
    <s v="카페24"/>
    <s v="HAIR RÉ:COVERY 15 Hairpack Treatment [헤어 리커버리 15 헤어팩 트리트먼트]제품선택=헤어 리커버리 15 헤어팩 트리트먼트"/>
    <n v="1"/>
    <s v="트리트먼트"/>
    <n v="201210"/>
    <m/>
    <n v="26000"/>
    <n v="24479"/>
    <n v="1597"/>
    <n v="23636.363636363636"/>
  </r>
  <r>
    <x v="74"/>
    <s v="월"/>
    <m/>
    <x v="2"/>
    <s v="카페24"/>
    <s v="HAIR RÉ:COVERY 15 Hairpack Treatment [헤어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74"/>
    <s v="월"/>
    <m/>
    <x v="2"/>
    <s v="카페24"/>
    <s v="HAIR RÉ:COVERY 15 Hairpack Treatment [헤어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74"/>
    <s v="월"/>
    <m/>
    <x v="3"/>
    <s v="카페24"/>
    <s v="HAIR RÉ:COVERY 15 Nutritious Balm [헤어 리커버리 15 뉴트리셔스 밤]제품선택=헤어 리커버리 15 뉴트리셔스 밤"/>
    <n v="3"/>
    <s v="뉴트리셔스밤"/>
    <n v="201210"/>
    <m/>
    <n v="74700"/>
    <n v="70330.05"/>
    <n v="4740"/>
    <n v="67909.090909090897"/>
  </r>
  <r>
    <x v="74"/>
    <s v="월"/>
    <m/>
    <x v="3"/>
    <s v="카페24"/>
    <s v="HAIR RÉ:COVERY 15 Nutritious Balm [헤어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74"/>
    <s v="월"/>
    <m/>
    <x v="3"/>
    <s v="카페24"/>
    <s v="HAIR RÉ:COVERY 15 Nutritious Balm [헤어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74"/>
    <s v="월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000000005"/>
    <n v="69460"/>
    <n v="562454.54545454541"/>
  </r>
  <r>
    <x v="74"/>
    <s v="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74"/>
    <s v="월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88"/>
  </r>
  <r>
    <x v="75"/>
    <s v="화"/>
    <m/>
    <x v="2"/>
    <s v="카페24"/>
    <s v="HAIR RÉ:COVERY 15 Hairpack Treatment [라베나 리커버리 15 헤어팩 트리트먼트]제품선택=헤어 리커버리 15 헤어팩 트리트먼트"/>
    <n v="5"/>
    <s v="트리트먼트"/>
    <n v="201210"/>
    <m/>
    <n v="130000"/>
    <n v="122395"/>
    <n v="7985"/>
    <n v="118181.81818181818"/>
  </r>
  <r>
    <x v="75"/>
    <s v="화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75"/>
    <s v="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75"/>
    <s v="화"/>
    <m/>
    <x v="3"/>
    <s v="카페24"/>
    <s v="HAIR RÉ:COVERY 15 Nutritious Balm [라베나 리커버리 15 뉴트리셔스 밤]제품선택=헤어 리커버리 15 뉴트리셔스 밤"/>
    <n v="2"/>
    <s v="뉴트리셔스밤"/>
    <n v="201210"/>
    <m/>
    <n v="49800"/>
    <n v="46886.7"/>
    <n v="3160"/>
    <n v="45272.727272727272"/>
  </r>
  <r>
    <x v="75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75"/>
    <s v="화"/>
    <m/>
    <x v="1"/>
    <s v="카페24"/>
    <s v="HAIR RÉ:COVERY 15 Revital Shampoo [라베나 리커버리 15 리바이탈 샴푸]제품선택=헤어 리커버리 15 리바이탈 샴푸 - 500ml"/>
    <n v="14"/>
    <s v="리바이탈 샴푸"/>
    <n v="201210"/>
    <m/>
    <n v="376600"/>
    <n v="354568.9"/>
    <n v="42280"/>
    <n v="342363.63636363635"/>
  </r>
  <r>
    <x v="75"/>
    <s v="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75"/>
    <s v="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76"/>
    <s v="수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4"/>
  </r>
  <r>
    <x v="76"/>
    <s v="수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76"/>
    <s v="수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2"/>
  </r>
  <r>
    <x v="76"/>
    <s v="수"/>
    <m/>
    <x v="3"/>
    <s v="카페24"/>
    <s v="HAIR RÉ:COVERY 15 Nutritious Balm [라베나 리커버리 15 뉴트리셔스 밤]제품선택=헤어 리커버리 15 뉴트리셔스 밤"/>
    <n v="1"/>
    <s v="뉴트리셔스밤"/>
    <n v="201210"/>
    <m/>
    <n v="24900"/>
    <n v="23443.35"/>
    <n v="1580"/>
    <n v="22636.363636363636"/>
  </r>
  <r>
    <x v="76"/>
    <s v="수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06"/>
  </r>
  <r>
    <x v="76"/>
    <s v="수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00000002"/>
    <n v="42280"/>
    <n v="325245.45454545453"/>
  </r>
  <r>
    <x v="76"/>
    <s v="수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4"/>
  </r>
  <r>
    <x v="76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77"/>
    <s v="목"/>
    <m/>
    <x v="2"/>
    <s v="카페24"/>
    <s v="HAIR RÉ:COVERY 15 Hairpack Treatment [라베나 리커버리 15 헤어팩 트리트먼트]제품선택=헤어 리커버리 15 헤어팩 트리트먼트"/>
    <n v="45"/>
    <s v="트리트먼트"/>
    <n v="201210"/>
    <m/>
    <n v="1170000"/>
    <n v="1101555"/>
    <n v="71865"/>
    <n v="1063636.3636363635"/>
  </r>
  <r>
    <x v="77"/>
    <s v="목"/>
    <m/>
    <x v="2"/>
    <s v="카페24"/>
    <s v="HAIR RÉ:COVERY 15 Hairpack Treatment [라베나 리커버리 15 헤어팩 트리트먼트]제품선택=헤어팩 트리트먼트 2개 세트 5% 추가할인"/>
    <n v="8"/>
    <s v="트리트먼트 2set"/>
    <n v="201210"/>
    <m/>
    <n v="395200"/>
    <n v="372080.8"/>
    <n v="25552"/>
    <n v="359272.72727272724"/>
  </r>
  <r>
    <x v="77"/>
    <s v="목"/>
    <m/>
    <x v="2"/>
    <s v="카페24"/>
    <s v="HAIR RÉ:COVERY 15 Hairpack Treatment [라베나 리커버리 15 헤어팩 트리트먼트]제품선택=헤어팩 트리트먼트 3개 세트 10% 추가할인"/>
    <n v="5"/>
    <s v="트리트먼트 3set"/>
    <n v="201210"/>
    <m/>
    <n v="351000"/>
    <n v="330466.5"/>
    <n v="23955"/>
    <n v="319090.90909090906"/>
  </r>
  <r>
    <x v="77"/>
    <s v="목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77"/>
    <s v="목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000000001"/>
    <n v="11060"/>
    <n v="158454.54545454544"/>
  </r>
  <r>
    <x v="77"/>
    <s v="목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77"/>
    <s v="목"/>
    <m/>
    <x v="3"/>
    <s v="카페24"/>
    <s v="HAIR RÉ:COVERY 15 Nutritious Balm [라베나 리커버리 15 뉴트리셔스 밤]제품선택=뉴트리셔스밤 1개 + 헤어팩 트리트먼트 1개 세트 5%추가할인"/>
    <n v="6"/>
    <s v="트리트먼트+뉴트리셔스밤"/>
    <n v="201210"/>
    <m/>
    <n v="290130"/>
    <n v="273157.39500000002"/>
    <n v="19062"/>
    <n v="263754.54545454541"/>
  </r>
  <r>
    <x v="77"/>
    <s v="목"/>
    <m/>
    <x v="1"/>
    <s v="카페24"/>
    <s v="HAIR RÉ:COVERY 15 Revital Shampoo [라베나 리커버리 15 리바이탈 샴푸]제품선택=헤어 리커버리 15 리바이탈 샴푸 - 500ml"/>
    <n v="24"/>
    <s v="리바이탈 샴푸"/>
    <n v="201210"/>
    <m/>
    <n v="645600"/>
    <n v="607832.4"/>
    <n v="72480"/>
    <n v="586909.09090909082"/>
  </r>
  <r>
    <x v="77"/>
    <s v="목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77"/>
    <s v="목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78"/>
    <s v="일"/>
    <m/>
    <x v="2"/>
    <s v="카페24"/>
    <s v="HAIR RÉ:COVERY 15 Hairpack Treatment [라베나 리커버리 15 헤어팩 트리트먼트]제품선택=헤어 리커버리 15 헤어팩 트리트먼트"/>
    <n v="81"/>
    <s v="트리트먼트"/>
    <n v="201210"/>
    <m/>
    <n v="2106000"/>
    <n v="1982799"/>
    <n v="129357"/>
    <n v="1914545.4545454544"/>
  </r>
  <r>
    <x v="78"/>
    <s v="일"/>
    <m/>
    <x v="2"/>
    <s v="카페24"/>
    <s v="HAIR RÉ:COVERY 15 Hairpack Treatment [라베나 리커버리 15 헤어팩 트리트먼트]제품선택=헤어팩 트리트먼트 2개 세트 5% 추가할인"/>
    <n v="14"/>
    <s v="트리트먼트 2set"/>
    <n v="201210"/>
    <m/>
    <n v="691600"/>
    <n v="651141.4"/>
    <n v="44716"/>
    <n v="628727.27272727271"/>
  </r>
  <r>
    <x v="78"/>
    <s v="일"/>
    <m/>
    <x v="2"/>
    <s v="카페24"/>
    <s v="HAIR RÉ:COVERY 15 Hairpack Treatment [라베나 리커버리 15 헤어팩 트리트먼트]제품선택=헤어팩 트리트먼트 3개 세트 10% 추가할인"/>
    <n v="10"/>
    <s v="트리트먼트 3set"/>
    <n v="201210"/>
    <m/>
    <n v="702000"/>
    <n v="660933"/>
    <n v="47910"/>
    <n v="638181.81818181812"/>
  </r>
  <r>
    <x v="78"/>
    <s v="일"/>
    <m/>
    <x v="2"/>
    <s v="카페24"/>
    <s v="HAIR RÉ:COVERY 15 Hairpack Treatment [라베나 리커버리 15 헤어팩 트리트먼트]제품선택=헤어팩 트리트먼트 1개 + 뉴트리셔스밤 1개 세트 5% 추가할인"/>
    <n v="10"/>
    <s v="트리트먼트+뉴트리셔스밤"/>
    <n v="201210"/>
    <m/>
    <n v="483550"/>
    <n v="455262.32500000001"/>
    <n v="31770"/>
    <n v="439590.90909090906"/>
  </r>
  <r>
    <x v="78"/>
    <s v="일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1"/>
  </r>
  <r>
    <x v="78"/>
    <s v="일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78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78"/>
    <s v="일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2"/>
  </r>
  <r>
    <x v="78"/>
    <s v="일"/>
    <m/>
    <x v="1"/>
    <s v="카페24"/>
    <s v="HAIR RÉ:COVERY 15 Revital Shampoo [라베나 리커버리 15 리바이탈 샴푸]제품선택=헤어 리커버리 15 리바이탈 샴푸 - 500ml"/>
    <n v="41"/>
    <s v="리바이탈 샴푸"/>
    <n v="201210"/>
    <m/>
    <n v="1102900"/>
    <n v="1038380.35"/>
    <n v="123820"/>
    <n v="1002636.3636363635"/>
  </r>
  <r>
    <x v="78"/>
    <s v="일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78"/>
    <s v="일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88"/>
  </r>
  <r>
    <x v="79"/>
    <s v="토"/>
    <m/>
    <x v="2"/>
    <s v="카페24"/>
    <s v="HAIR RÉ:COVERY 15 Hairpack Treatment [라베나 리커버리 15 헤어팩 트리트먼트]제품선택=헤어 리커버리 15 헤어팩 트리트먼트"/>
    <n v="34"/>
    <s v="트리트먼트"/>
    <n v="201210"/>
    <m/>
    <n v="884000"/>
    <n v="832286"/>
    <n v="54298"/>
    <n v="803636.36363636353"/>
  </r>
  <r>
    <x v="79"/>
    <s v="토"/>
    <m/>
    <x v="2"/>
    <s v="카페24"/>
    <s v="HAIR RÉ:COVERY 15 Hairpack Treatment [라베나 리커버리 15 헤어팩 트리트먼트]제품선택=헤어팩 트리트먼트 2개 세트 5% 추가할인"/>
    <n v="15"/>
    <s v="트리트먼트 2set"/>
    <n v="201210"/>
    <m/>
    <n v="741000"/>
    <n v="697651.5"/>
    <n v="47910"/>
    <n v="673636.36363636353"/>
  </r>
  <r>
    <x v="79"/>
    <s v="토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26"/>
  </r>
  <r>
    <x v="79"/>
    <s v="토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0000001"/>
    <n v="15885"/>
    <n v="219795.45454545453"/>
  </r>
  <r>
    <x v="79"/>
    <s v="토"/>
    <m/>
    <x v="3"/>
    <s v="카페24"/>
    <s v="HAIR RÉ:COVERY 15 Nutritious Balm [라베나 리커버리 15 뉴트리셔스 밤]제품선택=헤어 리커버리 15 뉴트리셔스 밤"/>
    <n v="8"/>
    <s v="뉴트리셔스밤"/>
    <n v="201210"/>
    <m/>
    <n v="199200"/>
    <n v="187546.8"/>
    <n v="12640"/>
    <n v="181090.90909090909"/>
  </r>
  <r>
    <x v="79"/>
    <s v="토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2"/>
  </r>
  <r>
    <x v="79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79"/>
    <s v="토"/>
    <m/>
    <x v="1"/>
    <s v="카페24"/>
    <s v="HAIR RÉ:COVERY 15 Revital Shampoo [라베나 리커버리 15 리바이탈 샴푸]제품선택=헤어 리커버리 15 리바이탈 샴푸 - 500ml"/>
    <n v="21"/>
    <s v="리바이탈 샴푸"/>
    <n v="201210"/>
    <m/>
    <n v="564900"/>
    <n v="531853.35"/>
    <n v="63420"/>
    <n v="513545.45454545453"/>
  </r>
  <r>
    <x v="79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79"/>
    <s v="토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80"/>
    <s v="금"/>
    <m/>
    <x v="2"/>
    <s v="카페24"/>
    <s v="HAIR RÉ:COVERY 15 Hairpack Treatment [라베나 리커버리 15 헤어팩 트리트먼트]제품선택=헤어 리커버리 15 헤어팩 트리트먼트"/>
    <n v="73"/>
    <s v="트리트먼트"/>
    <n v="201210"/>
    <m/>
    <n v="1898000"/>
    <n v="1786967"/>
    <n v="116581"/>
    <n v="1725454.5454545454"/>
  </r>
  <r>
    <x v="80"/>
    <s v="금"/>
    <m/>
    <x v="2"/>
    <s v="카페24"/>
    <s v="HAIR RÉ:COVERY 15 Hairpack Treatment [라베나 리커버리 15 헤어팩 트리트먼트]제품선택=헤어팩 트리트먼트 2개 세트 5% 추가할인"/>
    <n v="13"/>
    <s v="트리트먼트 2set"/>
    <n v="201210"/>
    <m/>
    <n v="642200"/>
    <n v="604631.30000000005"/>
    <n v="41522"/>
    <n v="583818.18181818177"/>
  </r>
  <r>
    <x v="80"/>
    <s v="금"/>
    <m/>
    <x v="2"/>
    <s v="카페24"/>
    <s v="HAIR RÉ:COVERY 15 Hairpack Treatment [라베나 리커버리 15 헤어팩 트리트먼트]제품선택=헤어팩 트리트먼트 3개 세트 10% 추가할인"/>
    <n v="11"/>
    <s v="트리트먼트 3set"/>
    <n v="201210"/>
    <m/>
    <n v="772200"/>
    <n v="727026.3"/>
    <n v="52701"/>
    <n v="702000"/>
  </r>
  <r>
    <x v="80"/>
    <s v="금"/>
    <m/>
    <x v="2"/>
    <s v="카페24"/>
    <s v="HAIR RÉ:COVERY 15 Hairpack Treatment [라베나 리커버리 15 헤어팩 트리트먼트]제품선택=헤어팩 트리트먼트 1개 + 뉴트리셔스밤 1개 세트 5% 추가할인"/>
    <n v="12"/>
    <s v="트리트먼트+뉴트리셔스밤"/>
    <n v="201210"/>
    <m/>
    <n v="580260"/>
    <n v="546314.79"/>
    <n v="38124"/>
    <n v="527509.09090909082"/>
  </r>
  <r>
    <x v="80"/>
    <s v="금"/>
    <m/>
    <x v="3"/>
    <s v="카페24"/>
    <s v="HAIR RÉ:COVERY 15 Nutritious Balm [라베나 리커버리 15 뉴트리셔스 밤]제품선택=헤어 리커버리 15 뉴트리셔스 밤"/>
    <n v="13"/>
    <s v="뉴트리셔스밤"/>
    <n v="201210"/>
    <m/>
    <n v="323700"/>
    <n v="304763.55"/>
    <n v="20540"/>
    <n v="294272.72727272724"/>
  </r>
  <r>
    <x v="80"/>
    <s v="금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80"/>
    <s v="금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2"/>
  </r>
  <r>
    <x v="80"/>
    <s v="금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000000005"/>
    <n v="69460"/>
    <n v="562454.54545454541"/>
  </r>
  <r>
    <x v="80"/>
    <s v="금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81"/>
    <s v="월"/>
    <m/>
    <x v="2"/>
    <s v="카페24"/>
    <s v="HAIR RÉ:COVERY 15 Hairpack Treatment [라베나 리커버리 15 헤어팩 트리트먼트]제품선택=헤어 리커버리 15 헤어팩 트리트먼트"/>
    <n v="50"/>
    <s v="트리트먼트"/>
    <n v="201210"/>
    <m/>
    <n v="1300000"/>
    <n v="1223950"/>
    <n v="79850"/>
    <n v="1181818.1818181816"/>
  </r>
  <r>
    <x v="81"/>
    <s v="월"/>
    <m/>
    <x v="2"/>
    <s v="카페24"/>
    <s v="HAIR RÉ:COVERY 15 Hairpack Treatment [라베나 리커버리 15 헤어팩 트리트먼트]제품선택=헤어팩 트리트먼트 2개 세트 5% 추가할인"/>
    <n v="13"/>
    <s v="트리트먼트 2set"/>
    <n v="201210"/>
    <m/>
    <n v="642200"/>
    <n v="604631.30000000005"/>
    <n v="41522"/>
    <n v="583818.18181818177"/>
  </r>
  <r>
    <x v="81"/>
    <s v="월"/>
    <m/>
    <x v="2"/>
    <s v="카페24"/>
    <s v="HAIR RÉ:COVERY 15 Hairpack Treatment [라베나 리커버리 15 헤어팩 트리트먼트]제품선택=헤어팩 트리트먼트 3개 세트 10% 추가할인"/>
    <n v="13"/>
    <s v="트리트먼트 3set"/>
    <n v="201210"/>
    <m/>
    <n v="912600"/>
    <n v="859212.9"/>
    <n v="62283"/>
    <n v="829636.36363636353"/>
  </r>
  <r>
    <x v="81"/>
    <s v="월"/>
    <m/>
    <x v="2"/>
    <s v="카페24"/>
    <s v="HAIR RÉ:COVERY 15 Hairpack Treatment [라베나 리커버리 15 헤어팩 트리트먼트]제품선택=헤어팩 트리트먼트 1개 + 뉴트리셔스밤 1개 세트 5% 추가할인"/>
    <n v="9"/>
    <s v="트리트먼트+뉴트리셔스밤"/>
    <n v="201210"/>
    <m/>
    <n v="435195"/>
    <n v="409736.09250000003"/>
    <n v="28593"/>
    <n v="395631.81818181818"/>
  </r>
  <r>
    <x v="81"/>
    <s v="월"/>
    <m/>
    <x v="3"/>
    <s v="카페24"/>
    <s v="HAIR RÉ:COVERY 15 Nutritious Balm [라베나 리커버리 15 뉴트리셔스 밤]제품선택=헤어 리커버리 15 뉴트리셔스 밤"/>
    <n v="10"/>
    <s v="뉴트리셔스밤"/>
    <n v="201210"/>
    <m/>
    <n v="249000"/>
    <n v="234433.5"/>
    <n v="15800"/>
    <n v="226363.63636363635"/>
  </r>
  <r>
    <x v="81"/>
    <s v="월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81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1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81"/>
    <s v="월"/>
    <m/>
    <x v="1"/>
    <s v="카페24"/>
    <s v="HAIR RÉ:COVERY 15 Revital Shampoo [라베나 리커버리 15 리바이탈 샴푸]제품선택=헤어 리커버리 15 리바이탈 샴푸 - 500ml"/>
    <n v="28"/>
    <s v="리바이탈 샴푸"/>
    <n v="201210"/>
    <m/>
    <n v="753200"/>
    <n v="709137.8"/>
    <n v="84560"/>
    <n v="684727.27272727271"/>
  </r>
  <r>
    <x v="81"/>
    <s v="월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59"/>
  </r>
  <r>
    <x v="81"/>
    <s v="월"/>
    <m/>
    <x v="1"/>
    <s v="카페24"/>
    <s v="HAIR RÉ:COVERY 15 Revital Shampoo [라베나 리커버리 15 리바이탈 샴푸]제품선택=리바이탈 샴푸 3개 세트 10% 추가할인"/>
    <n v="6"/>
    <s v="리바이탈 샴푸 3set"/>
    <n v="201210"/>
    <m/>
    <n v="435780"/>
    <n v="410286.87"/>
    <n v="54360"/>
    <n v="396163.63636363635"/>
  </r>
  <r>
    <x v="82"/>
    <s v="화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59"/>
  </r>
  <r>
    <x v="82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82"/>
    <s v="화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3"/>
  </r>
  <r>
    <x v="82"/>
    <s v="화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2"/>
  </r>
  <r>
    <x v="82"/>
    <s v="화"/>
    <m/>
    <x v="3"/>
    <s v="카페24"/>
    <s v="HAIR RÉ:COVERY 15 Nutritious Balm [라베나 리커버리 15 뉴트리셔스 밤]제품선택=헤어 리커버리 15 뉴트리셔스 밤"/>
    <n v="6"/>
    <s v="뉴트리셔스밤"/>
    <n v="201210"/>
    <m/>
    <n v="149400"/>
    <n v="140660.1"/>
    <n v="9480"/>
    <n v="135818.18181818179"/>
  </r>
  <r>
    <x v="82"/>
    <s v="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82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2"/>
    <s v="화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0000001"/>
    <n v="15885"/>
    <n v="219795.45454545453"/>
  </r>
  <r>
    <x v="82"/>
    <s v="화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06"/>
  </r>
  <r>
    <x v="82"/>
    <s v="화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00000002"/>
    <n v="42280"/>
    <n v="325245.45454545453"/>
  </r>
  <r>
    <x v="82"/>
    <s v="화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18"/>
  </r>
  <r>
    <x v="83"/>
    <s v="수"/>
    <m/>
    <x v="2"/>
    <s v="카페24"/>
    <s v="HAIR RÉ:COVERY 15 Hairpack Treatment [라베나 리커버리 15 헤어팩 트리트먼트]제품선택=헤어 리커버리 15 헤어팩 트리트먼트"/>
    <n v="26"/>
    <s v="트리트먼트"/>
    <n v="201210"/>
    <m/>
    <n v="676000"/>
    <n v="636454"/>
    <n v="41522"/>
    <n v="614545.45454545447"/>
  </r>
  <r>
    <x v="83"/>
    <s v="수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83"/>
    <s v="수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0000001"/>
    <n v="15885"/>
    <n v="219795.45454545453"/>
  </r>
  <r>
    <x v="83"/>
    <s v="수"/>
    <m/>
    <x v="3"/>
    <s v="카페24"/>
    <s v="HAIR RÉ:COVERY 15 Nutritious Balm [라베나 리커버리 15 뉴트리셔스 밤]제품선택=헤어 리커버리 15 뉴트리셔스 밤"/>
    <n v="29"/>
    <s v="뉴트리셔스밤"/>
    <n v="201210"/>
    <m/>
    <n v="722100"/>
    <n v="679857.15"/>
    <n v="45820"/>
    <n v="656454.54545454541"/>
  </r>
  <r>
    <x v="83"/>
    <s v="수"/>
    <m/>
    <x v="3"/>
    <s v="카페24"/>
    <s v="HAIR RÉ:COVERY 15 Nutritious Balm [라베나 리커버리 15 뉴트리셔스 밤]제품선택=뉴트리셔스 밤 2개 세트 5% 추가할인"/>
    <n v="9"/>
    <s v="뉴트리셔스밤 2set"/>
    <n v="201210"/>
    <m/>
    <n v="425790"/>
    <n v="400881.28499999997"/>
    <n v="28440"/>
    <n v="387081.81818181818"/>
  </r>
  <r>
    <x v="83"/>
    <s v="수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3"/>
    <s v="수"/>
    <m/>
    <x v="3"/>
    <s v="카페24"/>
    <s v="HAIR RÉ:COVERY 15 Nutritious Balm [라베나 리커버리 15 뉴트리셔스 밤]제품선택=뉴트리셔스밤 1개 + 헤어팩 트리트먼트 1개 세트 5%추가할인"/>
    <n v="6"/>
    <s v="트리트먼트+뉴트리셔스밤"/>
    <n v="201210"/>
    <m/>
    <n v="290130"/>
    <n v="273157.39500000002"/>
    <n v="19062"/>
    <n v="263754.54545454541"/>
  </r>
  <r>
    <x v="83"/>
    <s v="수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06"/>
  </r>
  <r>
    <x v="83"/>
    <s v="수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83"/>
    <s v="수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84"/>
    <s v="목"/>
    <m/>
    <x v="1"/>
    <s v="라베나 CS"/>
    <s v="헤어 리커버리 15 리바이탈 샴푸"/>
    <n v="30"/>
    <s v="리바이탈 샴푸"/>
    <n v="201210"/>
    <m/>
    <n v="0"/>
    <n v="0"/>
    <n v="90600"/>
    <n v="0"/>
  </r>
  <r>
    <x v="84"/>
    <s v="목"/>
    <m/>
    <x v="2"/>
    <s v="카페24"/>
    <s v="HAIR RÉ:COVERY 15 Hairpack Treatment [라베나 리커버리 15 헤어팩 트리트먼트]제품선택=헤어 리커버리 15 헤어팩 트리트먼트"/>
    <n v="18"/>
    <s v="트리트먼트"/>
    <n v="201210"/>
    <m/>
    <n v="468000"/>
    <n v="440622"/>
    <n v="28746"/>
    <n v="425454.54545454541"/>
  </r>
  <r>
    <x v="84"/>
    <s v="목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84"/>
    <s v="목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3"/>
  </r>
  <r>
    <x v="84"/>
    <s v="목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0000001"/>
    <n v="15885"/>
    <n v="219795.45454545453"/>
  </r>
  <r>
    <x v="84"/>
    <s v="목"/>
    <m/>
    <x v="3"/>
    <s v="카페24"/>
    <s v="HAIR RÉ:COVERY 15 Nutritious Balm [라베나 리커버리 15 뉴트리셔스 밤]제품선택=헤어 리커버리 15 뉴트리셔스 밤"/>
    <n v="5"/>
    <s v="뉴트리셔스밤"/>
    <n v="201210"/>
    <m/>
    <n v="124500"/>
    <n v="117216.75"/>
    <n v="7900"/>
    <n v="113181.81818181818"/>
  </r>
  <r>
    <x v="84"/>
    <s v="목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84"/>
    <s v="목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3"/>
  </r>
  <r>
    <x v="84"/>
    <s v="목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2"/>
  </r>
  <r>
    <x v="84"/>
    <s v="목"/>
    <m/>
    <x v="1"/>
    <s v="카페24"/>
    <s v="HAIR RÉ:COVERY 15 Revital Shampoo [라베나 리커버리 15 리바이탈 샴푸]제품선택=헤어 리커버리 15 리바이탈 샴푸 - 500ml"/>
    <n v="13"/>
    <s v="리바이탈 샴푸"/>
    <n v="201210"/>
    <m/>
    <n v="349700"/>
    <n v="329242.55"/>
    <n v="39260"/>
    <n v="317909.09090909088"/>
  </r>
  <r>
    <x v="84"/>
    <s v="목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84"/>
    <s v="목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88"/>
  </r>
  <r>
    <x v="85"/>
    <s v="금"/>
    <m/>
    <x v="2"/>
    <s v="카페24"/>
    <s v="HAIR RÉ:COVERY 15 Hairpack Treatment [라베나 리커버리 15 헤어팩 트리트먼트]제품선택=헤어 리커버리 15 헤어팩 트리트먼트"/>
    <n v="11"/>
    <s v="트리트먼트"/>
    <n v="201210"/>
    <m/>
    <n v="286000"/>
    <n v="269269"/>
    <n v="17567"/>
    <n v="259999.99999999997"/>
  </r>
  <r>
    <x v="85"/>
    <s v="금"/>
    <m/>
    <x v="2"/>
    <s v="카페24"/>
    <s v="HAIR RÉ:COVERY 15 Hairpack Treatment [라베나 리커버리 15 헤어팩 트리트먼트]제품선택=헤어팩 트리트먼트 2개 세트 5% 추가할인"/>
    <n v="6"/>
    <s v="트리트먼트 2set"/>
    <n v="201210"/>
    <m/>
    <n v="296400"/>
    <n v="279060.59999999998"/>
    <n v="19164"/>
    <n v="269454.54545454541"/>
  </r>
  <r>
    <x v="85"/>
    <s v="금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85"/>
    <s v="금"/>
    <m/>
    <x v="3"/>
    <s v="카페24"/>
    <s v="HAIR RÉ:COVERY 15 Nutritious Balm [라베나 리커버리 15 뉴트리셔스 밤]제품선택=헤어 리커버리 15 뉴트리셔스 밤"/>
    <n v="20"/>
    <s v="뉴트리셔스밤"/>
    <n v="201210"/>
    <m/>
    <n v="498000"/>
    <n v="468867"/>
    <n v="31600"/>
    <n v="452727.27272727271"/>
  </r>
  <r>
    <x v="85"/>
    <s v="금"/>
    <m/>
    <x v="3"/>
    <s v="카페24"/>
    <s v="HAIR RÉ:COVERY 15 Nutritious Balm [라베나 리커버리 15 뉴트리셔스 밤]제품선택=뉴트리셔스 밤 2개 세트 5% 추가할인"/>
    <n v="5"/>
    <s v="뉴트리셔스밤 2set"/>
    <n v="201210"/>
    <m/>
    <n v="236550"/>
    <n v="222711.82500000001"/>
    <n v="15800"/>
    <n v="215045.45454545453"/>
  </r>
  <r>
    <x v="85"/>
    <s v="금"/>
    <m/>
    <x v="3"/>
    <s v="카페24"/>
    <s v="HAIR RÉ:COVERY 15 Nutritious Balm [라베나 리커버리 15 뉴트리셔스 밤]제품선택=뉴트리셔스 밤 3개 세트 10% 추가할인"/>
    <n v="3"/>
    <s v="뉴트리셔스밤 3set"/>
    <n v="201210"/>
    <m/>
    <n v="201690"/>
    <n v="189891.13500000001"/>
    <n v="14220"/>
    <n v="183354.54545454544"/>
  </r>
  <r>
    <x v="85"/>
    <s v="금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0000001"/>
    <n v="15885"/>
    <n v="219795.45454545453"/>
  </r>
  <r>
    <x v="85"/>
    <s v="금"/>
    <m/>
    <x v="1"/>
    <s v="카페24"/>
    <s v="HAIR RÉ:COVERY 15 Revital Shampoo [라베나 리커버리 15 리바이탈 샴푸]제품선택=헤어 리커버리 15 리바이탈 샴푸 - 500ml"/>
    <n v="13"/>
    <s v="리바이탈 샴푸"/>
    <n v="201210"/>
    <m/>
    <n v="349700"/>
    <n v="329242.55"/>
    <n v="39260"/>
    <n v="317909.09090909088"/>
  </r>
  <r>
    <x v="85"/>
    <s v="금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00000001"/>
    <n v="18120"/>
    <n v="139390.90909090909"/>
  </r>
  <r>
    <x v="85"/>
    <s v="금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4"/>
  </r>
  <r>
    <x v="86"/>
    <s v="토"/>
    <m/>
    <x v="2"/>
    <s v="카페24"/>
    <s v="HAIR RÉ:COVERY 15 Hairpack Treatment [라베나 리커버리 15 헤어팩 트리트먼트]제품선택=헤어 리커버리 15 헤어팩 트리트먼트"/>
    <n v="7"/>
    <s v="트리트먼트"/>
    <n v="201210"/>
    <m/>
    <n v="182000"/>
    <n v="171353"/>
    <n v="11179"/>
    <n v="165454.54545454544"/>
  </r>
  <r>
    <x v="86"/>
    <s v="토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09"/>
  </r>
  <r>
    <x v="86"/>
    <s v="토"/>
    <m/>
    <x v="3"/>
    <s v="카페24"/>
    <s v="HAIR RÉ:COVERY 15 Nutritious Balm [라베나 리커버리 15 뉴트리셔스 밤]제품선택=헤어 리커버리 15 뉴트리셔스 밤"/>
    <n v="10"/>
    <s v="뉴트리셔스밤"/>
    <n v="201210"/>
    <m/>
    <n v="249000"/>
    <n v="234433.5"/>
    <n v="15800"/>
    <n v="226363.63636363635"/>
  </r>
  <r>
    <x v="86"/>
    <s v="토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86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86"/>
    <s v="토"/>
    <m/>
    <x v="1"/>
    <s v="카페24"/>
    <s v="HAIR RÉ:COVERY 15 Revital Shampoo [라베나 리커버리 15 리바이탈 샴푸]제품선택=헤어 리커버리 15 리바이탈 샴푸 - 500ml"/>
    <n v="7"/>
    <s v="리바이탈 샴푸"/>
    <n v="201210"/>
    <m/>
    <n v="188300"/>
    <n v="177284.45"/>
    <n v="21140"/>
    <n v="171181.81818181818"/>
  </r>
  <r>
    <x v="86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86"/>
    <s v="토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4"/>
  </r>
  <r>
    <x v="87"/>
    <s v="일"/>
    <m/>
    <x v="2"/>
    <s v="카페24"/>
    <s v="HAIR RÉ:COVERY 15 Hairpack Treatment [라베나 리커버리 15 헤어팩 트리트먼트]제품선택=헤어 리커버리 15 헤어팩 트리트먼트"/>
    <n v="16"/>
    <s v="트리트먼트"/>
    <n v="201210"/>
    <m/>
    <n v="416000"/>
    <n v="391664"/>
    <n v="25552"/>
    <n v="378181.81818181818"/>
  </r>
  <r>
    <x v="87"/>
    <s v="일"/>
    <m/>
    <x v="2"/>
    <s v="카페24"/>
    <s v="HAIR RÉ:COVERY 15 Hairpack Treatment [라베나 리커버리 15 헤어팩 트리트먼트]제품선택=헤어팩 트리트먼트 2개 세트 5% 추가할인"/>
    <n v="7"/>
    <s v="트리트먼트 2set"/>
    <n v="201210"/>
    <m/>
    <n v="345800"/>
    <n v="325570.7"/>
    <n v="22358"/>
    <n v="314363.63636363635"/>
  </r>
  <r>
    <x v="87"/>
    <s v="일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4"/>
  </r>
  <r>
    <x v="87"/>
    <s v="일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87"/>
    <s v="일"/>
    <m/>
    <x v="3"/>
    <s v="카페24"/>
    <s v="HAIR RÉ:COVERY 15 Nutritious Balm [라베나 리커버리 15 뉴트리셔스 밤]제품선택=헤어 리커버리 15 뉴트리셔스 밤"/>
    <n v="24"/>
    <s v="뉴트리셔스밤"/>
    <n v="201210"/>
    <m/>
    <n v="597600"/>
    <n v="562640.4"/>
    <n v="37920"/>
    <n v="543272.72727272718"/>
  </r>
  <r>
    <x v="87"/>
    <s v="일"/>
    <m/>
    <x v="3"/>
    <s v="카페24"/>
    <s v="HAIR RÉ:COVERY 15 Nutritious Balm [라베나 리커버리 15 뉴트리셔스 밤]제품선택=뉴트리셔스 밤 2개 세트 5% 추가할인"/>
    <n v="7"/>
    <s v="뉴트리셔스밤 2set"/>
    <n v="201210"/>
    <m/>
    <n v="331170"/>
    <n v="311796.55499999999"/>
    <n v="22120"/>
    <n v="301063.63636363635"/>
  </r>
  <r>
    <x v="87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7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87"/>
    <s v="일"/>
    <m/>
    <x v="1"/>
    <s v="카페24"/>
    <s v="HAIR RÉ:COVERY 15 Revital Shampoo [라베나 리커버리 15 리바이탈 샴푸]제품선택=헤어 리커버리 15 리바이탈 샴푸 - 500ml"/>
    <n v="11"/>
    <s v="리바이탈 샴푸"/>
    <n v="201210"/>
    <m/>
    <n v="295900"/>
    <n v="278589.84999999998"/>
    <n v="33220"/>
    <n v="269000"/>
  </r>
  <r>
    <x v="87"/>
    <s v="일"/>
    <m/>
    <x v="1"/>
    <s v="카페24"/>
    <s v="HAIR RÉ:COVERY 15 Revital Shampoo [라베나 리커버리 15 리바이탈 샴푸]제품선택=리바이탈 샴푸 2개 세트 5%추가할인"/>
    <n v="2"/>
    <s v="리바이탈 샴푸"/>
    <n v="201210"/>
    <m/>
    <n v="102220"/>
    <n v="96240.13"/>
    <n v="12080"/>
    <n v="92927.272727272721"/>
  </r>
  <r>
    <x v="87"/>
    <s v="일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88"/>
    <s v="월"/>
    <m/>
    <x v="2"/>
    <s v="카페24"/>
    <s v="HAIR RÉ:COVERY 15 Hairpack Treatment [라베나 리커버리 15 헤어팩 트리트먼트]제품선택=헤어 리커버리 15 헤어팩 트리트먼트"/>
    <n v="15"/>
    <s v="트리트먼트"/>
    <n v="201210"/>
    <m/>
    <n v="390000"/>
    <n v="367185"/>
    <n v="23955"/>
    <n v="354545.45454545453"/>
  </r>
  <r>
    <x v="88"/>
    <s v="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88"/>
    <s v="월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26"/>
  </r>
  <r>
    <x v="88"/>
    <s v="월"/>
    <m/>
    <x v="2"/>
    <s v="카페24"/>
    <s v="HAIR RÉ:COVERY 15 Hairpack Treatment [라베나 리커버리 15 헤어팩 트리트먼트]제품선택=헤어팩 트리트먼트 1개 + 뉴트리셔스밤 1개 세트 5% 추가할인"/>
    <n v="6"/>
    <s v="트리트먼트+뉴트리셔스밤"/>
    <n v="201210"/>
    <m/>
    <n v="290130"/>
    <n v="273157.39500000002"/>
    <n v="19062"/>
    <n v="263754.54545454541"/>
  </r>
  <r>
    <x v="88"/>
    <s v="월"/>
    <m/>
    <x v="3"/>
    <s v="카페24"/>
    <s v="HAIR RÉ:COVERY 15 Nutritious Balm [라베나 리커버리 15 뉴트리셔스 밤]제품선택=헤어 리커버리 15 뉴트리셔스 밤"/>
    <n v="20"/>
    <s v="뉴트리셔스밤"/>
    <n v="201210"/>
    <m/>
    <n v="498000"/>
    <n v="468867"/>
    <n v="31600"/>
    <n v="452727.27272727271"/>
  </r>
  <r>
    <x v="88"/>
    <s v="월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2"/>
  </r>
  <r>
    <x v="88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8"/>
    <s v="월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0000001"/>
    <n v="15885"/>
    <n v="219795.45454545453"/>
  </r>
  <r>
    <x v="88"/>
    <s v="월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88"/>
    <s v="월"/>
    <m/>
    <x v="1"/>
    <s v="카페24"/>
    <s v="HAIR RÉ:COVERY 15 Revital Shampoo [라베나 리커버리 15 리바이탈 샴푸]제품선택=리바이탈 샴푸 2개 세트 5%추가할인"/>
    <n v="5"/>
    <s v="리바이탈 샴푸"/>
    <n v="201210"/>
    <m/>
    <n v="255550"/>
    <n v="240600.32500000001"/>
    <n v="30200"/>
    <n v="232318.18181818179"/>
  </r>
  <r>
    <x v="88"/>
    <s v="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89"/>
    <s v="화"/>
    <m/>
    <x v="2"/>
    <s v="카페24"/>
    <s v="HAIR RÉ:COVERY 15 Hairpack Treatment [라베나 리커버리 15 헤어팩 트리트먼트]제품선택=헤어 리커버리 15 헤어팩 트리트먼트"/>
    <n v="8"/>
    <s v="트리트먼트"/>
    <n v="201210"/>
    <m/>
    <n v="208000"/>
    <n v="195832"/>
    <n v="12776"/>
    <n v="189090.90909090909"/>
  </r>
  <r>
    <x v="89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89"/>
    <s v="화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89"/>
    <s v="화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89"/>
    <s v="화"/>
    <m/>
    <x v="3"/>
    <s v="카페24"/>
    <s v="HAIR RÉ:COVERY 15 Nutritious Balm [라베나 리커버리 15 뉴트리셔스 밤]제품선택=헤어 리커버리 15 뉴트리셔스 밤"/>
    <n v="21"/>
    <s v="뉴트리셔스밤"/>
    <n v="201210"/>
    <m/>
    <n v="522900"/>
    <n v="492310.35"/>
    <n v="33180"/>
    <n v="475363.63636363635"/>
  </r>
  <r>
    <x v="89"/>
    <s v="화"/>
    <m/>
    <x v="3"/>
    <s v="카페24"/>
    <s v="HAIR RÉ:COVERY 15 Nutritious Balm [라베나 리커버리 15 뉴트리셔스 밤]제품선택=뉴트리셔스 밤 2개 세트 5% 추가할인"/>
    <n v="5"/>
    <s v="뉴트리셔스밤 2set"/>
    <n v="201210"/>
    <m/>
    <n v="236550"/>
    <n v="222711.82500000001"/>
    <n v="15800"/>
    <n v="215045.45454545453"/>
  </r>
  <r>
    <x v="89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89"/>
    <s v="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89"/>
    <s v="화"/>
    <m/>
    <x v="1"/>
    <s v="카페24"/>
    <s v="HAIR RÉ:COVERY 15 Revital Shampoo [라베나 리커버리 15 리바이탈 샴푸]제품선택=헤어 리커버리 15 리바이탈 샴푸 - 500ml"/>
    <n v="7"/>
    <s v="리바이탈 샴푸"/>
    <n v="201210"/>
    <m/>
    <n v="188300"/>
    <n v="177284.45"/>
    <n v="21140"/>
    <n v="171181.81818181818"/>
  </r>
  <r>
    <x v="89"/>
    <s v="화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89"/>
    <s v="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0"/>
    <s v="수"/>
    <m/>
    <x v="2"/>
    <s v="카페24"/>
    <s v="HAIR RÉ:COVERY 15 Hairpack Treatment [라베나 리커버리 15 헤어팩 트리트먼트]제품선택=헤어 리커버리 15 헤어팩 트리트먼트"/>
    <n v="7"/>
    <s v="트리트먼트"/>
    <n v="201210"/>
    <m/>
    <n v="182000"/>
    <n v="171353"/>
    <n v="11179"/>
    <n v="165454.54545454544"/>
  </r>
  <r>
    <x v="0"/>
    <s v="수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0"/>
    <s v="수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0"/>
    <s v="수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0"/>
    <s v="수"/>
    <m/>
    <x v="3"/>
    <s v="카페24"/>
    <s v="HAIR RÉ:COVERY 15 Nutritious Balm [라베나 리커버리 15 뉴트리셔스 밤]제품선택=헤어 리커버리 15 뉴트리셔스 밤"/>
    <n v="11"/>
    <s v="뉴트리셔스밤"/>
    <n v="201210"/>
    <m/>
    <n v="273900"/>
    <n v="257876.85"/>
    <n v="17380"/>
    <n v="248999.99999999997"/>
  </r>
  <r>
    <x v="0"/>
    <s v="수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2"/>
  </r>
  <r>
    <x v="0"/>
    <s v="수"/>
    <m/>
    <x v="3"/>
    <s v="카페24"/>
    <s v="HAIR RÉ:COVERY 15 Nutritious Balm [라베나 리커버리 15 뉴트리셔스 밤]제품선택=뉴트리셔스밤 1개 + 헤어팩 트리트먼트 1개 세트 5%추가할인"/>
    <n v="3"/>
    <s v="트리트먼트+뉴트리셔스밤"/>
    <n v="201210"/>
    <m/>
    <n v="145065"/>
    <n v="136578.69750000001"/>
    <n v="9531"/>
    <n v="131877.27272727271"/>
  </r>
  <r>
    <x v="0"/>
    <s v="수"/>
    <m/>
    <x v="1"/>
    <s v="카페24"/>
    <s v="HAIR RÉ:COVERY 15 Revital Shampoo [라베나 리커버리 15 리바이탈 샴푸]제품선택=헤어 리커버리 15 리바이탈 샴푸 - 500ml"/>
    <n v="12"/>
    <s v="리바이탈 샴푸"/>
    <n v="201210"/>
    <m/>
    <n v="322800"/>
    <n v="303916.2"/>
    <n v="36240"/>
    <n v="293454.54545454541"/>
  </r>
  <r>
    <x v="0"/>
    <s v="수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0"/>
    <s v="수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1"/>
    <s v="목"/>
    <m/>
    <x v="2"/>
    <s v="카페24"/>
    <s v="HAIR RÉ:COVERY 15 Hairpack Treatment [라베나 리커버리 15 헤어팩 트리트먼트]제품선택=헤어 리커버리 15 헤어팩 트리트먼트"/>
    <n v="8"/>
    <s v="트리트먼트"/>
    <n v="201210"/>
    <m/>
    <n v="208000"/>
    <n v="195832"/>
    <n v="12776"/>
    <n v="189090.90909090909"/>
  </r>
  <r>
    <x v="1"/>
    <s v="목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09"/>
  </r>
  <r>
    <x v="1"/>
    <s v="목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1"/>
    <s v="목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1"/>
    <s v="목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000000001"/>
    <n v="11060"/>
    <n v="158454.54545454544"/>
  </r>
  <r>
    <x v="1"/>
    <s v="목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1"/>
    <s v="목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3"/>
  </r>
  <r>
    <x v="1"/>
    <s v="목"/>
    <m/>
    <x v="1"/>
    <s v="카페24"/>
    <s v="HAIR RÉ:COVERY 15 Revital Shampoo [라베나 리커버리 15 리바이탈 샴푸]제품선택=헤어 리커버리 15 리바이탈 샴푸 - 500ml"/>
    <n v="6"/>
    <s v="리바이탈 샴푸"/>
    <n v="201210"/>
    <m/>
    <n v="161400"/>
    <n v="151958.1"/>
    <n v="18120"/>
    <n v="146727.27272727271"/>
  </r>
  <r>
    <x v="1"/>
    <s v="목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4"/>
  </r>
  <r>
    <x v="2"/>
    <s v="금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4"/>
  </r>
  <r>
    <x v="2"/>
    <s v="금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2"/>
    <s v="금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2"/>
    <s v="금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000000001"/>
    <n v="11060"/>
    <n v="158454.54545454544"/>
  </r>
  <r>
    <x v="2"/>
    <s v="금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2"/>
    <s v="금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2"/>
    <s v="금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2"/>
    <s v="금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06"/>
  </r>
  <r>
    <x v="2"/>
    <s v="금"/>
    <m/>
    <x v="1"/>
    <s v="카페24"/>
    <s v="HAIR RÉ:COVERY 15 Revital Shampoo [라베나 리커버리 15 리바이탈 샴푸]제품선택=리바이탈 샴푸 2개 세트 5%추가할인"/>
    <n v="2"/>
    <s v="리바이탈 샴푸"/>
    <n v="201210"/>
    <m/>
    <n v="102220"/>
    <n v="96240.13"/>
    <n v="12080"/>
    <n v="92927.272727272721"/>
  </r>
  <r>
    <x v="2"/>
    <s v="금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3"/>
    <s v="토"/>
    <m/>
    <x v="2"/>
    <s v="카페24"/>
    <s v="HAIR RÉ:COVERY 15 Hairpack Treatment [라베나 리커버리 15 헤어팩 트리트먼트]제품선택=헤어 리커버리 15 헤어팩 트리트먼트"/>
    <n v="11"/>
    <s v="트리트먼트"/>
    <n v="201210"/>
    <m/>
    <n v="286000"/>
    <n v="269269"/>
    <n v="17567"/>
    <n v="259999.99999999997"/>
  </r>
  <r>
    <x v="3"/>
    <s v="토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04"/>
  </r>
  <r>
    <x v="3"/>
    <s v="토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3"/>
    <s v="토"/>
    <m/>
    <x v="3"/>
    <s v="카페24"/>
    <s v="HAIR RÉ:COVERY 15 Nutritious Balm [라베나 리커버리 15 뉴트리셔스 밤]제품선택=헤어 리커버리 15 뉴트리셔스 밤"/>
    <n v="11"/>
    <s v="뉴트리셔스밤"/>
    <n v="201210"/>
    <m/>
    <n v="273900"/>
    <n v="257876.85"/>
    <n v="17380"/>
    <n v="248999.99999999997"/>
  </r>
  <r>
    <x v="3"/>
    <s v="토"/>
    <m/>
    <x v="3"/>
    <s v="카페24"/>
    <s v="HAIR RÉ:COVERY 15 Nutritious Balm [라베나 리커버리 15 뉴트리셔스 밤]제품선택=뉴트리셔스 밤 2개 세트 5% 추가할인"/>
    <n v="4"/>
    <s v="뉴트리셔스밤 2set"/>
    <n v="201210"/>
    <m/>
    <n v="189240"/>
    <n v="178169.46"/>
    <n v="12640"/>
    <n v="172036.36363636362"/>
  </r>
  <r>
    <x v="3"/>
    <s v="토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3"/>
    <s v="토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3"/>
    <s v="토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3"/>
    <s v="토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88"/>
  </r>
  <r>
    <x v="4"/>
    <s v="일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77"/>
  </r>
  <r>
    <x v="4"/>
    <s v="일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29999999999"/>
    <n v="9582"/>
    <n v="134727.27272727271"/>
  </r>
  <r>
    <x v="4"/>
    <s v="일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26"/>
  </r>
  <r>
    <x v="4"/>
    <s v="일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0000001"/>
    <n v="15885"/>
    <n v="219795.45454545453"/>
  </r>
  <r>
    <x v="4"/>
    <s v="일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1"/>
  </r>
  <r>
    <x v="4"/>
    <s v="일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4"/>
    <s v="일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3"/>
  </r>
  <r>
    <x v="4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4"/>
    <s v="일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4"/>
    <s v="일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4"/>
  </r>
  <r>
    <x v="4"/>
    <s v="일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88"/>
  </r>
  <r>
    <x v="5"/>
    <s v="월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77"/>
  </r>
  <r>
    <x v="5"/>
    <s v="월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3"/>
  </r>
  <r>
    <x v="5"/>
    <s v="월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5"/>
    <s v="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5"/>
    <s v="월"/>
    <m/>
    <x v="3"/>
    <s v="카페24"/>
    <s v="HAIR RÉ:COVERY 15 Nutritious Balm [라베나 리커버리 15 뉴트리셔스 밤]제품선택=헤어 리커버리 15 뉴트리셔스 밤"/>
    <n v="12"/>
    <s v="뉴트리셔스밤"/>
    <n v="201210"/>
    <m/>
    <n v="298800"/>
    <n v="281320.2"/>
    <n v="18960"/>
    <n v="271636.36363636359"/>
  </r>
  <r>
    <x v="5"/>
    <s v="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5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5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5"/>
    <s v="월"/>
    <m/>
    <x v="1"/>
    <s v="카페24"/>
    <s v="HAIR RÉ:COVERY 15 Revital Shampoo [라베나 리커버리 15 리바이탈 샴푸]제품선택=헤어 리커버리 15 리바이탈 샴푸 - 500ml"/>
    <n v="12"/>
    <s v="리바이탈 샴푸"/>
    <n v="201210"/>
    <m/>
    <n v="322800"/>
    <n v="303916.2"/>
    <n v="36240"/>
    <n v="293454.54545454541"/>
  </r>
  <r>
    <x v="5"/>
    <s v="월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4"/>
  </r>
  <r>
    <x v="5"/>
    <s v="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6"/>
    <s v="화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4"/>
  </r>
  <r>
    <x v="6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6"/>
    <s v="화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26"/>
  </r>
  <r>
    <x v="6"/>
    <s v="화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2"/>
  </r>
  <r>
    <x v="6"/>
    <s v="화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1"/>
  </r>
  <r>
    <x v="6"/>
    <s v="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6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6"/>
    <s v="화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06"/>
  </r>
  <r>
    <x v="6"/>
    <s v="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7"/>
    <s v="수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59"/>
  </r>
  <r>
    <x v="7"/>
    <s v="수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7"/>
    <s v="수"/>
    <m/>
    <x v="3"/>
    <s v="카페24"/>
    <s v="HAIR RÉ:COVERY 15 Nutritious Balm [라베나 리커버리 15 뉴트리셔스 밤]제품선택=헤어 리커버리 15 뉴트리셔스 밤"/>
    <n v="15"/>
    <s v="뉴트리셔스밤"/>
    <n v="201210"/>
    <m/>
    <n v="373500"/>
    <n v="351650.25"/>
    <n v="23700"/>
    <n v="339545.45454545453"/>
  </r>
  <r>
    <x v="7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7"/>
    <s v="수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7"/>
    <s v="수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7"/>
    <s v="수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4"/>
  </r>
  <r>
    <x v="7"/>
    <s v="수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8"/>
    <s v="목"/>
    <m/>
    <x v="2"/>
    <s v="카페24"/>
    <s v="HAIR RÉ:COVERY 15 Hairpack Treatment [라베나 리커버리 15 헤어팩 트리트먼트]제품선택=헤어 리커버리 15 헤어팩 트리트먼트"/>
    <n v="23"/>
    <s v="트리트먼트"/>
    <n v="201210"/>
    <m/>
    <n v="598000"/>
    <n v="563017"/>
    <n v="36731"/>
    <n v="543636.36363636365"/>
  </r>
  <r>
    <x v="8"/>
    <s v="목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3"/>
  </r>
  <r>
    <x v="8"/>
    <s v="목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3"/>
  </r>
  <r>
    <x v="8"/>
    <s v="목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8"/>
    <s v="목"/>
    <m/>
    <x v="3"/>
    <s v="카페24"/>
    <s v="HAIR RÉ:COVERY 15 Nutritious Balm [라베나 리커버리 15 뉴트리셔스 밤]제품선택=헤어 리커버리 15 뉴트리셔스 밤"/>
    <n v="14"/>
    <s v="뉴트리셔스밤"/>
    <n v="201210"/>
    <m/>
    <n v="348600"/>
    <n v="328206.90000000002"/>
    <n v="22120"/>
    <n v="316909.09090909088"/>
  </r>
  <r>
    <x v="8"/>
    <s v="목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8"/>
    <s v="목"/>
    <m/>
    <x v="3"/>
    <s v="카페24"/>
    <s v="HAIR RÉ:COVERY 15 Nutritious Balm [라베나 리커버리 15 뉴트리셔스 밤]제품선택=뉴트리셔스밤 1개 + 헤어팩 트리트먼트 1개 세트 5%추가할인"/>
    <n v="3"/>
    <s v="트리트먼트+뉴트리셔스밤"/>
    <n v="201210"/>
    <m/>
    <n v="145065"/>
    <n v="136578.69750000001"/>
    <n v="9531"/>
    <n v="131877.27272727271"/>
  </r>
  <r>
    <x v="8"/>
    <s v="목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77"/>
  </r>
  <r>
    <x v="8"/>
    <s v="목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00000001"/>
    <n v="18120"/>
    <n v="139390.90909090909"/>
  </r>
  <r>
    <x v="8"/>
    <s v="목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9"/>
    <s v="금"/>
    <m/>
    <x v="2"/>
    <s v="카페24"/>
    <s v="HAIR RÉ:COVERY 15 Hairpack Treatment [라베나 리커버리 15 헤어팩 트리트먼트]제품선택=헤어 리커버리 15 헤어팩 트리트먼트"/>
    <n v="9"/>
    <s v="트리트먼트"/>
    <n v="201210"/>
    <m/>
    <n v="234000"/>
    <n v="220311"/>
    <n v="14373"/>
    <n v="212727.27272727271"/>
  </r>
  <r>
    <x v="9"/>
    <s v="금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04"/>
  </r>
  <r>
    <x v="9"/>
    <s v="금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3"/>
  </r>
  <r>
    <x v="9"/>
    <s v="금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9"/>
    <s v="금"/>
    <m/>
    <x v="3"/>
    <s v="카페24"/>
    <s v="HAIR RÉ:COVERY 15 Nutritious Balm [라베나 리커버리 15 뉴트리셔스 밤]제품선택=헤어 리커버리 15 뉴트리셔스 밤"/>
    <n v="12"/>
    <s v="뉴트리셔스밤"/>
    <n v="201210"/>
    <m/>
    <n v="298800"/>
    <n v="281320.2"/>
    <n v="18960"/>
    <n v="271636.36363636359"/>
  </r>
  <r>
    <x v="9"/>
    <s v="금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9"/>
    <s v="금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9"/>
    <s v="금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9"/>
    <s v="금"/>
    <m/>
    <x v="1"/>
    <s v="카페24"/>
    <s v="HAIR RÉ:COVERY 15 Revital Shampoo [라베나 리커버리 15 리바이탈 샴푸]제품선택=헤어 리커버리 15 리바이탈 샴푸 - 500ml"/>
    <n v="6"/>
    <s v="리바이탈 샴푸"/>
    <n v="201210"/>
    <m/>
    <n v="161400"/>
    <n v="151958.1"/>
    <n v="18120"/>
    <n v="146727.27272727271"/>
  </r>
  <r>
    <x v="9"/>
    <s v="금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10"/>
    <s v="토"/>
    <m/>
    <x v="2"/>
    <s v="카페24"/>
    <s v="HAIR RÉ:COVERY 15 Hairpack Treatment [라베나 리커버리 15 헤어팩 트리트먼트]제품선택=헤어 리커버리 15 헤어팩 트리트먼트"/>
    <n v="10"/>
    <s v="트리트먼트"/>
    <n v="201210"/>
    <m/>
    <n v="260000"/>
    <n v="244790"/>
    <n v="15970"/>
    <n v="236363.63636363635"/>
  </r>
  <r>
    <x v="10"/>
    <s v="토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09"/>
  </r>
  <r>
    <x v="10"/>
    <s v="토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4"/>
  </r>
  <r>
    <x v="10"/>
    <s v="토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10"/>
    <s v="토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000000001"/>
    <n v="11060"/>
    <n v="158454.54545454544"/>
  </r>
  <r>
    <x v="10"/>
    <s v="토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3"/>
  </r>
  <r>
    <x v="10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0"/>
    <s v="토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06"/>
  </r>
  <r>
    <x v="10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000000002"/>
    <n v="6040"/>
    <n v="46463.63636363636"/>
  </r>
  <r>
    <x v="10"/>
    <s v="토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11"/>
    <s v="일"/>
    <m/>
    <x v="2"/>
    <s v="카페24"/>
    <s v="HAIR RÉ:COVERY 15 Hairpack Treatment [라베나 리커버리 15 헤어팩 트리트먼트]제품선택=헤어 리커버리 15 헤어팩 트리트먼트"/>
    <n v="15"/>
    <s v="트리트먼트"/>
    <n v="201210"/>
    <m/>
    <n v="390000"/>
    <n v="367185"/>
    <n v="23955"/>
    <n v="354545.45454545453"/>
  </r>
  <r>
    <x v="11"/>
    <s v="일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3"/>
  </r>
  <r>
    <x v="11"/>
    <s v="일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4"/>
  </r>
  <r>
    <x v="11"/>
    <s v="일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11"/>
    <s v="일"/>
    <m/>
    <x v="3"/>
    <s v="카페24"/>
    <s v="HAIR RÉ:COVERY 15 Nutritious Balm [라베나 리커버리 15 뉴트리셔스 밤]제품선택=헤어 리커버리 15 뉴트리셔스 밤"/>
    <n v="13"/>
    <s v="뉴트리셔스밤"/>
    <n v="201210"/>
    <m/>
    <n v="323700"/>
    <n v="304763.55"/>
    <n v="20540"/>
    <n v="294272.72727272724"/>
  </r>
  <r>
    <x v="11"/>
    <s v="일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2"/>
  </r>
  <r>
    <x v="11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11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1"/>
    <s v="일"/>
    <m/>
    <x v="1"/>
    <s v="카페24"/>
    <s v="HAIR RÉ:COVERY 15 Revital Shampoo [라베나 리커버리 15 리바이탈 샴푸]제품선택=헤어 리커버리 15 리바이탈 샴푸 - 500ml"/>
    <n v="10"/>
    <s v="리바이탈 샴푸"/>
    <n v="201210"/>
    <m/>
    <n v="269000"/>
    <n v="253263.5"/>
    <n v="30200"/>
    <n v="244545.45454545453"/>
  </r>
  <r>
    <x v="11"/>
    <s v="일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4"/>
  </r>
  <r>
    <x v="11"/>
    <s v="일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000000004"/>
    <n v="9060"/>
    <n v="66027.272727272721"/>
  </r>
  <r>
    <x v="12"/>
    <s v="월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59"/>
  </r>
  <r>
    <x v="12"/>
    <s v="월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09"/>
  </r>
  <r>
    <x v="12"/>
    <s v="월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4"/>
  </r>
  <r>
    <x v="12"/>
    <s v="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12"/>
    <s v="월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000000001"/>
    <n v="11060"/>
    <n v="158454.54545454544"/>
  </r>
  <r>
    <x v="12"/>
    <s v="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09"/>
  </r>
  <r>
    <x v="12"/>
    <s v="월"/>
    <m/>
    <x v="3"/>
    <s v="카페24"/>
    <s v="HAIR RÉ:COVERY 15 Nutritious Balm [라베나 리커버리 15 뉴트리셔스 밤]제품선택=뉴트리셔스 밤 3개 세트 10% 추가할인"/>
    <n v="3"/>
    <s v="뉴트리셔스밤 3set"/>
    <n v="201210"/>
    <m/>
    <n v="201690"/>
    <n v="189891.13500000001"/>
    <n v="14220"/>
    <n v="183354.54545454544"/>
  </r>
  <r>
    <x v="12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2"/>
    <s v="월"/>
    <m/>
    <x v="1"/>
    <s v="카페24"/>
    <s v="HAIR RÉ:COVERY 15 Revital Shampoo [라베나 리커버리 15 리바이탈 샴푸]제품선택=헤어 리커버리 15 리바이탈 샴푸 - 500ml"/>
    <n v="14"/>
    <s v="리바이탈 샴푸"/>
    <n v="201210"/>
    <m/>
    <n v="376600"/>
    <n v="354568.9"/>
    <n v="42280"/>
    <n v="342363.63636363635"/>
  </r>
  <r>
    <x v="12"/>
    <s v="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18"/>
  </r>
  <r>
    <x v="12"/>
    <s v="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18"/>
  </r>
  <r>
    <x v="13"/>
    <s v="화"/>
    <m/>
    <x v="1"/>
    <s v="라베나 CS"/>
    <s v="헤어 리커버리 15 리바이탈 샴푸"/>
    <n v="2"/>
    <s v="리바이탈 샴푸"/>
    <n v="201210"/>
    <m/>
    <n v="0"/>
    <n v="0"/>
    <n v="6040"/>
    <n v="0"/>
  </r>
  <r>
    <x v="13"/>
    <s v="화"/>
    <m/>
    <x v="2"/>
    <s v="카페24"/>
    <s v="HAIR RÉ:COVERY 15 Hairpack Treatment [라베나 리커버리 15 헤어팩 트리트먼트]제품선택=헤어 리커버리 15 헤어팩 트리트먼트"/>
    <n v="16"/>
    <s v="트리트먼트"/>
    <n v="201210"/>
    <m/>
    <n v="416000"/>
    <n v="391664"/>
    <n v="25552"/>
    <n v="378181.81818181818"/>
  </r>
  <r>
    <x v="13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2"/>
  </r>
  <r>
    <x v="13"/>
    <s v="화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13"/>
    <s v="화"/>
    <m/>
    <x v="3"/>
    <s v="카페24"/>
    <s v="HAIR RÉ:COVERY 15 Nutritious Balm [라베나 리커버리 15 뉴트리셔스 밤]제품선택=헤어 리커버리 15 뉴트리셔스 밤"/>
    <n v="15"/>
    <s v="뉴트리셔스밤"/>
    <n v="201210"/>
    <m/>
    <n v="373500"/>
    <n v="351650.25"/>
    <n v="23700"/>
    <n v="339545.45454545453"/>
  </r>
  <r>
    <x v="13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4999999998"/>
    <n v="4740"/>
    <n v="61118.181818181816"/>
  </r>
  <r>
    <x v="13"/>
    <s v="화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2"/>
  </r>
  <r>
    <x v="13"/>
    <s v="화"/>
    <m/>
    <x v="1"/>
    <s v="카페24"/>
    <s v="HAIR RÉ:COVERY 15 Revital Shampoo [라베나 리커버리 15 리바이탈 샴푸]제품선택=헤어 리커버리 15 리바이탈 샴푸 - 500ml"/>
    <n v="459"/>
    <s v="리바이탈 샴푸"/>
    <n v="201210"/>
    <m/>
    <n v="12347100"/>
    <n v="11624794.65"/>
    <n v="1386180"/>
    <n v="11224636.363636363"/>
  </r>
  <r>
    <x v="13"/>
    <s v="화"/>
    <m/>
    <x v="1"/>
    <s v="카페24"/>
    <s v="HAIR RÉ:COVERY 15 Revital Shampoo [라베나 리커버리 15 리바이탈 샴푸]제품선택=리바이탈 샴푸 2개 세트 5%추가할인"/>
    <n v="152"/>
    <s v="리바이탈 샴푸"/>
    <n v="201210"/>
    <m/>
    <n v="7768720"/>
    <n v="7314249.8799999999"/>
    <n v="918080"/>
    <n v="7062472.7272727266"/>
  </r>
  <r>
    <x v="13"/>
    <s v="화"/>
    <m/>
    <x v="1"/>
    <s v="카페24"/>
    <s v="HAIR RÉ:COVERY 15 Revital Shampoo [라베나 리커버리 15 리바이탈 샴푸]제품선택=리바이탈 샴푸 3개 세트 10% 추가할인"/>
    <n v="64"/>
    <s v="리바이탈 샴푸 3set"/>
    <n v="201210"/>
    <m/>
    <n v="4648320"/>
    <n v="4376393.28"/>
    <n v="579840"/>
    <n v="4225745.4545454541"/>
  </r>
  <r>
    <x v="13"/>
    <s v="화"/>
    <m/>
    <x v="1"/>
    <s v="카페24"/>
    <s v="헤어 리커버리 15 리바이탈 샴푸"/>
    <n v="3"/>
    <s v="리바이탈 샴푸"/>
    <n v="201210"/>
    <m/>
    <n v="80700"/>
    <n v="75979.05"/>
    <n v="9060"/>
    <n v="73363.636363636353"/>
  </r>
  <r>
    <x v="14"/>
    <s v="수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77"/>
  </r>
  <r>
    <x v="14"/>
    <s v="수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3"/>
  </r>
  <r>
    <x v="14"/>
    <s v="수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14"/>
    <s v="수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1"/>
  </r>
  <r>
    <x v="14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4999999998"/>
    <n v="3160"/>
    <n v="43009.090909090904"/>
  </r>
  <r>
    <x v="14"/>
    <s v="수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4"/>
    <s v="수"/>
    <m/>
    <x v="1"/>
    <s v="카페24"/>
    <s v="HAIR RÉ:COVERY 15 Revital Shampoo [라베나 리커버리 15 리바이탈 샴푸]제품선택=헤어 리커버리 15 리바이탈 샴푸 - 500ml"/>
    <n v="91"/>
    <s v="리바이탈 샴푸"/>
    <n v="201210"/>
    <m/>
    <n v="2447900"/>
    <n v="2304697.85"/>
    <n v="274820"/>
    <n v="2225363.6363636362"/>
  </r>
  <r>
    <x v="14"/>
    <s v="수"/>
    <m/>
    <x v="1"/>
    <s v="카페24"/>
    <s v="HAIR RÉ:COVERY 15 Revital Shampoo [라베나 리커버리 15 리바이탈 샴푸]제품선택=리바이탈 샴푸 2개 세트 5%추가할인"/>
    <n v="22"/>
    <s v="리바이탈 샴푸"/>
    <n v="201210"/>
    <m/>
    <n v="1124420"/>
    <n v="1058641.43"/>
    <n v="132880"/>
    <n v="1022199.9999999999"/>
  </r>
  <r>
    <x v="14"/>
    <s v="수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18"/>
  </r>
  <r>
    <x v="14"/>
    <s v="수"/>
    <m/>
    <x v="1"/>
    <s v="카페24"/>
    <s v="헤어 리커버리 15 리바이탈 샴푸"/>
    <n v="3"/>
    <s v="리바이탈 샴푸"/>
    <n v="201210"/>
    <m/>
    <n v="80700"/>
    <n v="75979.05"/>
    <n v="9060"/>
    <n v="73363.636363636353"/>
  </r>
  <r>
    <x v="15"/>
    <s v="목"/>
    <m/>
    <x v="2"/>
    <s v="카페24"/>
    <s v="HAIR RÉ:COVERY 15 Hairpack Treatment [라베나 리커버리 15 헤어팩 트리트먼트]제품선택=헤어 리커버리 15 헤어팩 트리트먼트"/>
    <n v="2"/>
    <s v="트리트먼트"/>
    <n v="201210"/>
    <m/>
    <n v="52000"/>
    <n v="48958"/>
    <n v="3194"/>
    <n v="47272.727272727272"/>
  </r>
  <r>
    <x v="15"/>
    <s v="목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16"/>
  </r>
  <r>
    <x v="15"/>
    <s v="목"/>
    <m/>
    <x v="3"/>
    <s v="카페24"/>
    <s v="HAIR RÉ:COVERY 15 Nutritious Balm [라베나 리커버리 15 뉴트리셔스 밤]제품선택=헤어 리커버리 15 뉴트리셔스 밤"/>
    <n v="1"/>
    <s v="뉴트리셔스밤"/>
    <n v="201210"/>
    <m/>
    <n v="24900"/>
    <n v="23443.35"/>
    <n v="1580"/>
    <n v="22636.363636363636"/>
  </r>
  <r>
    <x v="15"/>
    <s v="목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15"/>
    <s v="목"/>
    <m/>
    <x v="1"/>
    <s v="카페24"/>
    <s v="HAIR RÉ:COVERY 15 Revital Shampoo [라베나 리커버리 15 리바이탈 샴푸]제품선택=헤어 리커버리 15 리바이탈 샴푸 - 500ml"/>
    <n v="5"/>
    <s v="리바이탈 샴푸"/>
    <n v="201210"/>
    <m/>
    <n v="134500"/>
    <n v="126631.75"/>
    <n v="15100"/>
    <n v="122272.72727272726"/>
  </r>
  <r>
    <x v="15"/>
    <s v="목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00000001"/>
    <n v="18120"/>
    <n v="139390.90909090909"/>
  </r>
  <r>
    <x v="15"/>
    <s v="목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4"/>
  </r>
  <r>
    <x v="15"/>
    <s v="목"/>
    <m/>
    <x v="3"/>
    <s v="카페24"/>
    <s v="라베나 리커버리 15 뉴트리셔스 밤 [HAIR RÉ:COVERY 15 Nutritious Balm]제품선택=헤어 리커버리 15 뉴트리셔스 밤"/>
    <n v="5"/>
    <s v="뉴트리셔스밤"/>
    <n v="201210"/>
    <m/>
    <n v="124500"/>
    <n v="117216.75"/>
    <n v="7900"/>
    <n v="113181.81818181818"/>
  </r>
  <r>
    <x v="15"/>
    <s v="목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09"/>
  </r>
  <r>
    <x v="15"/>
    <s v="목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15"/>
    <s v="목"/>
    <m/>
    <x v="1"/>
    <s v="카페24"/>
    <s v="라베나 리커버리 15 리바이탈 샴푸 [HAIR RÉ:COVERY 15 Revital Shampoo]제품선택=헤어 리커버리 15 리바이탈 샴푸 - 500ml"/>
    <n v="75"/>
    <s v="리바이탈 샴푸"/>
    <n v="201210"/>
    <m/>
    <n v="2017500"/>
    <n v="1899476.25"/>
    <n v="226500"/>
    <n v="1834090.9090909089"/>
  </r>
  <r>
    <x v="15"/>
    <s v="목"/>
    <m/>
    <x v="1"/>
    <s v="카페24"/>
    <s v="라베나 리커버리 15 리바이탈 샴푸 [HAIR RÉ:COVERY 15 Revital Shampoo]제품선택=리바이탈 샴푸 2개 세트 5%추가할인"/>
    <n v="25"/>
    <s v="리바이탈 샴푸 2set"/>
    <n v="201210"/>
    <m/>
    <n v="1277750"/>
    <n v="1203001.625"/>
    <n v="151000"/>
    <n v="1161590.9090909089"/>
  </r>
  <r>
    <x v="15"/>
    <s v="목"/>
    <m/>
    <x v="1"/>
    <s v="카페24"/>
    <s v="라베나 리커버리 15 리바이탈 샴푸 [HAIR RÉ:COVERY 15 Revital Shampoo]제품선택=리바이탈 샴푸 3개 세트 10% 추가할인"/>
    <n v="8"/>
    <s v="리바이탈 샴푸 3set"/>
    <n v="201210"/>
    <m/>
    <n v="581040"/>
    <n v="547049.16"/>
    <n v="72480"/>
    <n v="528218.18181818177"/>
  </r>
  <r>
    <x v="15"/>
    <s v="목"/>
    <m/>
    <x v="2"/>
    <s v="카페24"/>
    <s v="라베나 리커버리 15 헤어팩 트리트먼트 [HAIR RÉ:COVERY 15 Hairpack Treatment]제품선택=헤어 리커버리 15 헤어팩 트리트먼트"/>
    <n v="15"/>
    <s v="트리트먼트"/>
    <n v="201210"/>
    <m/>
    <n v="390000"/>
    <n v="367185"/>
    <n v="23955"/>
    <n v="354545.45454545453"/>
  </r>
  <r>
    <x v="15"/>
    <s v="목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3"/>
  </r>
  <r>
    <x v="15"/>
    <s v="목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3"/>
  </r>
  <r>
    <x v="15"/>
    <s v="목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16"/>
    <s v="금"/>
    <m/>
    <x v="3"/>
    <s v="카페24"/>
    <s v="라베나 리커버리 15 뉴트리셔스 밤 [HAIR RÉ:COVERY 15 Nutritious Balm]제품선택=헤어 리커버리 15 뉴트리셔스 밤"/>
    <n v="8"/>
    <s v="뉴트리셔스밤"/>
    <n v="201210"/>
    <m/>
    <n v="199200"/>
    <n v="187546.8"/>
    <n v="12640"/>
    <n v="181090.90909090909"/>
  </r>
  <r>
    <x v="16"/>
    <s v="금"/>
    <m/>
    <x v="3"/>
    <s v="카페24"/>
    <s v="라베나 리커버리 15 뉴트리셔스 밤 [HAIR RÉ:COVERY 15 Nutritious Balm]제품선택=뉴트리셔스 밤 2개 세트 5% 추가할인"/>
    <n v="4"/>
    <s v="뉴트리셔스밤 2set"/>
    <n v="201210"/>
    <m/>
    <n v="189240"/>
    <n v="178169.46"/>
    <n v="12640"/>
    <n v="172036.36363636362"/>
  </r>
  <r>
    <x v="16"/>
    <s v="금"/>
    <m/>
    <x v="3"/>
    <s v="카페24"/>
    <s v="라베나 리커버리 15 뉴트리셔스 밤 [HAIR RÉ:COVERY 15 Nutritious Balm]제품선택=뉴트리셔스 밤 3개 세트 10% 추가할인"/>
    <n v="2"/>
    <s v="뉴트리셔스밤 3set"/>
    <n v="201210"/>
    <m/>
    <n v="125736"/>
    <n v="118380.444"/>
    <n v="9480"/>
    <n v="114305.45454545453"/>
  </r>
  <r>
    <x v="16"/>
    <s v="금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6"/>
    <s v="금"/>
    <m/>
    <x v="1"/>
    <s v="카페24"/>
    <s v="라베나 리커버리 15 리바이탈 샴푸 [HAIR RÉ:COVERY 15 Revital Shampoo]제품선택=헤어 리커버리 15 리바이탈 샴푸 - 500ml"/>
    <n v="310"/>
    <s v="리바이탈 샴푸"/>
    <n v="201210"/>
    <m/>
    <n v="8339000"/>
    <n v="7851168.5"/>
    <n v="936200"/>
    <n v="7580909.0909090899"/>
  </r>
  <r>
    <x v="16"/>
    <s v="금"/>
    <m/>
    <x v="1"/>
    <s v="카페24"/>
    <s v="라베나 리커버리 15 리바이탈 샴푸 [HAIR RÉ:COVERY 15 Revital Shampoo]제품선택=리바이탈 샴푸 2개 세트 5%추가할인"/>
    <n v="122"/>
    <s v="리바이탈 샴푸 2set"/>
    <n v="201210"/>
    <m/>
    <n v="6235420"/>
    <n v="5870647.9299999997"/>
    <n v="736880"/>
    <n v="5668563.6363636358"/>
  </r>
  <r>
    <x v="16"/>
    <s v="금"/>
    <m/>
    <x v="1"/>
    <s v="카페24"/>
    <s v="라베나 리커버리 15 리바이탈 샴푸 [HAIR RÉ:COVERY 15 Revital Shampoo]제품선택=리바이탈 샴푸 3개 세트 10% 추가할인"/>
    <n v="50"/>
    <s v="리바이탈 샴푸 3set"/>
    <n v="201210"/>
    <m/>
    <n v="3631500"/>
    <n v="3419057.25"/>
    <n v="453000"/>
    <n v="3301363.6363636362"/>
  </r>
  <r>
    <x v="16"/>
    <s v="금"/>
    <m/>
    <x v="2"/>
    <s v="카페24"/>
    <s v="라베나 리커버리 15 헤어팩 트리트먼트 [HAIR RÉ:COVERY 15 Hairpack Treatment]제품선택=헤어 리커버리 15 헤어팩 트리트먼트"/>
    <n v="16"/>
    <s v="트리트먼트"/>
    <n v="201210"/>
    <m/>
    <n v="416000"/>
    <n v="391664"/>
    <n v="25552"/>
    <n v="378181.81818181818"/>
  </r>
  <r>
    <x v="16"/>
    <s v="금"/>
    <m/>
    <x v="2"/>
    <s v="카페24"/>
    <s v="라베나 리커버리 15 헤어팩 트리트먼트 [HAIR RÉ:COVERY 15 Hairpack Treatment]제품선택=헤어팩 트리트먼트 2개 세트 5% 추가할인"/>
    <n v="4"/>
    <s v="트리트먼트 2set"/>
    <n v="201210"/>
    <m/>
    <n v="197600"/>
    <n v="186040.4"/>
    <n v="12776"/>
    <n v="179636.36363636362"/>
  </r>
  <r>
    <x v="16"/>
    <s v="금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3"/>
  </r>
  <r>
    <x v="16"/>
    <s v="금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16"/>
    <s v="금"/>
    <m/>
    <x v="1"/>
    <s v="카페24"/>
    <s v="헤어 리커버리 15 리바이탈 샴푸"/>
    <n v="4"/>
    <s v="리바이탈 샴푸"/>
    <n v="201210"/>
    <m/>
    <n v="107600"/>
    <n v="101305.4"/>
    <n v="12080"/>
    <n v="97818.181818181809"/>
  </r>
  <r>
    <x v="17"/>
    <s v="토"/>
    <m/>
    <x v="2"/>
    <s v="카페24"/>
    <s v="HAIR RÉ:COVERY 15 Hairpack Treatment [라베나 리커버리 15 헤어팩 트리트먼트]제품선택=헤어 리커버리 15 헤어팩 트리트먼트"/>
    <n v="1"/>
    <s v="트리트먼트"/>
    <n v="201210"/>
    <m/>
    <n v="26000"/>
    <n v="24479"/>
    <n v="1597"/>
    <n v="23636.363636363636"/>
  </r>
  <r>
    <x v="17"/>
    <s v="토"/>
    <m/>
    <x v="3"/>
    <s v="카페24"/>
    <s v="라베나 리커버리 15 뉴트리셔스 밤 [HAIR RÉ:COVERY 15 Nutritious Balm]제품선택=헤어 리커버리 15 뉴트리셔스 밤"/>
    <n v="10"/>
    <s v="뉴트리셔스밤"/>
    <n v="201210"/>
    <m/>
    <n v="249000"/>
    <n v="234433.5"/>
    <n v="15800"/>
    <n v="226363.63636363635"/>
  </r>
  <r>
    <x v="17"/>
    <s v="토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09"/>
  </r>
  <r>
    <x v="17"/>
    <s v="토"/>
    <m/>
    <x v="3"/>
    <s v="카페24"/>
    <s v="라베나 리커버리 15 뉴트리셔스 밤 [HAIR RÉ:COVERY 15 Nutritious Balm]제품선택=뉴트리셔스 밤 3개 세트 10% 추가할인"/>
    <n v="1"/>
    <s v="뉴트리셔스밤 3set"/>
    <n v="201210"/>
    <m/>
    <n v="62868"/>
    <n v="59190.222000000002"/>
    <n v="4740"/>
    <n v="57152.727272727265"/>
  </r>
  <r>
    <x v="17"/>
    <s v="토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7"/>
    <s v="토"/>
    <m/>
    <x v="1"/>
    <s v="카페24"/>
    <s v="라베나 리커버리 15 리바이탈 샴푸 [HAIR RÉ:COVERY 15 Revital Shampoo]제품선택=헤어 리커버리 15 리바이탈 샴푸 - 500ml"/>
    <n v="73"/>
    <s v="리바이탈 샴푸"/>
    <n v="201210"/>
    <m/>
    <n v="1963700"/>
    <n v="1848823.55"/>
    <n v="220460"/>
    <n v="1785181.8181818181"/>
  </r>
  <r>
    <x v="17"/>
    <s v="토"/>
    <m/>
    <x v="1"/>
    <s v="카페24"/>
    <s v="라베나 리커버리 15 리바이탈 샴푸 [HAIR RÉ:COVERY 15 Revital Shampoo]제품선택=리바이탈 샴푸 2개 세트 5%추가할인"/>
    <n v="18"/>
    <s v="리바이탈 샴푸 2set"/>
    <n v="201210"/>
    <m/>
    <n v="919980"/>
    <n v="866161.17"/>
    <n v="108720"/>
    <n v="836345.45454545447"/>
  </r>
  <r>
    <x v="17"/>
    <s v="토"/>
    <m/>
    <x v="1"/>
    <s v="카페24"/>
    <s v="라베나 리커버리 15 리바이탈 샴푸 [HAIR RÉ:COVERY 15 Revital Shampoo]제품선택=리바이탈 샴푸 3개 세트 10% 추가할인"/>
    <n v="7"/>
    <s v="리바이탈 샴푸 3set"/>
    <n v="201210"/>
    <m/>
    <n v="508410"/>
    <n v="478668.01500000001"/>
    <n v="63420"/>
    <n v="462190.90909090906"/>
  </r>
  <r>
    <x v="17"/>
    <s v="토"/>
    <m/>
    <x v="2"/>
    <s v="카페24"/>
    <s v="라베나 리커버리 15 헤어팩 트리트먼트 [HAIR RÉ:COVERY 15 Hairpack Treatment]제품선택=헤어 리커버리 15 헤어팩 트리트먼트"/>
    <n v="6"/>
    <s v="트리트먼트"/>
    <n v="201210"/>
    <m/>
    <n v="156000"/>
    <n v="146874"/>
    <n v="9582"/>
    <n v="141818.18181818179"/>
  </r>
  <r>
    <x v="17"/>
    <s v="토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3"/>
  </r>
  <r>
    <x v="17"/>
    <s v="토"/>
    <m/>
    <x v="2"/>
    <s v="카페24"/>
    <s v="라베나 리커버리 15 헤어팩 트리트먼트 [HAIR RÉ:COVERY 15 Hairpack Treatment]제품선택=헤어팩 트리트먼트 3개 세트 10% 추가할인"/>
    <n v="3"/>
    <s v="트리트먼트 3set"/>
    <n v="201210"/>
    <m/>
    <n v="210600"/>
    <n v="198279.9"/>
    <n v="14373"/>
    <n v="191454.54545454544"/>
  </r>
  <r>
    <x v="17"/>
    <s v="토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18"/>
    <s v="일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000000001"/>
    <n v="11060"/>
    <n v="158454.54545454544"/>
  </r>
  <r>
    <x v="18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18"/>
    <s v="일"/>
    <m/>
    <x v="1"/>
    <s v="카페24"/>
    <s v="라베나 리커버리 15 리바이탈 샴푸 [HAIR RÉ:COVERY 15 Revital Shampoo]제품선택=헤어 리커버리 15 리바이탈 샴푸 - 500ml"/>
    <n v="35"/>
    <s v="리바이탈 샴푸"/>
    <n v="201210"/>
    <m/>
    <n v="941500"/>
    <n v="886422.25"/>
    <n v="105700"/>
    <n v="855909.09090909082"/>
  </r>
  <r>
    <x v="18"/>
    <s v="일"/>
    <m/>
    <x v="1"/>
    <s v="카페24"/>
    <s v="라베나 리커버리 15 리바이탈 샴푸 [HAIR RÉ:COVERY 15 Revital Shampoo]제품선택=리바이탈 샴푸 2개 세트 5%추가할인"/>
    <n v="13"/>
    <s v="리바이탈 샴푸 2set"/>
    <n v="201210"/>
    <m/>
    <n v="664430"/>
    <n v="625560.84499999997"/>
    <n v="78520"/>
    <n v="604027.27272727271"/>
  </r>
  <r>
    <x v="18"/>
    <s v="일"/>
    <m/>
    <x v="1"/>
    <s v="카페24"/>
    <s v="라베나 리커버리 15 리바이탈 샴푸 [HAIR RÉ:COVERY 15 Revital Shampoo]제품선택=리바이탈 샴푸 3개 세트 10% 추가할인"/>
    <n v="5"/>
    <s v="리바이탈 샴푸 3set"/>
    <n v="201210"/>
    <m/>
    <n v="363150"/>
    <n v="341905.72499999998"/>
    <n v="45300"/>
    <n v="330136.36363636359"/>
  </r>
  <r>
    <x v="18"/>
    <s v="일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35"/>
  </r>
  <r>
    <x v="18"/>
    <s v="일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3"/>
  </r>
  <r>
    <x v="18"/>
    <s v="일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18"/>
    <s v="일"/>
    <m/>
    <x v="2"/>
    <s v="카페24"/>
    <s v="라베나 리커버리 15 헤어팩 트리트먼트 [HAIR RÉ:COVERY 15 Hairpack Treatment]제품선택=헤어팩 트리트먼트 1개 + 뉴트리셔스밤 1개 세트 5% 추가할인"/>
    <n v="4"/>
    <s v="트리트먼트+뉴트리셔스밤"/>
    <n v="201210"/>
    <m/>
    <n v="193420"/>
    <n v="182104.93"/>
    <n v="12708"/>
    <n v="175836.36363636362"/>
  </r>
  <r>
    <x v="19"/>
    <s v="월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000000001"/>
    <n v="11060"/>
    <n v="158454.54545454544"/>
  </r>
  <r>
    <x v="19"/>
    <s v="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19"/>
    <s v="월"/>
    <m/>
    <x v="1"/>
    <s v="카페24"/>
    <s v="라베나 리커버리 15 리바이탈 샴푸 [HAIR RÉ:COVERY 15 Revital Shampoo]제품선택=헤어 리커버리 15 리바이탈 샴푸 - 500ml"/>
    <n v="190"/>
    <s v="리바이탈 샴푸"/>
    <n v="201210"/>
    <m/>
    <n v="5111000"/>
    <n v="4812006.5"/>
    <n v="573800"/>
    <n v="4646363.6363636358"/>
  </r>
  <r>
    <x v="19"/>
    <s v="월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79"/>
  </r>
  <r>
    <x v="19"/>
    <s v="월"/>
    <m/>
    <x v="1"/>
    <s v="카페24"/>
    <s v="라베나 리커버리 15 리바이탈 샴푸 [HAIR RÉ:COVERY 15 Revital Shampoo]제품선택=리바이탈 샴푸 3개 세트 10% 추가할인"/>
    <n v="31"/>
    <s v="리바이탈 샴푸 3set"/>
    <n v="201210"/>
    <m/>
    <n v="2251530"/>
    <n v="2119815.4950000001"/>
    <n v="280860"/>
    <n v="2046845.4545454544"/>
  </r>
  <r>
    <x v="19"/>
    <s v="월"/>
    <m/>
    <x v="2"/>
    <s v="카페24"/>
    <s v="라베나 리커버리 15 헤어팩 트리트먼트 [HAIR RÉ:COVERY 15 Hairpack Treatment]제품선택=헤어 리커버리 15 헤어팩 트리트먼트"/>
    <n v="8"/>
    <s v="트리트먼트"/>
    <n v="201210"/>
    <m/>
    <n v="208000"/>
    <n v="195832"/>
    <n v="12776"/>
    <n v="189090.90909090909"/>
  </r>
  <r>
    <x v="19"/>
    <s v="월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01210"/>
    <m/>
    <n v="148200"/>
    <n v="139530.29999999999"/>
    <n v="9582"/>
    <n v="134727.27272727271"/>
  </r>
  <r>
    <x v="19"/>
    <s v="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19"/>
    <s v="월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4999999997"/>
    <n v="6354"/>
    <n v="87918.181818181809"/>
  </r>
  <r>
    <x v="20"/>
    <s v="화"/>
    <m/>
    <x v="1"/>
    <s v="라베나 CS"/>
    <s v="헤어 리커버리 15 리바이탈 샴푸"/>
    <n v="2"/>
    <s v="리바이탈 샴푸"/>
    <n v="201210"/>
    <m/>
    <n v="0"/>
    <n v="0"/>
    <n v="6040"/>
    <n v="0"/>
  </r>
  <r>
    <x v="20"/>
    <s v="화"/>
    <m/>
    <x v="3"/>
    <s v="카페24"/>
    <s v="라베나 리커버리 15 뉴트리셔스 밤 [HAIR RÉ:COVERY 15 Nutritious Balm]제품선택=헤어 리커버리 15 뉴트리셔스 밤"/>
    <n v="9"/>
    <s v="뉴트리셔스밤"/>
    <n v="201210"/>
    <m/>
    <n v="224100"/>
    <n v="210990.15"/>
    <n v="14220"/>
    <n v="203727.27272727271"/>
  </r>
  <r>
    <x v="20"/>
    <s v="화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20"/>
    <s v="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20"/>
    <s v="화"/>
    <m/>
    <x v="1"/>
    <s v="카페24"/>
    <s v="라베나 리커버리 15 리바이탈 샴푸 [HAIR RÉ:COVERY 15 Revital Shampoo]제품선택=헤어 리커버리 15 리바이탈 샴푸 - 500ml"/>
    <n v="298"/>
    <s v="리바이탈 샴푸"/>
    <n v="201210"/>
    <m/>
    <n v="8016200"/>
    <n v="7547252.2999999998"/>
    <n v="899960"/>
    <n v="7287454.5454545449"/>
  </r>
  <r>
    <x v="20"/>
    <s v="화"/>
    <m/>
    <x v="1"/>
    <s v="카페24"/>
    <s v="라베나 리커버리 15 리바이탈 샴푸 [HAIR RÉ:COVERY 15 Revital Shampoo]제품선택=리바이탈 샴푸 2개 세트 5%추가할인"/>
    <n v="59"/>
    <s v="리바이탈 샴푸 2set"/>
    <n v="201210"/>
    <m/>
    <n v="3015490"/>
    <n v="2839083.835"/>
    <n v="356360"/>
    <n v="2741354.5454545454"/>
  </r>
  <r>
    <x v="20"/>
    <s v="화"/>
    <m/>
    <x v="1"/>
    <s v="카페24"/>
    <s v="라베나 리커버리 15 리바이탈 샴푸 [HAIR RÉ:COVERY 15 Revital Shampoo]제품선택=리바이탈 샴푸 3개 세트 10% 추가할인"/>
    <n v="25"/>
    <s v="리바이탈 샴푸 3set"/>
    <n v="201210"/>
    <m/>
    <n v="1815750"/>
    <n v="1709528.625"/>
    <n v="226500"/>
    <n v="1650681.8181818181"/>
  </r>
  <r>
    <x v="20"/>
    <s v="화"/>
    <m/>
    <x v="2"/>
    <s v="카페24"/>
    <s v="라베나 리커버리 15 헤어팩 트리트먼트 [HAIR RÉ:COVERY 15 Hairpack Treatment]제품선택=헤어 리커버리 15 헤어팩 트리트먼트"/>
    <n v="14"/>
    <s v="트리트먼트"/>
    <n v="201210"/>
    <m/>
    <n v="364000"/>
    <n v="342706"/>
    <n v="22358"/>
    <n v="330909.09090909088"/>
  </r>
  <r>
    <x v="20"/>
    <s v="화"/>
    <m/>
    <x v="1"/>
    <s v="카페24"/>
    <s v="헤어 리커버리 15 리바이탈 샴푸"/>
    <n v="9"/>
    <s v="리바이탈 샴푸"/>
    <n v="201210"/>
    <m/>
    <n v="242100"/>
    <n v="227937.15"/>
    <n v="27180"/>
    <n v="220090.90909090906"/>
  </r>
  <r>
    <x v="21"/>
    <s v="수"/>
    <m/>
    <x v="3"/>
    <s v="카페24"/>
    <s v="라베나 리커버리 15 뉴트리셔스 밤 [HAIR RÉ:COVERY 15 Nutritious Balm]제품선택=헤어 리커버리 15 뉴트리셔스 밤"/>
    <n v="6"/>
    <s v="뉴트리셔스밤"/>
    <n v="201210"/>
    <m/>
    <n v="149400"/>
    <n v="140660.1"/>
    <n v="9480"/>
    <n v="135818.18181818179"/>
  </r>
  <r>
    <x v="21"/>
    <s v="수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21"/>
    <s v="수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21"/>
    <s v="수"/>
    <m/>
    <x v="1"/>
    <s v="카페24"/>
    <s v="라베나 리커버리 15 리바이탈 샴푸 [HAIR RÉ:COVERY 15 Revital Shampoo]제품선택=헤어 리커버리 15 리바이탈 샴푸 - 500ml"/>
    <n v="206"/>
    <s v="리바이탈 샴푸"/>
    <n v="201210"/>
    <m/>
    <n v="5541400"/>
    <n v="5217228.0999999996"/>
    <n v="622120"/>
    <n v="5037636.3636363633"/>
  </r>
  <r>
    <x v="21"/>
    <s v="수"/>
    <m/>
    <x v="1"/>
    <s v="카페24"/>
    <s v="라베나 리커버리 15 리바이탈 샴푸 [HAIR RÉ:COVERY 15 Revital Shampoo]제품선택=리바이탈 샴푸 2개 세트 5%추가할인"/>
    <n v="57"/>
    <s v="리바이탈 샴푸 2set"/>
    <n v="201210"/>
    <m/>
    <n v="2913270"/>
    <n v="2742843.7050000001"/>
    <n v="344280"/>
    <n v="2648427.2727272725"/>
  </r>
  <r>
    <x v="21"/>
    <s v="수"/>
    <m/>
    <x v="1"/>
    <s v="카페24"/>
    <s v="라베나 리커버리 15 리바이탈 샴푸 [HAIR RÉ:COVERY 15 Revital Shampoo]제품선택=리바이탈 샴푸 3개 세트 10% 추가할인"/>
    <n v="14"/>
    <s v="리바이탈 샴푸 3set"/>
    <n v="201210"/>
    <m/>
    <n v="1016820"/>
    <n v="957336.03"/>
    <n v="126840"/>
    <n v="924381.81818181812"/>
  </r>
  <r>
    <x v="21"/>
    <s v="수"/>
    <m/>
    <x v="2"/>
    <s v="카페24"/>
    <s v="라베나 리커버리 15 헤어팩 트리트먼트 [HAIR RÉ:COVERY 15 Hairpack Treatment]제품선택=헤어 리커버리 15 헤어팩 트리트먼트"/>
    <n v="7"/>
    <s v="트리트먼트"/>
    <n v="201210"/>
    <m/>
    <n v="182000"/>
    <n v="171353"/>
    <n v="11179"/>
    <n v="165454.54545454544"/>
  </r>
  <r>
    <x v="21"/>
    <s v="수"/>
    <m/>
    <x v="2"/>
    <s v="카페24"/>
    <s v="라베나 리커버리 15 헤어팩 트리트먼트 [HAIR RÉ:COVERY 15 Hairpack Treatment]제품선택=헤어팩 트리트먼트 2개 세트 5% 추가할인"/>
    <n v="2"/>
    <s v="트리트먼트 2set"/>
    <n v="201210"/>
    <m/>
    <n v="98800"/>
    <n v="93020.2"/>
    <n v="6388"/>
    <n v="89818.181818181809"/>
  </r>
  <r>
    <x v="21"/>
    <s v="수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21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21"/>
    <s v="수"/>
    <m/>
    <x v="1"/>
    <s v="카페24"/>
    <s v="헤어 리커버리 15 리바이탈 샴푸"/>
    <n v="2"/>
    <s v="리바이탈 샴푸"/>
    <n v="201210"/>
    <m/>
    <n v="53800"/>
    <n v="50652.7"/>
    <n v="6040"/>
    <n v="48909.090909090904"/>
  </r>
  <r>
    <x v="22"/>
    <s v="목"/>
    <m/>
    <x v="1"/>
    <s v="라베나 CS"/>
    <s v="헤어 리커버리 15 리바이탈 샴푸"/>
    <n v="1"/>
    <s v="리바이탈 샴푸"/>
    <n v="201210"/>
    <m/>
    <n v="0"/>
    <n v="0"/>
    <n v="3020"/>
    <n v="0"/>
  </r>
  <r>
    <x v="22"/>
    <s v="목"/>
    <m/>
    <x v="1"/>
    <s v="카페24"/>
    <s v="HAIR RÉ:COVERY 15 Revital Shampoo [라베나 리커버리 15 리바이탈 샴푸]제품선택=헤어 리커버리 15 리바이탈 샴푸 - 500ml"/>
    <n v="2"/>
    <s v="리바이탈 샴푸"/>
    <n v="201210"/>
    <m/>
    <n v="53800"/>
    <n v="50652.7"/>
    <n v="6040"/>
    <n v="48909.090909090904"/>
  </r>
  <r>
    <x v="22"/>
    <s v="목"/>
    <m/>
    <x v="3"/>
    <s v="카페24"/>
    <s v="라베나 리커버리 15 뉴트리셔스 밤 [HAIR RÉ:COVERY 15 Nutritious Balm]제품선택=헤어 리커버리 15 뉴트리셔스 밤"/>
    <n v="3"/>
    <s v="뉴트리셔스밤"/>
    <n v="201210"/>
    <m/>
    <n v="74700"/>
    <n v="70330.05"/>
    <n v="4740"/>
    <n v="67909.090909090897"/>
  </r>
  <r>
    <x v="22"/>
    <s v="목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22"/>
    <s v="목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22"/>
    <s v="목"/>
    <m/>
    <x v="1"/>
    <s v="카페24"/>
    <s v="라베나 리커버리 15 리바이탈 샴푸 [HAIR RÉ:COVERY 15 Revital Shampoo]제품선택=헤어 리커버리 15 리바이탈 샴푸 - 500ml"/>
    <n v="181"/>
    <s v="리바이탈 샴푸"/>
    <n v="201210"/>
    <m/>
    <n v="4868900"/>
    <n v="4584069.3499999996"/>
    <n v="546620"/>
    <n v="4426272.7272727266"/>
  </r>
  <r>
    <x v="22"/>
    <s v="목"/>
    <m/>
    <x v="1"/>
    <s v="카페24"/>
    <s v="라베나 리커버리 15 리바이탈 샴푸 [HAIR RÉ:COVERY 15 Revital Shampoo]제품선택=리바이탈 샴푸 2개 세트 5%추가할인"/>
    <n v="56"/>
    <s v="리바이탈 샴푸 2set"/>
    <n v="201210"/>
    <m/>
    <n v="2862160"/>
    <n v="2694723.64"/>
    <n v="338240"/>
    <n v="2601963.6363636362"/>
  </r>
  <r>
    <x v="22"/>
    <s v="목"/>
    <m/>
    <x v="1"/>
    <s v="카페24"/>
    <s v="라베나 리커버리 15 리바이탈 샴푸 [HAIR RÉ:COVERY 15 Revital Shampoo]제품선택=리바이탈 샴푸 3개 세트 10% 추가할인"/>
    <n v="24"/>
    <s v="리바이탈 샴푸 3set"/>
    <n v="201210"/>
    <m/>
    <n v="1743120"/>
    <n v="1641147.48"/>
    <n v="217440"/>
    <n v="1584654.5454545454"/>
  </r>
  <r>
    <x v="22"/>
    <s v="목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35"/>
  </r>
  <r>
    <x v="22"/>
    <s v="목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22"/>
    <s v="목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22"/>
    <s v="목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23"/>
    <s v="금"/>
    <m/>
    <x v="3"/>
    <s v="카페24"/>
    <s v="라베나 리커버리 15 뉴트리셔스 밤 [HAIR RÉ:COVERY 15 Nutritious Balm]제품선택=헤어 리커버리 15 뉴트리셔스 밤"/>
    <n v="8"/>
    <s v="뉴트리셔스밤"/>
    <n v="201210"/>
    <m/>
    <n v="199200"/>
    <n v="187546.8"/>
    <n v="12640"/>
    <n v="181090.90909090909"/>
  </r>
  <r>
    <x v="23"/>
    <s v="금"/>
    <m/>
    <x v="3"/>
    <s v="카페24"/>
    <s v="라베나 리커버리 15 뉴트리셔스 밤 [HAIR RÉ:COVERY 15 Nutritious Balm]제품선택=뉴트리셔스 밤 3개 세트 10% 추가할인"/>
    <n v="1"/>
    <s v="뉴트리셔스밤 3set"/>
    <n v="201210"/>
    <m/>
    <n v="62868"/>
    <n v="59190.222000000002"/>
    <n v="4740"/>
    <n v="57152.727272727265"/>
  </r>
  <r>
    <x v="23"/>
    <s v="금"/>
    <m/>
    <x v="3"/>
    <s v="카페24"/>
    <s v="라베나 리커버리 15 뉴트리셔스 밤 [HAIR RÉ:COVERY 15 Nutritious Balm]제품선택=뉴트리셔스밤 1개 + 헤어팩 트리트먼트 1개 세트 5%추가할인"/>
    <n v="4"/>
    <s v="트리트먼트+뉴트리셔스밤"/>
    <n v="201210"/>
    <m/>
    <n v="193420"/>
    <n v="182104.93"/>
    <n v="12708"/>
    <n v="175836.36363636362"/>
  </r>
  <r>
    <x v="23"/>
    <s v="금"/>
    <m/>
    <x v="1"/>
    <s v="카페24"/>
    <s v="라베나 리커버리 15 리바이탈 샴푸 [HAIR RÉ:COVERY 15 Revital Shampoo]제품선택=헤어 리커버리 15 리바이탈 샴푸 - 500ml"/>
    <n v="143"/>
    <s v="리바이탈 샴푸"/>
    <n v="201210"/>
    <m/>
    <n v="3846700"/>
    <n v="3621668.05"/>
    <n v="431860"/>
    <n v="3496999.9999999995"/>
  </r>
  <r>
    <x v="23"/>
    <s v="금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79"/>
  </r>
  <r>
    <x v="23"/>
    <s v="금"/>
    <m/>
    <x v="1"/>
    <s v="카페24"/>
    <s v="라베나 리커버리 15 리바이탈 샴푸 [HAIR RÉ:COVERY 15 Revital Shampoo]제품선택=리바이탈 샴푸 3개 세트 10% 추가할인"/>
    <n v="16"/>
    <s v="리바이탈 샴푸 3set"/>
    <n v="201210"/>
    <m/>
    <n v="1162080"/>
    <n v="1094098.32"/>
    <n v="144960"/>
    <n v="1056436.3636363635"/>
  </r>
  <r>
    <x v="23"/>
    <s v="금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1"/>
  </r>
  <r>
    <x v="23"/>
    <s v="금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01210"/>
    <m/>
    <n v="148200"/>
    <n v="139530.29999999999"/>
    <n v="9582"/>
    <n v="134727.27272727271"/>
  </r>
  <r>
    <x v="23"/>
    <s v="금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23"/>
    <s v="금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24"/>
    <s v="토"/>
    <m/>
    <x v="3"/>
    <s v="카페24"/>
    <s v="라베나 리커버리 15 뉴트리셔스 밤 [HAIR RÉ:COVERY 15 Nutritious Balm]제품선택=헤어 리커버리 15 뉴트리셔스 밤"/>
    <n v="3"/>
    <s v="뉴트리셔스밤"/>
    <n v="201210"/>
    <m/>
    <n v="74700"/>
    <n v="70330.05"/>
    <n v="4740"/>
    <n v="67909.090909090897"/>
  </r>
  <r>
    <x v="24"/>
    <s v="토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24"/>
    <s v="토"/>
    <m/>
    <x v="1"/>
    <s v="카페24"/>
    <s v="라베나 리커버리 15 리바이탈 샴푸 [HAIR RÉ:COVERY 15 Revital Shampoo]제품선택=헤어 리커버리 15 리바이탈 샴푸 - 500ml"/>
    <n v="141"/>
    <s v="리바이탈 샴푸"/>
    <n v="201210"/>
    <m/>
    <n v="3792900"/>
    <n v="3571015.35"/>
    <n v="425820"/>
    <n v="3448090.9090909087"/>
  </r>
  <r>
    <x v="24"/>
    <s v="토"/>
    <m/>
    <x v="1"/>
    <s v="카페24"/>
    <s v="라베나 리커버리 15 리바이탈 샴푸 [HAIR RÉ:COVERY 15 Revital Shampoo]제품선택=리바이탈 샴푸 2개 세트 5%추가할인"/>
    <n v="47"/>
    <s v="리바이탈 샴푸 2set"/>
    <n v="201210"/>
    <m/>
    <n v="2402170"/>
    <n v="2261643.0550000002"/>
    <n v="283880"/>
    <n v="2183790.9090909087"/>
  </r>
  <r>
    <x v="24"/>
    <s v="토"/>
    <m/>
    <x v="1"/>
    <s v="카페24"/>
    <s v="라베나 리커버리 15 리바이탈 샴푸 [HAIR RÉ:COVERY 15 Revital Shampoo]제품선택=리바이탈 샴푸 3개 세트 10% 추가할인"/>
    <n v="19"/>
    <s v="리바이탈 샴푸 3set"/>
    <n v="201210"/>
    <m/>
    <n v="1379970"/>
    <n v="1299241.7549999999"/>
    <n v="172140"/>
    <n v="1254518.1818181816"/>
  </r>
  <r>
    <x v="24"/>
    <s v="토"/>
    <m/>
    <x v="2"/>
    <s v="카페24"/>
    <s v="라베나 리커버리 15 헤어팩 트리트먼트 [HAIR RÉ:COVERY 15 Hairpack Treatment]제품선택=헤어 리커버리 15 헤어팩 트리트먼트"/>
    <n v="8"/>
    <s v="트리트먼트"/>
    <n v="201210"/>
    <m/>
    <n v="208000"/>
    <n v="195832"/>
    <n v="12776"/>
    <n v="189090.90909090909"/>
  </r>
  <r>
    <x v="24"/>
    <s v="토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3"/>
  </r>
  <r>
    <x v="24"/>
    <s v="토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0000001"/>
    <n v="9531"/>
    <n v="131877.27272727271"/>
  </r>
  <r>
    <x v="25"/>
    <s v="일"/>
    <m/>
    <x v="3"/>
    <s v="카페24"/>
    <s v="라베나 리커버리 15 뉴트리셔스 밤 [HAIR RÉ:COVERY 15 Nutritious Balm]제품선택=헤어 리커버리 15 뉴트리셔스 밤"/>
    <n v="12"/>
    <s v="뉴트리셔스밤"/>
    <n v="201210"/>
    <m/>
    <n v="298800"/>
    <n v="281320.2"/>
    <n v="18960"/>
    <n v="271636.36363636359"/>
  </r>
  <r>
    <x v="25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25"/>
    <s v="일"/>
    <m/>
    <x v="3"/>
    <s v="카페24"/>
    <s v="라베나 리커버리 15 뉴트리셔스 밤 [HAIR RÉ:COVERY 15 Nutritious Balm]제품선택=뉴트리셔스밤 1개 + 헤어팩 트리트먼트 1개 세트 5%추가할인"/>
    <n v="3"/>
    <s v="트리트먼트+뉴트리셔스밤"/>
    <n v="201210"/>
    <m/>
    <n v="145065"/>
    <n v="136578.69750000001"/>
    <n v="9531"/>
    <n v="131877.27272727271"/>
  </r>
  <r>
    <x v="25"/>
    <s v="일"/>
    <m/>
    <x v="1"/>
    <s v="카페24"/>
    <s v="라베나 리커버리 15 리바이탈 샴푸 [HAIR RÉ:COVERY 15 Revital Shampoo]제품선택=헤어 리커버리 15 리바이탈 샴푸 - 500ml"/>
    <n v="176"/>
    <s v="리바이탈 샴푸"/>
    <n v="201210"/>
    <m/>
    <n v="4734400"/>
    <n v="4457437.5999999996"/>
    <n v="531520"/>
    <n v="4304000"/>
  </r>
  <r>
    <x v="25"/>
    <s v="일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79"/>
  </r>
  <r>
    <x v="25"/>
    <s v="일"/>
    <m/>
    <x v="1"/>
    <s v="카페24"/>
    <s v="라베나 리커버리 15 리바이탈 샴푸 [HAIR RÉ:COVERY 15 Revital Shampoo]제품선택=리바이탈 샴푸 3개 세트 10% 추가할인"/>
    <n v="13"/>
    <s v="리바이탈 샴푸 3set"/>
    <n v="201210"/>
    <m/>
    <n v="944190"/>
    <n v="888954.88500000001"/>
    <n v="117780"/>
    <n v="858354.54545454541"/>
  </r>
  <r>
    <x v="25"/>
    <s v="일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35"/>
  </r>
  <r>
    <x v="25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25"/>
    <s v="일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16"/>
  </r>
  <r>
    <x v="26"/>
    <s v="월"/>
    <m/>
    <x v="3"/>
    <s v="카페24"/>
    <s v="라베나 리커버리 15 뉴트리셔스 밤 [HAIR R?:COVERY 15 Nutritious Balm]제품선택=헤어 리커버리 15 뉴트리셔스 밤"/>
    <n v="5"/>
    <s v="뉴트리셔스밤"/>
    <n v="201210"/>
    <m/>
    <n v="124500"/>
    <n v="117216.75"/>
    <n v="7900"/>
    <n v="113181.81818181818"/>
  </r>
  <r>
    <x v="26"/>
    <s v="월"/>
    <m/>
    <x v="3"/>
    <s v="카페24"/>
    <s v="라베나 리커버리 15 뉴트리셔스 밤 [HAIR R?:COVERY 15 Nutritious Balm]제품선택=뉴트리셔스 밤 2개 세트 5% 추가할인"/>
    <n v="2"/>
    <s v="뉴트리셔스밤 2set"/>
    <n v="201210"/>
    <m/>
    <n v="94620"/>
    <n v="89084.73"/>
    <n v="6320"/>
    <n v="86018.181818181809"/>
  </r>
  <r>
    <x v="26"/>
    <s v="월"/>
    <m/>
    <x v="3"/>
    <s v="카페24"/>
    <s v="라베나 리커버리 15 뉴트리셔스 밤 [HAIR R?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26"/>
    <s v="월"/>
    <m/>
    <x v="1"/>
    <s v="카페24"/>
    <s v="라베나 리커버리 15 리바이탈 샴푸 [HAIR R?:COVERY 15 Revital Shampoo]제품선택=헤어 리커버리 15 리바이탈 샴푸 - 500ml"/>
    <n v="148"/>
    <s v="리바이탈 샴푸"/>
    <n v="201210"/>
    <m/>
    <n v="3981200"/>
    <n v="3748299.8"/>
    <n v="446960"/>
    <n v="3619272.7272727271"/>
  </r>
  <r>
    <x v="26"/>
    <s v="월"/>
    <m/>
    <x v="1"/>
    <s v="카페24"/>
    <s v="라베나 리커버리 15 리바이탈 샴푸 [HAIR R?:COVERY 15 Revital Shampoo]제품선택=리바이탈 샴푸 2개 세트 5%추가할인"/>
    <n v="48"/>
    <s v="리바이탈 샴푸 2set"/>
    <n v="201210"/>
    <m/>
    <n v="2453280"/>
    <n v="2309763.12"/>
    <n v="289920"/>
    <n v="2230254.5454545454"/>
  </r>
  <r>
    <x v="26"/>
    <s v="월"/>
    <m/>
    <x v="1"/>
    <s v="카페24"/>
    <s v="라베나 리커버리 15 리바이탈 샴푸 [HAIR R?:COVERY 15 Revital Shampoo]제품선택=리바이탈 샴푸 3개 세트 10% 추가할인"/>
    <n v="23"/>
    <s v="리바이탈 샴푸 3set"/>
    <n v="201210"/>
    <m/>
    <n v="1670490"/>
    <n v="1572766.335"/>
    <n v="208380"/>
    <n v="1518627.2727272727"/>
  </r>
  <r>
    <x v="26"/>
    <s v="월"/>
    <m/>
    <x v="2"/>
    <s v="카페24"/>
    <s v="라베나 리커버리 15 헤어팩 트리트먼트 [HAIR R?:COVERY 15 Hairpack Treatment]제품선택=헤어 리커버리 15 헤어팩 트리트먼트"/>
    <n v="13"/>
    <s v="트리트먼트"/>
    <n v="201210"/>
    <m/>
    <n v="338000"/>
    <n v="318227"/>
    <n v="20761"/>
    <n v="307272.72727272724"/>
  </r>
  <r>
    <x v="26"/>
    <s v="월"/>
    <m/>
    <x v="2"/>
    <s v="카페24"/>
    <s v="라베나 리커버리 15 헤어팩 트리트먼트 [HAIR R?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26"/>
    <s v="월"/>
    <m/>
    <x v="1"/>
    <s v="카페24"/>
    <s v="헤어 리커버리 15 리바이탈 샴푸"/>
    <n v="1"/>
    <s v="리바이탈 샴푸"/>
    <n v="201210"/>
    <m/>
    <n v="26900"/>
    <n v="25326.35"/>
    <n v="3020"/>
    <n v="24454.545454545452"/>
  </r>
  <r>
    <x v="27"/>
    <s v="화"/>
    <m/>
    <x v="2"/>
    <s v="카페24"/>
    <s v="(플친전용)HAIR RÉ:COVERY 15 Hairpack Treatment [헤어 리커버리 15 헤어팩 트리트먼트]제품선택=헤어 리커버리 15 헤어팩 트리트먼트"/>
    <n v="4"/>
    <s v="트리트먼트"/>
    <n v="201210"/>
    <m/>
    <n v="88440"/>
    <n v="83266.259999999995"/>
    <n v="6388"/>
    <n v="80400"/>
  </r>
  <r>
    <x v="27"/>
    <s v="화"/>
    <m/>
    <x v="2"/>
    <s v="카페24"/>
    <s v="(플친전용)HAIR RÉ:COVERY 15 Hairpack Treatment [헤어 리커버리 15 헤어팩 트리트먼트]제품선택=헤어팩 트리트먼트 2개 세트"/>
    <n v="2"/>
    <s v="트리트먼트 2set"/>
    <n v="201210"/>
    <m/>
    <n v="88440"/>
    <n v="83266.259999999995"/>
    <n v="6388"/>
    <n v="80400"/>
  </r>
  <r>
    <x v="27"/>
    <s v="화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3"/>
  </r>
  <r>
    <x v="27"/>
    <s v="화"/>
    <m/>
    <x v="3"/>
    <s v="카페24"/>
    <s v="(플친전용)HAIR RÉ:COVERY 15 Nutritious Balm [헤어 리커버리 15 뉴트리셔스 밤]제품선택=헤어 리커버리 15 뉴트리셔스 밤"/>
    <n v="9"/>
    <s v="뉴트리셔스밤"/>
    <n v="201210"/>
    <m/>
    <n v="188604"/>
    <n v="177570.666"/>
    <n v="14220"/>
    <n v="171458.18181818179"/>
  </r>
  <r>
    <x v="27"/>
    <s v="화"/>
    <m/>
    <x v="3"/>
    <s v="카페24"/>
    <s v="(플친전용)HAIR RÉ:COVERY 15 Nutritious Balm [헤어 리커버리 15 뉴트리셔스 밤]제품선택=뉴트리셔스 밤 2개 세트"/>
    <n v="2"/>
    <s v="뉴트리셔스밤 2set"/>
    <n v="201210"/>
    <m/>
    <n v="83824"/>
    <n v="78920.296000000002"/>
    <n v="6320"/>
    <n v="76203.636363636353"/>
  </r>
  <r>
    <x v="27"/>
    <s v="화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000000002"/>
    <n v="4740"/>
    <n v="57152.727272727265"/>
  </r>
  <r>
    <x v="27"/>
    <s v="화"/>
    <m/>
    <x v="3"/>
    <s v="카페24"/>
    <s v="(플친전용)HAIR RÉ:COVERY 15 Nutritious Balm [헤어 리커버리 15 뉴트리셔스 밤]제품선택=뉴트리셔스밤 1개 + 헤어팩 트리트먼트 1개 세트"/>
    <n v="2"/>
    <s v="트리트먼트+뉴트리셔스밤"/>
    <n v="201210"/>
    <m/>
    <n v="86132"/>
    <n v="81093.278000000006"/>
    <n v="6354"/>
    <n v="78301.818181818177"/>
  </r>
  <r>
    <x v="27"/>
    <s v="화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000000001"/>
    <n v="11060"/>
    <n v="158454.54545454544"/>
  </r>
  <r>
    <x v="27"/>
    <s v="화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09"/>
  </r>
  <r>
    <x v="27"/>
    <s v="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4999999997"/>
    <n v="6354"/>
    <n v="87918.181818181809"/>
  </r>
  <r>
    <x v="27"/>
    <s v="화"/>
    <m/>
    <x v="1"/>
    <s v="카페24"/>
    <s v="라베나 리커버리 15 리바이탈 샴푸 [HAIR RÉ:COVERY 15 Revital Shampoo]제품선택=헤어 리커버리 15 리바이탈 샴푸 - 500ml"/>
    <n v="140"/>
    <s v="리바이탈 샴푸"/>
    <n v="201210"/>
    <m/>
    <n v="3766000"/>
    <n v="3545689"/>
    <n v="422800"/>
    <n v="3423636.3636363633"/>
  </r>
  <r>
    <x v="27"/>
    <s v="화"/>
    <m/>
    <x v="1"/>
    <s v="카페24"/>
    <s v="라베나 리커버리 15 리바이탈 샴푸 [HAIR RÉ:COVERY 15 Revital Shampoo]제품선택=리바이탈 샴푸 2개 세트 5%추가할인"/>
    <n v="39"/>
    <s v="리바이탈 샴푸 2set"/>
    <n v="201210"/>
    <m/>
    <n v="1993290"/>
    <n v="1876682.5349999999"/>
    <n v="235560"/>
    <n v="1812081.8181818181"/>
  </r>
  <r>
    <x v="27"/>
    <s v="화"/>
    <m/>
    <x v="1"/>
    <s v="카페24"/>
    <s v="라베나 리커버리 15 리바이탈 샴푸 [HAIR RÉ:COVERY 15 Revital Shampoo]제품선택=리바이탈 샴푸 3개 세트 10% 추가할인"/>
    <n v="10"/>
    <s v="리바이탈 샴푸 3set"/>
    <n v="201210"/>
    <m/>
    <n v="726300"/>
    <n v="683811.45"/>
    <n v="90600"/>
    <n v="660272.72727272718"/>
  </r>
  <r>
    <x v="27"/>
    <s v="화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1"/>
  </r>
  <r>
    <x v="27"/>
    <s v="화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27"/>
    <s v="화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27"/>
    <s v="화"/>
    <m/>
    <x v="1"/>
    <s v="카페24"/>
    <s v="헤어 리커버리 15 리바이탈 샴푸"/>
    <n v="3"/>
    <s v="리바이탈 샴푸"/>
    <n v="201210"/>
    <m/>
    <n v="80700"/>
    <n v="75979.05"/>
    <n v="9060"/>
    <n v="73363.636363636353"/>
  </r>
  <r>
    <x v="28"/>
    <s v="수"/>
    <m/>
    <x v="2"/>
    <s v="카페24"/>
    <s v="(플친전용)HAIR RÉ:COVERY 15 Hairpack Treatment [헤어 리커버리 15 헤어팩 트리트먼트]제품선택=헤어팩 트리트먼트 2개 세트"/>
    <n v="3"/>
    <s v="트리트먼트 2set"/>
    <n v="201210"/>
    <m/>
    <n v="132660"/>
    <n v="124899.39"/>
    <n v="9582"/>
    <n v="120599.99999999999"/>
  </r>
  <r>
    <x v="28"/>
    <s v="수"/>
    <m/>
    <x v="2"/>
    <s v="카페24"/>
    <s v="(플친전용)HAIR RÉ:COVERY 15 Hairpack Treatment [헤어 리커버리 15 헤어팩 트리트먼트]제품선택=헤어팩 트리트먼트 1개 + 뉴트리셔스 밤 1개 세트"/>
    <n v="2"/>
    <s v="트리트먼트+뉴트리셔스밤"/>
    <n v="201210"/>
    <m/>
    <n v="86132"/>
    <n v="81093.278000000006"/>
    <n v="6354"/>
    <n v="78301.818181818177"/>
  </r>
  <r>
    <x v="28"/>
    <s v="수"/>
    <m/>
    <x v="3"/>
    <s v="카페24"/>
    <s v="(플친전용)HAIR RÉ:COVERY 15 Nutritious Balm [헤어 리커버리 15 뉴트리셔스 밤]제품선택=헤어 리커버리 15 뉴트리셔스 밤"/>
    <n v="3"/>
    <s v="뉴트리셔스밤"/>
    <n v="201210"/>
    <m/>
    <n v="62868"/>
    <n v="59190.222000000002"/>
    <n v="4740"/>
    <n v="57152.727272727265"/>
  </r>
  <r>
    <x v="28"/>
    <s v="수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000000001"/>
    <n v="3160"/>
    <n v="38101.818181818177"/>
  </r>
  <r>
    <x v="28"/>
    <s v="수"/>
    <m/>
    <x v="3"/>
    <s v="카페24"/>
    <s v="(플친전용)HAIR RÉ:COVERY 15 Nutritious Balm [헤어 리커버리 15 뉴트리셔스 밤]제품선택=뉴트리셔스밤 1개 + 헤어팩 트리트먼트 1개 세트"/>
    <n v="3"/>
    <s v="트리트먼트+뉴트리셔스밤"/>
    <n v="201210"/>
    <m/>
    <n v="129198"/>
    <n v="121639.917"/>
    <n v="9531"/>
    <n v="117452.72727272726"/>
  </r>
  <r>
    <x v="28"/>
    <s v="수"/>
    <m/>
    <x v="3"/>
    <s v="카페24"/>
    <s v="라베나 리커버리 15 뉴트리셔스 밤 [HAIR RÉ:COVERY 15 Nutritious Balm]제품선택=헤어 리커버리 15 뉴트리셔스 밤"/>
    <n v="6"/>
    <s v="뉴트리셔스밤"/>
    <n v="201210"/>
    <m/>
    <n v="149400"/>
    <n v="140660.1"/>
    <n v="9480"/>
    <n v="135818.18181818179"/>
  </r>
  <r>
    <x v="28"/>
    <s v="수"/>
    <m/>
    <x v="1"/>
    <s v="카페24"/>
    <s v="라베나 리커버리 15 리바이탈 샴푸 [HAIR RÉ:COVERY 15 Revital Shampoo]제품선택=헤어 리커버리 15 리바이탈 샴푸 - 500ml"/>
    <n v="139"/>
    <s v="리바이탈 샴푸"/>
    <n v="201210"/>
    <m/>
    <n v="3739100"/>
    <n v="3520362.65"/>
    <n v="419780"/>
    <n v="3399181.8181818179"/>
  </r>
  <r>
    <x v="28"/>
    <s v="수"/>
    <m/>
    <x v="1"/>
    <s v="카페24"/>
    <s v="라베나 리커버리 15 리바이탈 샴푸 [HAIR RÉ:COVERY 15 Revital Shampoo]제품선택=리바이탈 샴푸 2개 세트 5%추가할인"/>
    <n v="45"/>
    <s v="리바이탈 샴푸 2set"/>
    <n v="201210"/>
    <m/>
    <n v="2299950"/>
    <n v="2165402.9249999998"/>
    <n v="271800"/>
    <n v="2090863.6363636362"/>
  </r>
  <r>
    <x v="28"/>
    <s v="수"/>
    <m/>
    <x v="1"/>
    <s v="카페24"/>
    <s v="라베나 리커버리 15 리바이탈 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2"/>
  </r>
  <r>
    <x v="28"/>
    <s v="수"/>
    <m/>
    <x v="2"/>
    <s v="카페24"/>
    <s v="라베나 리커버리 15 헤어팩 트리트먼트 [HAIR RÉ:COVERY 15 Hairpack Treatment]제품선택=헤어 리커버리 15 헤어팩 트리트먼트"/>
    <n v="5"/>
    <s v="트리트먼트"/>
    <n v="201210"/>
    <m/>
    <n v="130000"/>
    <n v="122395"/>
    <n v="7985"/>
    <n v="118181.81818181818"/>
  </r>
  <r>
    <x v="28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28"/>
    <s v="수"/>
    <m/>
    <x v="1"/>
    <s v="카페24"/>
    <s v="헤어 리커버리 15 리바이탈 샴푸"/>
    <n v="4"/>
    <s v="리바이탈 샴푸"/>
    <n v="201210"/>
    <m/>
    <n v="107600"/>
    <n v="101305.4"/>
    <n v="12080"/>
    <n v="97818.181818181809"/>
  </r>
  <r>
    <x v="29"/>
    <s v="목"/>
    <m/>
    <x v="2"/>
    <s v="카페24"/>
    <s v="(플친전용)HAIR RÉ:COVERY 15 Hairpack Treatment [헤어 리커버리 15 헤어팩 트리트먼트]제품선택=헤어 리커버리 15 헤어팩 트리트먼트"/>
    <n v="3"/>
    <s v="트리트먼트"/>
    <n v="201210"/>
    <m/>
    <n v="66330"/>
    <n v="62449.695"/>
    <n v="4791"/>
    <n v="60299.999999999993"/>
  </r>
  <r>
    <x v="29"/>
    <s v="목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000000001"/>
    <n v="3160"/>
    <n v="38101.818181818177"/>
  </r>
  <r>
    <x v="29"/>
    <s v="목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000000001"/>
    <n v="3160"/>
    <n v="38101.818181818177"/>
  </r>
  <r>
    <x v="29"/>
    <s v="목"/>
    <m/>
    <x v="3"/>
    <s v="카페24"/>
    <s v="라베나 리커버리 15 뉴트리셔스 밤 [HAIR RÉ:COVERY 15 Nutritious Balm]제품선택=헤어 리커버리 15 뉴트리셔스 밤"/>
    <n v="1"/>
    <s v="뉴트리셔스밤"/>
    <n v="201210"/>
    <m/>
    <n v="24900"/>
    <n v="23443.35"/>
    <n v="1580"/>
    <n v="22636.363636363636"/>
  </r>
  <r>
    <x v="29"/>
    <s v="목"/>
    <m/>
    <x v="1"/>
    <s v="카페24"/>
    <s v="라베나 리커버리 15 리바이탈 샴푸 [HAIR RÉ:COVERY 15 Revital Shampoo]제품선택=헤어 리커버리 15 리바이탈 샴푸 - 500ml"/>
    <n v="146"/>
    <s v="리바이탈 샴푸"/>
    <n v="201210"/>
    <m/>
    <n v="3927400"/>
    <n v="3697647.1"/>
    <n v="440920"/>
    <n v="3570363.6363636362"/>
  </r>
  <r>
    <x v="29"/>
    <s v="목"/>
    <m/>
    <x v="1"/>
    <s v="카페24"/>
    <s v="라베나 리커버리 15 리바이탈 샴푸 [HAIR RÉ:COVERY 15 Revital Shampoo]제품선택=리바이탈 샴푸 2개 세트 5%추가할인"/>
    <n v="43"/>
    <s v="리바이탈 샴푸 2set"/>
    <n v="201210"/>
    <m/>
    <n v="2197730"/>
    <n v="2069162.7949999999"/>
    <n v="259720"/>
    <n v="1997936.3636363635"/>
  </r>
  <r>
    <x v="29"/>
    <s v="목"/>
    <m/>
    <x v="1"/>
    <s v="카페24"/>
    <s v="라베나 리커버리 15 리바이탈 샴푸 [HAIR RÉ:COVERY 15 Revital Shampoo]제품선택=리바이탈 샴푸 3개 세트 10% 추가할인"/>
    <n v="24"/>
    <s v="리바이탈 샴푸 3set"/>
    <n v="201210"/>
    <m/>
    <n v="1743120"/>
    <n v="1641147.48"/>
    <n v="217440"/>
    <n v="1584654.5454545454"/>
  </r>
  <r>
    <x v="29"/>
    <s v="목"/>
    <m/>
    <x v="2"/>
    <s v="카페24"/>
    <s v="라베나 리커버리 15 헤어팩 트리트먼트 [HAIR RÉ:COVERY 15 Hairpack Treatment]제품선택=헤어 리커버리 15 헤어팩 트리트먼트"/>
    <n v="3"/>
    <s v="트리트먼트"/>
    <n v="201210"/>
    <m/>
    <n v="78000"/>
    <n v="73437"/>
    <n v="4791"/>
    <n v="70909.090909090897"/>
  </r>
  <r>
    <x v="29"/>
    <s v="목"/>
    <m/>
    <x v="2"/>
    <s v="카페24"/>
    <s v="라베나 리커버리 15 헤어팩 트리트먼트 [HAIR RÉ:COVERY 15 Hairpack Treatment]제품선택=헤어팩 트리트먼트 2개 세트 5% 추가할인"/>
    <n v="2"/>
    <s v="트리트먼트 2set"/>
    <n v="201210"/>
    <m/>
    <n v="98800"/>
    <n v="93020.2"/>
    <n v="6388"/>
    <n v="89818.181818181809"/>
  </r>
  <r>
    <x v="29"/>
    <s v="목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3"/>
  </r>
  <r>
    <x v="29"/>
    <s v="목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499999998"/>
    <n v="3177"/>
    <n v="43959.090909090904"/>
  </r>
  <r>
    <x v="29"/>
    <s v="목"/>
    <m/>
    <x v="1"/>
    <s v="카페24"/>
    <s v="헤어 리커버리 15 리바이탈 샴푸"/>
    <n v="4"/>
    <s v="리바이탈 샴푸"/>
    <n v="201210"/>
    <m/>
    <n v="107600"/>
    <n v="101305.4"/>
    <n v="12080"/>
    <n v="97818.181818181809"/>
  </r>
  <r>
    <x v="30"/>
    <s v="금"/>
    <m/>
    <x v="2"/>
    <s v="카페24"/>
    <s v="(플친전용)HAIR RÉ:COVERY 15 Hairpack Treatment [헤어 리커버리 15 헤어팩 트리트먼트]제품선택=헤어 리커버리 15 헤어팩 트리트먼트"/>
    <n v="9"/>
    <s v="트리트먼트"/>
    <n v="201210"/>
    <m/>
    <n v="198990"/>
    <n v="187349.08499999999"/>
    <n v="14373"/>
    <n v="180899.99999999997"/>
  </r>
  <r>
    <x v="30"/>
    <s v="금"/>
    <m/>
    <x v="2"/>
    <s v="카페24"/>
    <s v="(플친전용)HAIR RÉ:COVERY 15 Hairpack Treatment [헤어 리커버리 15 헤어팩 트리트먼트]제품선택=헤어팩 트리트먼트 2개 세트"/>
    <n v="6"/>
    <s v="트리트먼트 2set"/>
    <n v="201210"/>
    <m/>
    <n v="265320"/>
    <n v="249798.78"/>
    <n v="19164"/>
    <n v="241199.99999999997"/>
  </r>
  <r>
    <x v="30"/>
    <s v="금"/>
    <m/>
    <x v="2"/>
    <s v="카페24"/>
    <s v="(플친전용)HAIR RÉ:COVERY 15 Hairpack Treatment [헤어 리커버리 15 헤어팩 트리트먼트]제품선택=헤어팩 트리트먼트 3개 세트"/>
    <n v="4"/>
    <s v="트리트먼트 3set"/>
    <n v="201210"/>
    <m/>
    <n v="265320"/>
    <n v="249798.78"/>
    <n v="19164"/>
    <n v="241199.99999999997"/>
  </r>
  <r>
    <x v="30"/>
    <s v="금"/>
    <m/>
    <x v="2"/>
    <s v="카페24"/>
    <s v="(플친전용)HAIR RÉ:COVERY 15 Hairpack Treatment [헤어 리커버리 15 헤어팩 트리트먼트]제품선택=헤어팩 트리트먼트 1개 + 뉴트리셔스 밤 1개 세트"/>
    <n v="2"/>
    <s v="트리트먼트+뉴트리셔스밤"/>
    <n v="201210"/>
    <m/>
    <n v="86132"/>
    <n v="81093.278000000006"/>
    <n v="6354"/>
    <n v="78301.818181818177"/>
  </r>
  <r>
    <x v="30"/>
    <s v="금"/>
    <m/>
    <x v="3"/>
    <s v="카페24"/>
    <s v="(플친전용)HAIR RÉ:COVERY 15 Nutritious Balm [헤어 리커버리 15 뉴트리셔스 밤]제품선택=헤어 리커버리 15 뉴트리셔스 밤"/>
    <n v="7"/>
    <s v="뉴트리셔스밤"/>
    <n v="201210"/>
    <m/>
    <n v="146692"/>
    <n v="138110.51800000001"/>
    <n v="11060"/>
    <n v="133356.36363636362"/>
  </r>
  <r>
    <x v="30"/>
    <s v="금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000000001"/>
    <n v="3160"/>
    <n v="38101.818181818177"/>
  </r>
  <r>
    <x v="30"/>
    <s v="금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000000002"/>
    <n v="4740"/>
    <n v="57152.727272727265"/>
  </r>
  <r>
    <x v="30"/>
    <s v="금"/>
    <m/>
    <x v="3"/>
    <s v="카페24"/>
    <s v="(플친전용)HAIR RÉ:COVERY 15 Nutritious Balm [헤어 리커버리 15 뉴트리셔스 밤]제품선택=뉴트리셔스밤 1개 + 헤어팩 트리트먼트 1개 세트"/>
    <n v="2"/>
    <s v="트리트먼트+뉴트리셔스밤"/>
    <n v="201210"/>
    <m/>
    <n v="86132"/>
    <n v="81093.278000000006"/>
    <n v="6354"/>
    <n v="78301.818181818177"/>
  </r>
  <r>
    <x v="30"/>
    <s v="금"/>
    <m/>
    <x v="3"/>
    <s v="카페24"/>
    <s v="라베나 리커버리 15 뉴트리셔스 밤 [HAIR RÉ:COVERY 15 Nutritious Balm]제품선택=헤어 리커버리 15 뉴트리셔스 밤"/>
    <n v="4"/>
    <s v="뉴트리셔스밤"/>
    <n v="201210"/>
    <m/>
    <n v="99600"/>
    <n v="93773.4"/>
    <n v="6320"/>
    <n v="90545.454545454544"/>
  </r>
  <r>
    <x v="30"/>
    <s v="금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499999998"/>
    <n v="3177"/>
    <n v="43959.090909090904"/>
  </r>
  <r>
    <x v="30"/>
    <s v="금"/>
    <m/>
    <x v="1"/>
    <s v="카페24"/>
    <s v="라베나 리커버리 15 리바이탈 바이오플라보노이드샴푸 [HAIR RÉ:COVERY 15 Revital Shampoo]제품선택=헤어 리커버리 15 리바이탈 샴푸 - 500ml"/>
    <n v="110"/>
    <s v="리바이탈 샴푸"/>
    <n v="201210"/>
    <m/>
    <n v="2959000"/>
    <n v="2785898.5"/>
    <n v="332200"/>
    <n v="2690000"/>
  </r>
  <r>
    <x v="30"/>
    <s v="금"/>
    <m/>
    <x v="1"/>
    <s v="카페24"/>
    <s v="라베나 리커버리 15 리바이탈 바이오플라보노이드샴푸 [HAIR RÉ:COVERY 15 Revital Shampoo]제품선택=리바이탈 샴푸 2개 세트 5%추가할인"/>
    <n v="35"/>
    <s v="리바이탈 샴푸 2set"/>
    <n v="201210"/>
    <m/>
    <n v="1788850"/>
    <n v="1684202.2749999999"/>
    <n v="211400"/>
    <n v="1626227.2727272727"/>
  </r>
  <r>
    <x v="30"/>
    <s v="금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2"/>
  </r>
  <r>
    <x v="30"/>
    <s v="금"/>
    <m/>
    <x v="1"/>
    <s v="카페24"/>
    <s v="라베나 리커버리 15 리바이탈 샴푸 [HAIR RÉ:COVERY 15 Revital Shampoo]제품선택=헤어 리커버리 15 리바이탈 샴푸 - 500ml"/>
    <n v="53"/>
    <s v="리바이탈 샴푸"/>
    <n v="201210"/>
    <m/>
    <n v="1425700"/>
    <n v="1342296.55"/>
    <n v="160060"/>
    <n v="1296090.9090909089"/>
  </r>
  <r>
    <x v="30"/>
    <s v="금"/>
    <m/>
    <x v="1"/>
    <s v="카페24"/>
    <s v="라베나 리커버리 15 리바이탈 샴푸 [HAIR RÉ:COVERY 15 Revital Shampoo]제품선택=리바이탈 샴푸 2개 세트 5%추가할인"/>
    <n v="14"/>
    <s v="리바이탈 샴푸 2set"/>
    <n v="201210"/>
    <m/>
    <n v="715540"/>
    <n v="673680.91"/>
    <n v="84560"/>
    <n v="650490.90909090906"/>
  </r>
  <r>
    <x v="30"/>
    <s v="금"/>
    <m/>
    <x v="1"/>
    <s v="카페24"/>
    <s v="라베나 리커버리 15 리바이탈 샴푸 [HAIR RÉ:COVERY 15 Revital Shampoo]제품선택=리바이탈 샴푸 3개 세트 10% 추가할인"/>
    <n v="8"/>
    <s v="리바이탈 샴푸 3set"/>
    <n v="201210"/>
    <m/>
    <n v="581040"/>
    <n v="547049.16"/>
    <n v="72480"/>
    <n v="528218.18181818177"/>
  </r>
  <r>
    <x v="30"/>
    <s v="금"/>
    <m/>
    <x v="2"/>
    <s v="카페24"/>
    <s v="라베나 리커버리 15 헤어팩 트리트먼트 [HAIR RÉ:COVERY 15 Hairpack Treatment]제품선택=헤어 리커버리 15 헤어팩 트리트먼트"/>
    <n v="6"/>
    <s v="트리트먼트"/>
    <n v="201210"/>
    <m/>
    <n v="156000"/>
    <n v="146874"/>
    <n v="9582"/>
    <n v="141818.18181818179"/>
  </r>
  <r>
    <x v="30"/>
    <s v="금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30"/>
    <s v="금"/>
    <m/>
    <x v="2"/>
    <s v="카페24"/>
    <s v="라베나 리커버리 15 헤어팩 트리트먼트 [HAIR RÉ:COVERY 15 Hairpack Treatment]제품선택=헤어팩 트리트먼트 3개 세트 10% 추가할인"/>
    <n v="3"/>
    <s v="트리트먼트 3set"/>
    <n v="201210"/>
    <m/>
    <n v="210600"/>
    <n v="198279.9"/>
    <n v="14373"/>
    <n v="191454.54545454544"/>
  </r>
  <r>
    <x v="30"/>
    <s v="금"/>
    <m/>
    <x v="1"/>
    <s v="카페24"/>
    <s v="헤어 리커버리 15 리바이탈 샴푸"/>
    <n v="3"/>
    <s v="리바이탈 샴푸"/>
    <n v="201210"/>
    <m/>
    <n v="80700"/>
    <n v="75979.05"/>
    <n v="9060"/>
    <n v="73363.636363636353"/>
  </r>
  <r>
    <x v="31"/>
    <s v="토"/>
    <m/>
    <x v="3"/>
    <s v="카페24"/>
    <s v="라베나 리커버리 15 뉴트리셔스 밤 [HAIR RÉ:COVERY 15 Nutritious Balm]제품선택=헤어 리커버리 15 뉴트리셔스 밤"/>
    <n v="4"/>
    <s v="뉴트리셔스밤"/>
    <n v="201210"/>
    <m/>
    <n v="99600"/>
    <n v="93773.4"/>
    <n v="6320"/>
    <n v="90545.454545454544"/>
  </r>
  <r>
    <x v="31"/>
    <s v="토"/>
    <m/>
    <x v="3"/>
    <s v="카페24"/>
    <s v="라베나 리커버리 15 뉴트리셔스 밤 [HAIR RÉ:COVERY 15 Nutritious Balm]제품선택=뉴트리셔스 밤 3개 세트 10% 추가할인"/>
    <n v="2"/>
    <s v="뉴트리셔스밤 3set"/>
    <n v="201210"/>
    <m/>
    <n v="125736"/>
    <n v="118380.444"/>
    <n v="9480"/>
    <n v="114305.45454545453"/>
  </r>
  <r>
    <x v="31"/>
    <s v="토"/>
    <m/>
    <x v="1"/>
    <s v="카페24"/>
    <s v="라베나 리커버리 15 리바이탈 바이오플라보노이드샴푸 [HAIR RÉ:COVERY 15 Revital Shampoo]제품선택=헤어 리커버리 15 리바이탈 샴푸 - 500ml"/>
    <n v="140"/>
    <s v="리바이탈 샴푸"/>
    <n v="201210"/>
    <m/>
    <n v="3766000"/>
    <n v="3545689"/>
    <n v="422800"/>
    <n v="3423636.3636363633"/>
  </r>
  <r>
    <x v="31"/>
    <s v="토"/>
    <m/>
    <x v="1"/>
    <s v="카페24"/>
    <s v="라베나 리커버리 15 리바이탈 바이오플라보노이드샴푸 [HAIR RÉ:COVERY 15 Revital Shampoo]제품선택=리바이탈 샴푸 2개 세트 5%추가할인"/>
    <n v="38"/>
    <s v="리바이탈 샴푸 2set"/>
    <n v="201210"/>
    <m/>
    <n v="1942180"/>
    <n v="1828562.47"/>
    <n v="229520"/>
    <n v="1765618.1818181816"/>
  </r>
  <r>
    <x v="31"/>
    <s v="토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2"/>
  </r>
  <r>
    <x v="31"/>
    <s v="토"/>
    <m/>
    <x v="1"/>
    <s v="카페24"/>
    <s v="라베나 리커버리 15 리바이탈 샴푸 [HAIR RÉ:COVERY 15 Revital Shampoo]제품선택=헤어 리커버리 15 리바이탈 샴푸 - 500ml"/>
    <n v="2"/>
    <s v="리바이탈 샴푸"/>
    <n v="201210"/>
    <m/>
    <n v="53800"/>
    <n v="50652.7"/>
    <n v="6040"/>
    <n v="48909.090909090904"/>
  </r>
  <r>
    <x v="31"/>
    <s v="토"/>
    <m/>
    <x v="2"/>
    <s v="카페24"/>
    <s v="라베나 리커버리 15 헤어팩 트리트먼트 [HAIR RÉ:COVERY 15 Hairpack Treatment]제품선택=헤어 리커버리 15 헤어팩 트리트먼트"/>
    <n v="2"/>
    <s v="트리트먼트"/>
    <n v="201210"/>
    <m/>
    <n v="52000"/>
    <n v="48958"/>
    <n v="3194"/>
    <n v="47272.727272727272"/>
  </r>
  <r>
    <x v="32"/>
    <s v="일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000000001"/>
    <n v="11060"/>
    <n v="158454.54545454544"/>
  </r>
  <r>
    <x v="32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4999999998"/>
    <n v="3160"/>
    <n v="43009.090909090904"/>
  </r>
  <r>
    <x v="32"/>
    <s v="일"/>
    <m/>
    <x v="1"/>
    <s v="카페24"/>
    <s v="라베나 리커버리 15 리바이탈 바이오플라보노이드샴푸 [HAIR RÉ:COVERY 15 Revital Shampoo]제품선택=헤어 리커버리 15 리바이탈 샴푸 - 500ml"/>
    <n v="172"/>
    <s v="리바이탈 샴푸"/>
    <n v="201210"/>
    <m/>
    <n v="4626800"/>
    <n v="4356132.2"/>
    <n v="519440"/>
    <n v="4206181.8181818174"/>
  </r>
  <r>
    <x v="32"/>
    <s v="일"/>
    <m/>
    <x v="1"/>
    <s v="카페24"/>
    <s v="라베나 리커버리 15 리바이탈 바이오플라보노이드샴푸 [HAIR RÉ:COVERY 15 Revital Shampoo]제품선택=리바이탈 샴푸 2개 세트 5%추가할인"/>
    <n v="45"/>
    <s v="리바이탈 샴푸 2set"/>
    <n v="201210"/>
    <m/>
    <n v="2299950"/>
    <n v="2165402.9249999998"/>
    <n v="271800"/>
    <n v="2090863.6363636362"/>
  </r>
  <r>
    <x v="32"/>
    <s v="일"/>
    <m/>
    <x v="1"/>
    <s v="카페24"/>
    <s v="라베나 리커버리 15 리바이탈 바이오플라보노이드샴푸 [HAIR RÉ:COVERY 15 Revital Shampoo]제품선택=리바이탈 샴푸 3개 세트 10% 추가할인"/>
    <n v="21"/>
    <s v="리바이탈 샴푸 3set"/>
    <n v="201210"/>
    <m/>
    <n v="1525230"/>
    <n v="1436004.0449999999"/>
    <n v="190260"/>
    <n v="1386572.7272727271"/>
  </r>
  <r>
    <x v="32"/>
    <s v="일"/>
    <m/>
    <x v="1"/>
    <s v="카페24"/>
    <s v="라베나 리커버리 15 리바이탈 샴푸 [HAIR RÉ:COVERY 15 Revital Shampoo]제품선택=헤어 리커버리 15 리바이탈 샴푸 - 500ml"/>
    <n v="1"/>
    <s v="리바이탈 샴푸"/>
    <n v="201210"/>
    <m/>
    <n v="26900"/>
    <n v="25326.35"/>
    <n v="3020"/>
    <n v="24454.545454545452"/>
  </r>
  <r>
    <x v="32"/>
    <s v="일"/>
    <m/>
    <x v="1"/>
    <s v="카페24"/>
    <s v="라베나 리커버리 15 리바이탈 샴푸 [HAIR RÉ:COVERY 15 Revital Shampoo]제품선택=리바이탈 샴푸 2개 세트 5%추가할인"/>
    <n v="1"/>
    <s v="리바이탈 샴푸 2set"/>
    <n v="201210"/>
    <m/>
    <n v="51110"/>
    <n v="48120.065000000002"/>
    <n v="6040"/>
    <n v="46463.63636363636"/>
  </r>
  <r>
    <x v="32"/>
    <s v="일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1"/>
  </r>
  <r>
    <x v="32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04"/>
  </r>
  <r>
    <x v="33"/>
    <s v="월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18"/>
  </r>
  <r>
    <x v="33"/>
    <s v="월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09"/>
  </r>
  <r>
    <x v="33"/>
    <s v="월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4999999998"/>
    <n v="4740"/>
    <n v="61118.181818181816"/>
  </r>
  <r>
    <x v="33"/>
    <s v="월"/>
    <m/>
    <x v="1"/>
    <s v="카페24"/>
    <s v="라베나 리커버리 15 리바이탈 바이오플라보노이드샴푸 [HAIR RÉ:COVERY 15 Revital Shampoo]제품선택=헤어 리커버리 15 리바이탈 샴푸 - 500ml"/>
    <n v="244"/>
    <s v="리바이탈 샴푸"/>
    <n v="210201"/>
    <m/>
    <n v="6563600"/>
    <n v="6179629.4000000004"/>
    <n v="699060"/>
    <n v="5966909.0909090908"/>
  </r>
  <r>
    <x v="33"/>
    <s v="월"/>
    <m/>
    <x v="1"/>
    <s v="카페24"/>
    <s v="라베나 리커버리 15 리바이탈 바이오플라보노이드샴푸 [HAIR RÉ:COVERY 15 Revital Shampoo]제품선택=리바이탈 샴푸 2개 세트 5%추가할인"/>
    <n v="60"/>
    <s v="리바이탈 샴푸 2set"/>
    <n v="210201"/>
    <m/>
    <n v="3066600"/>
    <n v="2887203.9"/>
    <n v="343800"/>
    <n v="2787818.1818181816"/>
  </r>
  <r>
    <x v="33"/>
    <s v="월"/>
    <m/>
    <x v="1"/>
    <s v="카페24"/>
    <s v="라베나 리커버리 15 리바이탈 바이오플라보노이드샴푸 [HAIR RÉ:COVERY 15 Revital Shampoo]제품선택=리바이탈 샴푸 3개 세트 10% 추가할인"/>
    <n v="24"/>
    <s v="리바이탈 샴푸 3set"/>
    <n v="210201"/>
    <m/>
    <n v="1743120"/>
    <n v="1641147.48"/>
    <n v="206280"/>
    <n v="1584654.5454545454"/>
  </r>
  <r>
    <x v="33"/>
    <s v="월"/>
    <m/>
    <x v="1"/>
    <s v="카페24"/>
    <s v="라베나 리커버리 15 리바이탈 샴푸 [HAIR RÉ:COVERY 15 Revital Shampoo]제품선택=헤어 리커버리 15 리바이탈 샴푸 - 500ml"/>
    <n v="5"/>
    <s v="리바이탈 샴푸"/>
    <n v="210201"/>
    <m/>
    <n v="134500"/>
    <n v="126631.75"/>
    <n v="14325"/>
    <n v="122272.72727272726"/>
  </r>
  <r>
    <x v="33"/>
    <s v="월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18"/>
  </r>
  <r>
    <x v="33"/>
    <s v="월"/>
    <m/>
    <x v="2"/>
    <s v="카페24"/>
    <s v="라베나 리커버리 15 헤어팩 트리트먼트 [HAIR RÉ:COVERY 15 Hairpack Treatment]제품선택=헤어팩 트리트먼트 2개 세트 5% 추가할인"/>
    <n v="4"/>
    <s v="트리트먼트 2set"/>
    <n v="210201"/>
    <m/>
    <n v="197600"/>
    <n v="186040.4"/>
    <n v="12776"/>
    <n v="179636.36363636362"/>
  </r>
  <r>
    <x v="33"/>
    <s v="월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3"/>
  </r>
  <r>
    <x v="33"/>
    <s v="월"/>
    <m/>
    <x v="1"/>
    <s v="카페24"/>
    <s v="헤어 리커버리 15 리바이탈 샴푸"/>
    <n v="1"/>
    <s v="리바이탈 샴푸"/>
    <n v="210201"/>
    <m/>
    <n v="26900"/>
    <n v="25326.35"/>
    <n v="2865"/>
    <n v="24454.545454545452"/>
  </r>
  <r>
    <x v="34"/>
    <s v="화"/>
    <m/>
    <x v="3"/>
    <s v="카페24"/>
    <s v="라베나 리커버리 15 뉴트리셔스 밤 [HAIR RÉ:COVERY 15 Nutritious Balm]제품선택=헤어 리커버리 15 뉴트리셔스 밤"/>
    <n v="9"/>
    <s v="뉴트리셔스밤"/>
    <n v="210201"/>
    <m/>
    <n v="224100"/>
    <n v="210990.15"/>
    <n v="14220"/>
    <n v="203727.27272727271"/>
  </r>
  <r>
    <x v="34"/>
    <s v="화"/>
    <m/>
    <x v="1"/>
    <s v="카페24"/>
    <s v="라베나 리커버리 15 리바이탈 바이오플라보노이드샴푸 [HAIR RÉ:COVERY 15 Revital Shampoo]제품선택=헤어 리커버리 15 리바이탈 샴푸 - 500ml"/>
    <n v="231"/>
    <s v="리바이탈 샴푸"/>
    <n v="210201"/>
    <m/>
    <n v="6213900"/>
    <n v="5850386.8499999996"/>
    <n v="661815"/>
    <n v="5649000"/>
  </r>
  <r>
    <x v="34"/>
    <s v="화"/>
    <m/>
    <x v="1"/>
    <s v="카페24"/>
    <s v="라베나 리커버리 15 리바이탈 바이오플라보노이드샴푸 [HAIR RÉ:COVERY 15 Revital Shampoo]제품선택=리바이탈 샴푸 2개 세트 5%추가할인"/>
    <n v="71"/>
    <s v="리바이탈 샴푸 2set"/>
    <n v="210201"/>
    <m/>
    <n v="3628810"/>
    <n v="3416524.6150000002"/>
    <n v="406830"/>
    <n v="3298918.1818181816"/>
  </r>
  <r>
    <x v="34"/>
    <s v="화"/>
    <m/>
    <x v="1"/>
    <s v="카페24"/>
    <s v="라베나 리커버리 15 리바이탈 바이오플라보노이드샴푸 [HAIR RÉ:COVERY 15 Revital Shampoo]제품선택=리바이탈 샴푸 3개 세트 10% 추가할인"/>
    <n v="16"/>
    <s v="리바이탈 샴푸 3set"/>
    <n v="210201"/>
    <m/>
    <n v="1162080"/>
    <n v="1094098.32"/>
    <n v="137520"/>
    <n v="1056436.3636363635"/>
  </r>
  <r>
    <x v="34"/>
    <s v="화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79"/>
  </r>
  <r>
    <x v="34"/>
    <s v="화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04"/>
  </r>
  <r>
    <x v="34"/>
    <s v="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16"/>
  </r>
  <r>
    <x v="34"/>
    <s v="화"/>
    <m/>
    <x v="2"/>
    <s v="카페24"/>
    <s v="라베나 리커버리 15 헤어팩 트리트먼트 [HAIR RÉ:COVERY 15 Hairpack Treatment]제품선택=헤어팩 트리트먼트 1개 + 뉴트리셔스밤 1개 세트 5% 추가할인"/>
    <n v="4"/>
    <s v="트리트먼트+뉴트리셔스밤"/>
    <n v="210201"/>
    <m/>
    <n v="193420"/>
    <n v="182104.93"/>
    <n v="12708"/>
    <n v="175836.36363636362"/>
  </r>
  <r>
    <x v="34"/>
    <s v="화"/>
    <m/>
    <x v="1"/>
    <s v="카페24"/>
    <s v="헤어 리커버리 15 리바이탈 샴푸"/>
    <n v="2"/>
    <s v="리바이탈 샴푸"/>
    <n v="210201"/>
    <m/>
    <n v="53800"/>
    <n v="50652.7"/>
    <n v="5730"/>
    <n v="48909.090909090904"/>
  </r>
  <r>
    <x v="35"/>
    <s v="수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897"/>
  </r>
  <r>
    <x v="35"/>
    <s v="수"/>
    <m/>
    <x v="1"/>
    <s v="카페24"/>
    <s v="라베나 리커버리 15 리바이탈 바이오플라보노이드샴푸 [HAIR RÉ:COVERY 15 Revital Shampoo]제품선택=헤어 리커버리 15 리바이탈 샴푸 - 500ml"/>
    <n v="162"/>
    <s v="리바이탈 샴푸"/>
    <n v="210201"/>
    <m/>
    <n v="4357800"/>
    <n v="4102868.7"/>
    <n v="464130"/>
    <n v="3961636.3636363633"/>
  </r>
  <r>
    <x v="35"/>
    <s v="수"/>
    <m/>
    <x v="1"/>
    <s v="카페24"/>
    <s v="라베나 리커버리 15 리바이탈 바이오플라보노이드샴푸 [HAIR RÉ:COVERY 15 Revital Shampoo]제품선택=리바이탈 샴푸 2개 세트 5%추가할인"/>
    <n v="39"/>
    <s v="리바이탈 샴푸 2set"/>
    <n v="210201"/>
    <m/>
    <n v="1993290"/>
    <n v="1876682.5349999999"/>
    <n v="223470"/>
    <n v="1812081.8181818181"/>
  </r>
  <r>
    <x v="35"/>
    <s v="수"/>
    <m/>
    <x v="1"/>
    <s v="카페24"/>
    <s v="라베나 리커버리 15 리바이탈 바이오플라보노이드샴푸 [HAIR RÉ:COVERY 15 Revital Shampoo]제품선택=리바이탈 샴푸 3개 세트 10% 추가할인"/>
    <n v="19"/>
    <s v="리바이탈 샴푸 3set"/>
    <n v="210201"/>
    <m/>
    <n v="1379970"/>
    <n v="1299241.7549999999"/>
    <n v="163305"/>
    <n v="1254518.1818181816"/>
  </r>
  <r>
    <x v="35"/>
    <s v="수"/>
    <m/>
    <x v="2"/>
    <s v="카페24"/>
    <s v="라베나 리커버리 15 헤어팩 트리트먼트 [HAIR RÉ:COVERY 15 Hairpack Treatment]제품선택=헤어 리커버리 15 헤어팩 트리트먼트"/>
    <n v="7"/>
    <s v="트리트먼트"/>
    <n v="210201"/>
    <m/>
    <n v="182000"/>
    <n v="171353"/>
    <n v="11179"/>
    <n v="165454.54545454544"/>
  </r>
  <r>
    <x v="35"/>
    <s v="수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04"/>
  </r>
  <r>
    <x v="35"/>
    <s v="수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16"/>
  </r>
  <r>
    <x v="35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499999998"/>
    <n v="3177"/>
    <n v="43959.090909090904"/>
  </r>
  <r>
    <x v="35"/>
    <s v="수"/>
    <m/>
    <x v="1"/>
    <s v="카페24"/>
    <s v="헤어 리커버리 15 리바이탈 샴푸"/>
    <n v="2"/>
    <s v="리바이탈 샴푸"/>
    <n v="210201"/>
    <m/>
    <n v="53800"/>
    <n v="50652.7"/>
    <n v="5730"/>
    <n v="48909.090909090904"/>
  </r>
  <r>
    <x v="36"/>
    <s v="목"/>
    <m/>
    <x v="1"/>
    <s v="라베나 CS"/>
    <s v="헤어 리커버리 15 리바이탈 샴푸"/>
    <n v="1"/>
    <s v="리바이탈 샴푸"/>
    <n v="210201"/>
    <m/>
    <n v="0"/>
    <n v="0"/>
    <n v="2865"/>
    <n v="0"/>
  </r>
  <r>
    <x v="36"/>
    <s v="목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18"/>
  </r>
  <r>
    <x v="36"/>
    <s v="목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09"/>
  </r>
  <r>
    <x v="36"/>
    <s v="목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4999999998"/>
    <n v="4740"/>
    <n v="61118.181818181816"/>
  </r>
  <r>
    <x v="36"/>
    <s v="목"/>
    <m/>
    <x v="1"/>
    <s v="카페24"/>
    <s v="라베나 리커버리 15 리바이탈 바이오플라보노이드샴푸 [HAIR RÉ:COVERY 15 Revital Shampoo]제품선택=헤어 리커버리 15 리바이탈 샴푸 - 500ml"/>
    <n v="151"/>
    <s v="리바이탈 샴푸"/>
    <n v="210201"/>
    <m/>
    <n v="4061900"/>
    <n v="3824278.85"/>
    <n v="432615"/>
    <n v="3692636.3636363633"/>
  </r>
  <r>
    <x v="36"/>
    <s v="목"/>
    <m/>
    <x v="1"/>
    <s v="카페24"/>
    <s v="라베나 리커버리 15 리바이탈 바이오플라보노이드샴푸 [HAIR RÉ:COVERY 15 Revital Shampoo]제품선택=리바이탈 샴푸 2개 세트 5%추가할인"/>
    <n v="41"/>
    <s v="리바이탈 샴푸 2set"/>
    <n v="210201"/>
    <m/>
    <n v="2095510"/>
    <n v="1972922.665"/>
    <n v="234930"/>
    <n v="1905009.0909090908"/>
  </r>
  <r>
    <x v="36"/>
    <s v="목"/>
    <m/>
    <x v="1"/>
    <s v="카페24"/>
    <s v="라베나 리커버리 15 리바이탈 바이오플라보노이드샴푸 [HAIR RÉ:COVERY 15 Revital Shampoo]제품선택=리바이탈 샴푸 3개 세트 10% 추가할인"/>
    <n v="16"/>
    <s v="리바이탈 샴푸 3set"/>
    <n v="210201"/>
    <m/>
    <n v="1162080"/>
    <n v="1094098.32"/>
    <n v="137520"/>
    <n v="1056436.3636363635"/>
  </r>
  <r>
    <x v="36"/>
    <s v="목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18"/>
  </r>
  <r>
    <x v="36"/>
    <s v="목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16"/>
  </r>
  <r>
    <x v="36"/>
    <s v="목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499999998"/>
    <n v="3177"/>
    <n v="43959.090909090904"/>
  </r>
  <r>
    <x v="37"/>
    <s v="금"/>
    <m/>
    <x v="1"/>
    <s v="라베나 CS"/>
    <s v="라베나 리커버리 15 리바이탈 바이오플라보노이드샴푸 [HAIR RÉ:COVERY 15 Revital Shampoo]제품선택=리바이탈 샴푸 2개 세트 5%추가할인"/>
    <n v="1"/>
    <s v="리바이탈 샴푸 2set"/>
    <n v="210201"/>
    <m/>
    <n v="0"/>
    <n v="0"/>
    <n v="2865"/>
    <n v="0"/>
  </r>
  <r>
    <x v="37"/>
    <s v="금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897"/>
  </r>
  <r>
    <x v="37"/>
    <s v="금"/>
    <m/>
    <x v="1"/>
    <s v="카페24"/>
    <s v="라베나 리커버리 15 리바이탈 바이오플라보노이드샴푸 [HAIR RÉ:COVERY 15 Revital Shampoo]제품선택=헤어 리커버리 15 리바이탈 샴푸 - 500ml"/>
    <n v="145"/>
    <s v="리바이탈 샴푸"/>
    <n v="210201"/>
    <m/>
    <n v="3900500"/>
    <n v="3672320.75"/>
    <n v="415425"/>
    <n v="3545909.0909090908"/>
  </r>
  <r>
    <x v="37"/>
    <s v="금"/>
    <m/>
    <x v="1"/>
    <s v="카페24"/>
    <s v="라베나 리커버리 15 리바이탈 바이오플라보노이드샴푸 [HAIR RÉ:COVERY 15 Revital Shampoo]제품선택=리바이탈 샴푸 2개 세트 5%추가할인"/>
    <n v="41"/>
    <s v="리바이탈 샴푸 2set"/>
    <n v="210201"/>
    <m/>
    <n v="2095510"/>
    <n v="1972922.665"/>
    <n v="234930"/>
    <n v="1905009.0909090908"/>
  </r>
  <r>
    <x v="37"/>
    <s v="금"/>
    <m/>
    <x v="1"/>
    <s v="카페24"/>
    <s v="라베나 리커버리 15 리바이탈 바이오플라보노이드샴푸 [HAIR RÉ:COVERY 15 Revital Shampoo]제품선택=리바이탈 샴푸 3개 세트 10% 추가할인"/>
    <n v="6"/>
    <s v="리바이탈 샴푸 3set"/>
    <n v="210201"/>
    <m/>
    <n v="435780"/>
    <n v="410286.87"/>
    <n v="51570"/>
    <n v="396163.63636363635"/>
  </r>
  <r>
    <x v="37"/>
    <s v="금"/>
    <m/>
    <x v="1"/>
    <s v="카페24"/>
    <s v="라베나 리커버리 15 리바이탈 샴푸 [HAIR RÉ:COVERY 15 Revital Shampoo]제품선택=헤어 리커버리 15 리바이탈 샴푸 - 500ml"/>
    <n v="1"/>
    <s v="리바이탈 샴푸"/>
    <n v="210201"/>
    <m/>
    <n v="26900"/>
    <n v="25326.35"/>
    <n v="2865"/>
    <n v="24454.545454545452"/>
  </r>
  <r>
    <x v="37"/>
    <s v="금"/>
    <m/>
    <x v="1"/>
    <s v="카페24"/>
    <s v="라베나 리커버리 15 리바이탈 샴푸 [HAIR RÉ:COVERY 15 Revital Shampoo]제품선택=리바이탈 샴푸 2개 세트 5%추가할인"/>
    <n v="1"/>
    <s v="리바이탈 샴푸 2set"/>
    <n v="210201"/>
    <m/>
    <n v="51110"/>
    <n v="48120.065000000002"/>
    <n v="5730"/>
    <n v="46463.63636363636"/>
  </r>
  <r>
    <x v="37"/>
    <s v="금"/>
    <m/>
    <x v="2"/>
    <s v="카페24"/>
    <s v="라베나 리커버리 15 헤어팩 트리트먼트 [HAIR RÉ:COVERY 15 Hairpack Treatment]제품선택=헤어 리커버리 15 헤어팩 트리트먼트"/>
    <n v="4"/>
    <s v="트리트먼트"/>
    <n v="210201"/>
    <m/>
    <n v="104000"/>
    <n v="97916"/>
    <n v="6388"/>
    <n v="94545.454545454544"/>
  </r>
  <r>
    <x v="37"/>
    <s v="금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10201"/>
    <m/>
    <n v="148200"/>
    <n v="139530.29999999999"/>
    <n v="9582"/>
    <n v="134727.27272727271"/>
  </r>
  <r>
    <x v="37"/>
    <s v="금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4999999997"/>
    <n v="6354"/>
    <n v="87918.181818181809"/>
  </r>
  <r>
    <x v="38"/>
    <s v="토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897"/>
  </r>
  <r>
    <x v="38"/>
    <s v="토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09"/>
  </r>
  <r>
    <x v="38"/>
    <s v="토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10201"/>
    <m/>
    <n v="48355"/>
    <n v="45526.232499999998"/>
    <n v="3177"/>
    <n v="43959.090909090904"/>
  </r>
  <r>
    <x v="38"/>
    <s v="토"/>
    <m/>
    <x v="1"/>
    <s v="카페24"/>
    <s v="라베나 리커버리 15 리바이탈 바이오플라보노이드샴푸 [HAIR RÉ:COVERY 15 Revital Shampoo]제품선택=헤어 리커버리 15 리바이탈 샴푸 - 500ml"/>
    <n v="130"/>
    <s v="리바이탈 샴푸"/>
    <n v="210201"/>
    <m/>
    <n v="3497000"/>
    <n v="3292425.5"/>
    <n v="372450"/>
    <n v="3179090.9090909087"/>
  </r>
  <r>
    <x v="38"/>
    <s v="토"/>
    <m/>
    <x v="1"/>
    <s v="카페24"/>
    <s v="라베나 리커버리 15 리바이탈 바이오플라보노이드샴푸 [HAIR RÉ:COVERY 15 Revital Shampoo]제품선택=리바이탈 샴푸 2개 세트 5%추가할인"/>
    <n v="55"/>
    <s v="리바이탈 샴푸 2set"/>
    <n v="210201"/>
    <m/>
    <n v="2811050"/>
    <n v="2646603.5750000002"/>
    <n v="315150"/>
    <n v="2555500"/>
  </r>
  <r>
    <x v="38"/>
    <s v="토"/>
    <m/>
    <x v="1"/>
    <s v="카페24"/>
    <s v="라베나 리커버리 15 리바이탈 바이오플라보노이드샴푸 [HAIR RÉ:COVERY 15 Revital Shampoo]제품선택=리바이탈 샴푸 3개 세트 10% 추가할인"/>
    <n v="25"/>
    <s v="리바이탈 샴푸 3set"/>
    <n v="210201"/>
    <m/>
    <n v="1815750"/>
    <n v="1709528.625"/>
    <n v="214875"/>
    <n v="1650681.8181818181"/>
  </r>
  <r>
    <x v="38"/>
    <s v="토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79"/>
  </r>
  <r>
    <x v="38"/>
    <s v="토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04"/>
  </r>
  <r>
    <x v="38"/>
    <s v="토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3"/>
  </r>
  <r>
    <x v="38"/>
    <s v="토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499999998"/>
    <n v="3177"/>
    <n v="43959.090909090904"/>
  </r>
  <r>
    <x v="39"/>
    <s v="일"/>
    <m/>
    <x v="3"/>
    <s v="카페24"/>
    <s v="라베나 리커버리 15 뉴트리셔스 밤 [HAIR RÉ:COVERY 15 Nutritious Balm]제품선택=헤어 리커버리 15 뉴트리셔스 밤"/>
    <n v="7"/>
    <s v="뉴트리셔스밤"/>
    <n v="210201"/>
    <m/>
    <n v="174300"/>
    <n v="164103.45000000001"/>
    <n v="11060"/>
    <n v="158454.54545454544"/>
  </r>
  <r>
    <x v="39"/>
    <s v="일"/>
    <m/>
    <x v="3"/>
    <s v="카페24"/>
    <s v="라베나 리커버리 15 뉴트리셔스 밤 [HAIR RÉ:COVERY 15 Nutritious Balm]제품선택=뉴트리셔스 밤 2개 세트 5% 추가할인"/>
    <n v="5"/>
    <s v="뉴트리셔스밤 2set"/>
    <n v="210201"/>
    <m/>
    <n v="236550"/>
    <n v="222711.82500000001"/>
    <n v="15800"/>
    <n v="215045.45454545453"/>
  </r>
  <r>
    <x v="39"/>
    <s v="일"/>
    <m/>
    <x v="1"/>
    <s v="카페24"/>
    <s v="라베나 리커버리 15 리바이탈 바이오플라보노이드샴푸 [HAIR RÉ:COVERY 15 Revital Shampoo]제품선택=헤어 리커버리 15 리바이탈 샴푸 - 500ml"/>
    <n v="188"/>
    <s v="리바이탈 샴푸"/>
    <n v="210201"/>
    <m/>
    <n v="5057200"/>
    <n v="4761353.8"/>
    <n v="538620"/>
    <n v="4597454.5454545449"/>
  </r>
  <r>
    <x v="39"/>
    <s v="일"/>
    <m/>
    <x v="1"/>
    <s v="카페24"/>
    <s v="라베나 리커버리 15 리바이탈 바이오플라보노이드샴푸 [HAIR RÉ:COVERY 15 Revital Shampoo]제품선택=리바이탈 샴푸 2개 세트 5%추가할인"/>
    <n v="53"/>
    <s v="리바이탈 샴푸 2set"/>
    <n v="210201"/>
    <m/>
    <n v="2708830"/>
    <n v="2550363.4449999998"/>
    <n v="303690"/>
    <n v="2462572.7272727271"/>
  </r>
  <r>
    <x v="39"/>
    <s v="일"/>
    <m/>
    <x v="1"/>
    <s v="카페24"/>
    <s v="라베나 리커버리 15 리바이탈 바이오플라보노이드샴푸 [HAIR RÉ:COVERY 15 Revital Shampoo]제품선택=리바이탈 샴푸 3개 세트 10% 추가할인"/>
    <n v="13"/>
    <s v="리바이탈 샴푸 3set"/>
    <n v="210201"/>
    <m/>
    <n v="944190"/>
    <n v="888954.88500000001"/>
    <n v="111735"/>
    <n v="858354.54545454541"/>
  </r>
  <r>
    <x v="39"/>
    <s v="일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79"/>
  </r>
  <r>
    <x v="39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04"/>
  </r>
  <r>
    <x v="39"/>
    <s v="일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3"/>
  </r>
  <r>
    <x v="40"/>
    <s v="월"/>
    <m/>
    <x v="1"/>
    <s v="라베나 CS"/>
    <s v="헤어 리커버리 15 리바이탈 샴푸"/>
    <n v="2"/>
    <s v="리바이탈 샴푸"/>
    <n v="210201"/>
    <m/>
    <n v="0"/>
    <n v="0"/>
    <n v="5730"/>
    <n v="0"/>
  </r>
  <r>
    <x v="40"/>
    <s v="월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18"/>
  </r>
  <r>
    <x v="40"/>
    <s v="월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09"/>
  </r>
  <r>
    <x v="40"/>
    <s v="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10201"/>
    <m/>
    <n v="96710"/>
    <n v="91052.464999999997"/>
    <n v="6354"/>
    <n v="87918.181818181809"/>
  </r>
  <r>
    <x v="40"/>
    <s v="월"/>
    <m/>
    <x v="1"/>
    <s v="카페24"/>
    <s v="라베나 리커버리 15 리바이탈 바이오플라보노이드샴푸 [HAIR RÉ:COVERY 15 Revital Shampoo]제품선택=헤어 리커버리 15 리바이탈 샴푸 - 500ml"/>
    <n v="167"/>
    <s v="리바이탈 샴푸"/>
    <n v="210201"/>
    <m/>
    <n v="4492300"/>
    <n v="4229500.45"/>
    <n v="478455"/>
    <n v="4083909.0909090904"/>
  </r>
  <r>
    <x v="40"/>
    <s v="월"/>
    <m/>
    <x v="1"/>
    <s v="카페24"/>
    <s v="라베나 리커버리 15 리바이탈 바이오플라보노이드샴푸 [HAIR RÉ:COVERY 15 Revital Shampoo]제품선택=리바이탈 샴푸 2개 세트 5%추가할인"/>
    <n v="48"/>
    <s v="리바이탈 샴푸 2set"/>
    <n v="210201"/>
    <m/>
    <n v="2453280"/>
    <n v="2309763.12"/>
    <n v="275040"/>
    <n v="2230254.5454545454"/>
  </r>
  <r>
    <x v="40"/>
    <s v="월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10201"/>
    <m/>
    <n v="1089450"/>
    <n v="1025717.175"/>
    <n v="128925"/>
    <n v="990409.09090909082"/>
  </r>
  <r>
    <x v="40"/>
    <s v="월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18"/>
  </r>
  <r>
    <x v="40"/>
    <s v="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16"/>
  </r>
  <r>
    <x v="40"/>
    <s v="월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4999999997"/>
    <n v="6354"/>
    <n v="87918.181818181809"/>
  </r>
  <r>
    <x v="41"/>
    <m/>
    <m/>
    <x v="0"/>
    <m/>
    <m/>
    <m/>
    <m/>
    <m/>
    <m/>
    <m/>
    <m/>
    <m/>
    <m/>
  </r>
  <r>
    <x v="41"/>
    <m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CDE0F-4DD4-4673-B383-1B5BD45FDD8A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합계 : 판매액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E0076-195B-420E-828B-3DF4C02829DF}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5:K38" firstHeaderRow="1" firstDataRow="2" firstDataCol="1" rowPageCount="2" colPageCount="1"/>
  <pivotFields count="1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9">
        <item x="0"/>
        <item x="2"/>
        <item x="1"/>
        <item x="7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6" item="2" hier="-1"/>
    <pageField fld="15" item="1" hier="-1"/>
  </pageFields>
  <dataFields count="1">
    <dataField name="합계 : 광고비(VAT미포함)" fld="9" baseField="0" baseItem="336" numFmtId="4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A3A93-DA64-458B-98E3-E6F6C1F62890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4:G48" firstHeaderRow="1" firstDataRow="2" firstDataCol="1"/>
  <pivotFields count="1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</pivotFields>
  <rowFields count="3">
    <field x="16"/>
    <field x="15"/>
    <field x="0"/>
  </rowFields>
  <rowItems count="43"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합계 : 판매액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DBFD1-2BB0-4DFC-8533-E10A856C4DE9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:D94" firstHeaderRow="0" firstDataRow="1" firstDataCol="1" rowPageCount="1" colPageCount="1"/>
  <pivotFields count="14">
    <pivotField axis="axisRow" showAll="0">
      <items count="93">
        <item x="42"/>
        <item x="43"/>
        <item x="44"/>
        <item x="45"/>
        <item x="4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0"/>
        <item x="1"/>
        <item x="2"/>
        <item x="3"/>
        <item x="4"/>
        <item m="1" x="91"/>
        <item x="5"/>
        <item m="1" x="9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합계 : 판매액" fld="10" baseField="0" baseItem="0"/>
    <dataField name="합계 : 판매액(VAT미포함)" fld="13" baseField="0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0" count="4"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19-08-29T09:21:24.93" personId="{EABBB34B-F2FC-4B18-9653-7845AD18DB71}" id="{F1560D72-BCA5-4919-9555-C6101AAA2C24}">
    <text>채널마다, 결제방식마다 수수료 상이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C95-B995-4D29-B0E7-D82F751FF56A}">
  <dimension ref="A3:A4"/>
  <sheetViews>
    <sheetView workbookViewId="0">
      <selection activeCell="D5" sqref="D5"/>
    </sheetView>
  </sheetViews>
  <sheetFormatPr defaultRowHeight="16.5" x14ac:dyDescent="0.3"/>
  <cols>
    <col min="1" max="1" width="13.125" bestFit="1" customWidth="1"/>
    <col min="2" max="2" width="12.25" bestFit="1" customWidth="1"/>
  </cols>
  <sheetData>
    <row r="3" spans="1:1" x14ac:dyDescent="0.3">
      <c r="A3" t="s">
        <v>0</v>
      </c>
    </row>
    <row r="4" spans="1:1" x14ac:dyDescent="0.3">
      <c r="A4" s="16">
        <v>385612712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624D-42E6-4B7D-A7C7-6ECA76CF1A2A}">
  <sheetPr>
    <tabColor theme="8" tint="0.79998168889431442"/>
  </sheetPr>
  <dimension ref="B2:K38"/>
  <sheetViews>
    <sheetView showGridLines="0" tabSelected="1" zoomScale="66" zoomScaleNormal="70" workbookViewId="0">
      <selection activeCell="K38" sqref="K38"/>
    </sheetView>
  </sheetViews>
  <sheetFormatPr defaultRowHeight="16.5" x14ac:dyDescent="0.3"/>
  <cols>
    <col min="2" max="2" width="26.625" bestFit="1" customWidth="1"/>
    <col min="3" max="3" width="14.375" bestFit="1" customWidth="1"/>
    <col min="4" max="4" width="13" bestFit="1" customWidth="1"/>
    <col min="5" max="5" width="12.375" bestFit="1" customWidth="1"/>
    <col min="6" max="6" width="12" bestFit="1" customWidth="1"/>
    <col min="7" max="7" width="14.375" bestFit="1" customWidth="1"/>
    <col min="8" max="8" width="11.125" bestFit="1" customWidth="1"/>
    <col min="9" max="9" width="12.375" bestFit="1" customWidth="1"/>
    <col min="10" max="10" width="13" bestFit="1" customWidth="1"/>
    <col min="11" max="11" width="14.375" bestFit="1" customWidth="1"/>
  </cols>
  <sheetData>
    <row r="2" spans="2:11" x14ac:dyDescent="0.3">
      <c r="B2" s="12" t="s">
        <v>1</v>
      </c>
      <c r="C2" t="s">
        <v>2</v>
      </c>
    </row>
    <row r="3" spans="2:11" x14ac:dyDescent="0.3">
      <c r="B3" s="12" t="s">
        <v>3</v>
      </c>
      <c r="C3" t="s">
        <v>27</v>
      </c>
    </row>
    <row r="5" spans="2:11" x14ac:dyDescent="0.3">
      <c r="B5" s="12" t="s">
        <v>5</v>
      </c>
      <c r="C5" s="12" t="s">
        <v>6</v>
      </c>
    </row>
    <row r="6" spans="2:11" x14ac:dyDescent="0.3">
      <c r="B6" s="12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84</v>
      </c>
      <c r="J6" t="s">
        <v>14</v>
      </c>
      <c r="K6" t="s">
        <v>15</v>
      </c>
    </row>
    <row r="7" spans="2:11" x14ac:dyDescent="0.3">
      <c r="B7" s="14" t="s">
        <v>28</v>
      </c>
      <c r="C7" s="31">
        <v>621910</v>
      </c>
      <c r="D7" s="31">
        <v>201929.99999999997</v>
      </c>
      <c r="E7" s="31">
        <v>1190</v>
      </c>
      <c r="F7" s="31"/>
      <c r="G7" s="31"/>
      <c r="H7" s="31"/>
      <c r="I7" s="31"/>
      <c r="J7" s="31"/>
      <c r="K7" s="31">
        <v>825030</v>
      </c>
    </row>
    <row r="8" spans="2:11" x14ac:dyDescent="0.3">
      <c r="B8" s="14" t="s">
        <v>29</v>
      </c>
      <c r="C8" s="31">
        <v>862403</v>
      </c>
      <c r="D8" s="31">
        <v>180623.63636363635</v>
      </c>
      <c r="E8" s="31">
        <v>1260</v>
      </c>
      <c r="F8" s="31"/>
      <c r="G8" s="31"/>
      <c r="H8" s="31"/>
      <c r="I8" s="31"/>
      <c r="J8" s="31"/>
      <c r="K8" s="31">
        <v>1044286.6363636364</v>
      </c>
    </row>
    <row r="9" spans="2:11" x14ac:dyDescent="0.3">
      <c r="B9" s="14" t="s">
        <v>30</v>
      </c>
      <c r="C9" s="31">
        <v>1115571</v>
      </c>
      <c r="D9" s="31">
        <v>214530.90909090906</v>
      </c>
      <c r="E9" s="31">
        <v>2029.9999999999998</v>
      </c>
      <c r="F9" s="31"/>
      <c r="G9" s="31"/>
      <c r="H9" s="31"/>
      <c r="I9" s="31"/>
      <c r="J9" s="31"/>
      <c r="K9" s="31">
        <v>1332131.9090909092</v>
      </c>
    </row>
    <row r="10" spans="2:11" x14ac:dyDescent="0.3">
      <c r="B10" s="14" t="s">
        <v>31</v>
      </c>
      <c r="C10" s="31">
        <v>1084337</v>
      </c>
      <c r="D10" s="31">
        <v>423435.45454545453</v>
      </c>
      <c r="E10" s="31">
        <v>1889.9999999999998</v>
      </c>
      <c r="F10" s="31"/>
      <c r="G10" s="31"/>
      <c r="H10" s="31"/>
      <c r="I10" s="31"/>
      <c r="J10" s="31"/>
      <c r="K10" s="31">
        <v>1509662.4545454546</v>
      </c>
    </row>
    <row r="11" spans="2:11" x14ac:dyDescent="0.3">
      <c r="B11" s="14" t="s">
        <v>32</v>
      </c>
      <c r="C11" s="31">
        <v>857492</v>
      </c>
      <c r="D11" s="31">
        <v>484894.54545454541</v>
      </c>
      <c r="E11" s="31">
        <v>1260</v>
      </c>
      <c r="F11" s="31"/>
      <c r="G11" s="31"/>
      <c r="H11" s="31"/>
      <c r="I11" s="31"/>
      <c r="J11" s="31"/>
      <c r="K11" s="31">
        <v>1343646.5454545454</v>
      </c>
    </row>
    <row r="12" spans="2:11" x14ac:dyDescent="0.3">
      <c r="B12" s="14" t="s">
        <v>33</v>
      </c>
      <c r="C12" s="31">
        <v>725091</v>
      </c>
      <c r="D12" s="31">
        <v>776300.90909090906</v>
      </c>
      <c r="E12" s="31">
        <v>1609.9999999999998</v>
      </c>
      <c r="F12" s="31"/>
      <c r="G12" s="31"/>
      <c r="H12" s="31"/>
      <c r="I12" s="31"/>
      <c r="J12" s="31"/>
      <c r="K12" s="31">
        <v>1503001.9090909092</v>
      </c>
    </row>
    <row r="13" spans="2:11" x14ac:dyDescent="0.3">
      <c r="B13" s="14" t="s">
        <v>34</v>
      </c>
      <c r="C13" s="31">
        <v>1073186</v>
      </c>
      <c r="D13" s="31">
        <v>755081.81818181812</v>
      </c>
      <c r="E13" s="31">
        <v>1959.9999999999998</v>
      </c>
      <c r="F13" s="31"/>
      <c r="G13" s="31"/>
      <c r="H13" s="31"/>
      <c r="I13" s="31"/>
      <c r="J13" s="31"/>
      <c r="K13" s="31">
        <v>1830227.8181818181</v>
      </c>
    </row>
    <row r="14" spans="2:11" x14ac:dyDescent="0.3">
      <c r="B14" s="14" t="s">
        <v>35</v>
      </c>
      <c r="C14" s="31">
        <v>851832</v>
      </c>
      <c r="D14" s="31">
        <v>309267.27272727271</v>
      </c>
      <c r="E14" s="31">
        <v>1190</v>
      </c>
      <c r="F14" s="31"/>
      <c r="G14" s="31"/>
      <c r="H14" s="31"/>
      <c r="I14" s="31"/>
      <c r="J14" s="31"/>
      <c r="K14" s="31">
        <v>1162289.2727272727</v>
      </c>
    </row>
    <row r="15" spans="2:11" x14ac:dyDescent="0.3">
      <c r="B15" s="14" t="s">
        <v>37</v>
      </c>
      <c r="C15" s="31">
        <v>928639</v>
      </c>
      <c r="D15" s="31">
        <v>0</v>
      </c>
      <c r="E15" s="31">
        <v>1539.9999999999998</v>
      </c>
      <c r="F15" s="31"/>
      <c r="G15" s="31"/>
      <c r="H15" s="31"/>
      <c r="I15" s="31"/>
      <c r="J15" s="31"/>
      <c r="K15" s="31">
        <v>930179</v>
      </c>
    </row>
    <row r="16" spans="2:11" x14ac:dyDescent="0.3">
      <c r="B16" s="14" t="s">
        <v>38</v>
      </c>
      <c r="C16" s="31">
        <v>1190341</v>
      </c>
      <c r="D16" s="31">
        <v>0</v>
      </c>
      <c r="E16" s="31">
        <v>1190</v>
      </c>
      <c r="F16" s="31"/>
      <c r="G16" s="31"/>
      <c r="H16" s="31"/>
      <c r="I16" s="31"/>
      <c r="J16" s="31"/>
      <c r="K16" s="31">
        <v>1191531</v>
      </c>
    </row>
    <row r="17" spans="2:11" x14ac:dyDescent="0.3">
      <c r="B17" s="14" t="s">
        <v>39</v>
      </c>
      <c r="C17" s="31">
        <v>783186</v>
      </c>
      <c r="D17" s="31">
        <v>0</v>
      </c>
      <c r="E17" s="31">
        <v>2100</v>
      </c>
      <c r="F17" s="31"/>
      <c r="G17" s="31">
        <v>155050</v>
      </c>
      <c r="H17" s="31"/>
      <c r="I17" s="31"/>
      <c r="J17" s="31"/>
      <c r="K17" s="31">
        <v>940336</v>
      </c>
    </row>
    <row r="18" spans="2:11" x14ac:dyDescent="0.3">
      <c r="B18" s="14" t="s">
        <v>40</v>
      </c>
      <c r="C18" s="31">
        <v>662365</v>
      </c>
      <c r="D18" s="31">
        <v>0</v>
      </c>
      <c r="E18" s="31">
        <v>26949.999999999996</v>
      </c>
      <c r="F18" s="31"/>
      <c r="G18" s="31">
        <v>3126235</v>
      </c>
      <c r="H18" s="31"/>
      <c r="I18" s="31"/>
      <c r="J18" s="31"/>
      <c r="K18" s="31">
        <v>3815550</v>
      </c>
    </row>
    <row r="19" spans="2:11" x14ac:dyDescent="0.3">
      <c r="B19" s="14" t="s">
        <v>41</v>
      </c>
      <c r="C19" s="31">
        <v>716178</v>
      </c>
      <c r="D19" s="31">
        <v>0</v>
      </c>
      <c r="E19" s="31">
        <v>5739.9999999999991</v>
      </c>
      <c r="F19" s="31"/>
      <c r="G19" s="31">
        <v>112009</v>
      </c>
      <c r="H19" s="31"/>
      <c r="I19" s="31"/>
      <c r="J19" s="31"/>
      <c r="K19" s="31">
        <v>833927</v>
      </c>
    </row>
    <row r="20" spans="2:11" x14ac:dyDescent="0.3">
      <c r="B20" s="14" t="s">
        <v>42</v>
      </c>
      <c r="C20" s="31">
        <v>848875</v>
      </c>
      <c r="D20" s="31">
        <v>0</v>
      </c>
      <c r="E20" s="31">
        <v>6089.9999999999991</v>
      </c>
      <c r="F20" s="31"/>
      <c r="G20" s="31">
        <v>719161</v>
      </c>
      <c r="H20" s="31"/>
      <c r="I20" s="31"/>
      <c r="J20" s="31"/>
      <c r="K20" s="31">
        <v>1574126</v>
      </c>
    </row>
    <row r="21" spans="2:11" x14ac:dyDescent="0.3">
      <c r="B21" s="14" t="s">
        <v>43</v>
      </c>
      <c r="C21" s="31">
        <v>834047</v>
      </c>
      <c r="D21" s="31">
        <v>0</v>
      </c>
      <c r="E21" s="31">
        <v>17510</v>
      </c>
      <c r="F21" s="31"/>
      <c r="G21" s="31">
        <v>3244447</v>
      </c>
      <c r="H21" s="31"/>
      <c r="I21" s="31"/>
      <c r="J21" s="31"/>
      <c r="K21" s="31">
        <v>4096004</v>
      </c>
    </row>
    <row r="22" spans="2:11" x14ac:dyDescent="0.3">
      <c r="B22" s="14" t="s">
        <v>44</v>
      </c>
      <c r="C22" s="31">
        <v>800693</v>
      </c>
      <c r="D22" s="31">
        <v>0</v>
      </c>
      <c r="E22" s="31">
        <v>3849.9999999999995</v>
      </c>
      <c r="F22" s="31"/>
      <c r="G22" s="31">
        <v>114461</v>
      </c>
      <c r="H22" s="31"/>
      <c r="I22" s="31"/>
      <c r="J22" s="31"/>
      <c r="K22" s="31">
        <v>919004</v>
      </c>
    </row>
    <row r="23" spans="2:11" x14ac:dyDescent="0.3">
      <c r="B23" s="14" t="s">
        <v>45</v>
      </c>
      <c r="C23" s="31">
        <v>921553</v>
      </c>
      <c r="D23" s="31">
        <v>0</v>
      </c>
      <c r="E23" s="31">
        <v>3429.9999999999995</v>
      </c>
      <c r="F23" s="31"/>
      <c r="G23" s="31">
        <v>0</v>
      </c>
      <c r="H23" s="31"/>
      <c r="I23" s="31"/>
      <c r="J23" s="31"/>
      <c r="K23" s="31">
        <v>924983</v>
      </c>
    </row>
    <row r="24" spans="2:11" x14ac:dyDescent="0.3">
      <c r="B24" s="14" t="s">
        <v>46</v>
      </c>
      <c r="C24" s="31">
        <v>514666</v>
      </c>
      <c r="D24" s="31">
        <v>0</v>
      </c>
      <c r="E24" s="31">
        <v>9590</v>
      </c>
      <c r="F24" s="31"/>
      <c r="G24" s="31">
        <v>2021237</v>
      </c>
      <c r="H24" s="31"/>
      <c r="I24" s="31"/>
      <c r="J24" s="31"/>
      <c r="K24" s="31">
        <v>2545493</v>
      </c>
    </row>
    <row r="25" spans="2:11" x14ac:dyDescent="0.3">
      <c r="B25" s="14" t="s">
        <v>47</v>
      </c>
      <c r="C25" s="31">
        <v>502101</v>
      </c>
      <c r="D25" s="31">
        <v>0</v>
      </c>
      <c r="E25" s="31">
        <v>10010</v>
      </c>
      <c r="F25" s="31"/>
      <c r="G25" s="31">
        <v>2024932</v>
      </c>
      <c r="H25" s="31"/>
      <c r="I25" s="31"/>
      <c r="J25" s="31"/>
      <c r="K25" s="31">
        <v>2537043</v>
      </c>
    </row>
    <row r="26" spans="2:11" x14ac:dyDescent="0.3">
      <c r="B26" s="14" t="s">
        <v>48</v>
      </c>
      <c r="C26" s="31">
        <v>497567</v>
      </c>
      <c r="D26" s="31">
        <v>0</v>
      </c>
      <c r="E26" s="31">
        <v>9520</v>
      </c>
      <c r="F26" s="31"/>
      <c r="G26" s="31">
        <v>2062343</v>
      </c>
      <c r="H26" s="31"/>
      <c r="I26" s="31"/>
      <c r="J26" s="31"/>
      <c r="K26" s="31">
        <v>2569430</v>
      </c>
    </row>
    <row r="27" spans="2:11" x14ac:dyDescent="0.3">
      <c r="B27" s="14" t="s">
        <v>49</v>
      </c>
      <c r="C27" s="31">
        <v>467488</v>
      </c>
      <c r="D27" s="31">
        <v>0</v>
      </c>
      <c r="E27" s="31">
        <v>10990</v>
      </c>
      <c r="F27" s="31"/>
      <c r="G27" s="31">
        <v>2041421</v>
      </c>
      <c r="H27" s="31"/>
      <c r="I27" s="31"/>
      <c r="J27" s="31"/>
      <c r="K27" s="31">
        <v>2519899</v>
      </c>
    </row>
    <row r="28" spans="2:11" x14ac:dyDescent="0.3">
      <c r="B28" s="14" t="s">
        <v>50</v>
      </c>
      <c r="C28" s="31">
        <v>472659</v>
      </c>
      <c r="D28" s="31">
        <v>0</v>
      </c>
      <c r="E28" s="31">
        <v>24109.999999999996</v>
      </c>
      <c r="F28" s="31"/>
      <c r="G28" s="31">
        <v>2006058</v>
      </c>
      <c r="H28" s="31"/>
      <c r="I28" s="31"/>
      <c r="J28" s="31"/>
      <c r="K28" s="31">
        <v>2502827</v>
      </c>
    </row>
    <row r="29" spans="2:11" x14ac:dyDescent="0.3">
      <c r="B29" s="14" t="s">
        <v>51</v>
      </c>
      <c r="C29" s="31">
        <v>513353</v>
      </c>
      <c r="D29" s="31">
        <v>0</v>
      </c>
      <c r="E29" s="31">
        <v>30799.999999999996</v>
      </c>
      <c r="F29" s="31"/>
      <c r="G29" s="31">
        <v>2007111</v>
      </c>
      <c r="H29" s="31"/>
      <c r="I29" s="31"/>
      <c r="J29" s="31"/>
      <c r="K29" s="31">
        <v>2551264</v>
      </c>
    </row>
    <row r="30" spans="2:11" x14ac:dyDescent="0.3">
      <c r="B30" s="14" t="s">
        <v>52</v>
      </c>
      <c r="C30" s="31">
        <v>483137</v>
      </c>
      <c r="D30" s="31">
        <v>0</v>
      </c>
      <c r="E30" s="31">
        <v>39170</v>
      </c>
      <c r="F30" s="31"/>
      <c r="G30" s="31">
        <v>2013438</v>
      </c>
      <c r="H30" s="31"/>
      <c r="I30" s="31"/>
      <c r="J30" s="31"/>
      <c r="K30" s="31">
        <v>2535745</v>
      </c>
    </row>
    <row r="31" spans="2:11" x14ac:dyDescent="0.3">
      <c r="B31" s="14" t="s">
        <v>53</v>
      </c>
      <c r="C31" s="31">
        <v>413785</v>
      </c>
      <c r="D31" s="31">
        <v>0</v>
      </c>
      <c r="E31" s="31">
        <v>29999.999999999996</v>
      </c>
      <c r="F31" s="31"/>
      <c r="G31" s="31">
        <v>2082144</v>
      </c>
      <c r="H31" s="31"/>
      <c r="I31" s="31"/>
      <c r="J31" s="31"/>
      <c r="K31" s="31">
        <v>2525929</v>
      </c>
    </row>
    <row r="32" spans="2:11" x14ac:dyDescent="0.3">
      <c r="B32" s="14" t="s">
        <v>54</v>
      </c>
      <c r="C32" s="31">
        <v>399532</v>
      </c>
      <c r="D32" s="31">
        <v>0</v>
      </c>
      <c r="E32" s="31">
        <v>54259.999999999993</v>
      </c>
      <c r="F32" s="31"/>
      <c r="G32" s="31">
        <v>2040635</v>
      </c>
      <c r="H32" s="31">
        <v>31188</v>
      </c>
      <c r="I32" s="31">
        <v>65279.999999999993</v>
      </c>
      <c r="J32" s="31"/>
      <c r="K32" s="31">
        <v>2590895</v>
      </c>
    </row>
    <row r="33" spans="2:11" x14ac:dyDescent="0.3">
      <c r="B33" s="14" t="s">
        <v>55</v>
      </c>
      <c r="C33" s="31">
        <v>421014</v>
      </c>
      <c r="D33" s="31">
        <v>0</v>
      </c>
      <c r="E33" s="31">
        <v>95889.999999999985</v>
      </c>
      <c r="F33" s="31"/>
      <c r="G33" s="31">
        <v>2042870</v>
      </c>
      <c r="H33" s="31">
        <v>31242</v>
      </c>
      <c r="I33" s="31">
        <v>1935.4545454545453</v>
      </c>
      <c r="J33" s="31"/>
      <c r="K33" s="31">
        <v>2592951.4545454546</v>
      </c>
    </row>
    <row r="34" spans="2:11" x14ac:dyDescent="0.3">
      <c r="B34" s="14" t="s">
        <v>56</v>
      </c>
      <c r="C34" s="31">
        <v>440888</v>
      </c>
      <c r="D34" s="31">
        <v>0</v>
      </c>
      <c r="E34" s="31">
        <v>110810</v>
      </c>
      <c r="F34" s="31"/>
      <c r="G34" s="31">
        <v>2561925</v>
      </c>
      <c r="H34" s="31">
        <v>30672</v>
      </c>
      <c r="I34" s="31">
        <v>1665.4545454545453</v>
      </c>
      <c r="J34" s="31">
        <v>65580</v>
      </c>
      <c r="K34" s="31">
        <v>3211540.4545454546</v>
      </c>
    </row>
    <row r="35" spans="2:11" x14ac:dyDescent="0.3">
      <c r="B35" s="14" t="s">
        <v>57</v>
      </c>
      <c r="C35" s="31">
        <v>436444</v>
      </c>
      <c r="D35" s="31">
        <v>0</v>
      </c>
      <c r="E35" s="31">
        <v>67610</v>
      </c>
      <c r="F35" s="31"/>
      <c r="G35" s="31">
        <v>2472851</v>
      </c>
      <c r="H35" s="31">
        <v>13563</v>
      </c>
      <c r="I35" s="31">
        <v>72764.545454545456</v>
      </c>
      <c r="J35" s="31">
        <v>344068</v>
      </c>
      <c r="K35" s="31">
        <v>3407300.5454545454</v>
      </c>
    </row>
    <row r="36" spans="2:11" x14ac:dyDescent="0.3">
      <c r="B36" s="14" t="s">
        <v>58</v>
      </c>
      <c r="C36" s="31">
        <v>416119</v>
      </c>
      <c r="D36" s="31">
        <v>0</v>
      </c>
      <c r="E36" s="31">
        <v>30959.999999999996</v>
      </c>
      <c r="F36" s="31"/>
      <c r="G36" s="31">
        <v>2367565</v>
      </c>
      <c r="H36" s="31">
        <v>1647</v>
      </c>
      <c r="I36" s="31">
        <v>0</v>
      </c>
      <c r="J36" s="31">
        <v>576895</v>
      </c>
      <c r="K36" s="31">
        <v>3393186</v>
      </c>
    </row>
    <row r="37" spans="2:11" x14ac:dyDescent="0.3">
      <c r="B37" s="14" t="s">
        <v>59</v>
      </c>
      <c r="C37" s="31">
        <v>251292</v>
      </c>
      <c r="D37" s="31">
        <v>0</v>
      </c>
      <c r="E37" s="31">
        <v>28879.999999999996</v>
      </c>
      <c r="F37" s="31"/>
      <c r="G37" s="31">
        <v>2366105</v>
      </c>
      <c r="H37" s="31">
        <v>842</v>
      </c>
      <c r="I37" s="31">
        <v>0</v>
      </c>
      <c r="J37" s="31">
        <v>329251</v>
      </c>
      <c r="K37" s="31">
        <v>2976370</v>
      </c>
    </row>
    <row r="38" spans="2:11" x14ac:dyDescent="0.3">
      <c r="B38" s="14" t="s">
        <v>15</v>
      </c>
      <c r="C38" s="31">
        <v>21107744</v>
      </c>
      <c r="D38" s="31">
        <v>3346064.5454545449</v>
      </c>
      <c r="E38" s="31">
        <v>633390</v>
      </c>
      <c r="F38" s="31"/>
      <c r="G38" s="31">
        <v>37581998</v>
      </c>
      <c r="H38" s="31">
        <v>109154</v>
      </c>
      <c r="I38" s="31">
        <v>141645.45454545453</v>
      </c>
      <c r="J38" s="31">
        <v>1315794</v>
      </c>
      <c r="K38" s="31">
        <v>64235790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D2A6-BE31-4D4C-ABCA-83BB45C84D3F}">
  <sheetPr>
    <tabColor theme="8" tint="0.79998168889431442"/>
  </sheetPr>
  <dimension ref="B4:M48"/>
  <sheetViews>
    <sheetView showGridLines="0" topLeftCell="A25" zoomScale="70" zoomScaleNormal="70" workbookViewId="0">
      <selection activeCell="F44" sqref="F44"/>
    </sheetView>
  </sheetViews>
  <sheetFormatPr defaultRowHeight="16.5" x14ac:dyDescent="0.3"/>
  <cols>
    <col min="1" max="1" width="13.125" bestFit="1" customWidth="1"/>
    <col min="2" max="2" width="16" bestFit="1" customWidth="1"/>
    <col min="3" max="3" width="12.75" bestFit="1" customWidth="1"/>
    <col min="4" max="4" width="11.25" bestFit="1" customWidth="1"/>
    <col min="5" max="5" width="13.25" bestFit="1" customWidth="1"/>
    <col min="6" max="6" width="11.375" bestFit="1" customWidth="1"/>
    <col min="7" max="7" width="12" bestFit="1" customWidth="1"/>
    <col min="9" max="9" width="11.75" bestFit="1" customWidth="1"/>
  </cols>
  <sheetData>
    <row r="4" spans="2:13" x14ac:dyDescent="0.3">
      <c r="B4" s="12" t="s">
        <v>0</v>
      </c>
      <c r="C4" s="12" t="s">
        <v>6</v>
      </c>
    </row>
    <row r="5" spans="2:13" x14ac:dyDescent="0.3">
      <c r="B5" s="12" t="s">
        <v>7</v>
      </c>
      <c r="C5" t="s">
        <v>24</v>
      </c>
      <c r="D5" t="s">
        <v>25</v>
      </c>
      <c r="E5" t="s">
        <v>26</v>
      </c>
      <c r="F5" t="s">
        <v>11</v>
      </c>
      <c r="G5" t="s">
        <v>15</v>
      </c>
    </row>
    <row r="6" spans="2:13" x14ac:dyDescent="0.3">
      <c r="B6" s="14" t="s">
        <v>2</v>
      </c>
      <c r="C6" s="16">
        <v>252652870</v>
      </c>
      <c r="D6" s="16">
        <v>22990834</v>
      </c>
      <c r="E6" s="16">
        <v>14828437</v>
      </c>
      <c r="F6" s="16"/>
      <c r="G6" s="16">
        <v>290472141</v>
      </c>
    </row>
    <row r="7" spans="2:13" x14ac:dyDescent="0.3">
      <c r="B7" s="28" t="s">
        <v>27</v>
      </c>
      <c r="C7" s="16">
        <v>183576360</v>
      </c>
      <c r="D7" s="16">
        <v>20069529</v>
      </c>
      <c r="E7" s="16">
        <v>12937882</v>
      </c>
      <c r="F7" s="16"/>
      <c r="G7" s="16">
        <v>216583771</v>
      </c>
    </row>
    <row r="8" spans="2:13" x14ac:dyDescent="0.3">
      <c r="B8" s="29" t="s">
        <v>28</v>
      </c>
      <c r="C8" s="16">
        <v>562210</v>
      </c>
      <c r="D8" s="16">
        <v>582910</v>
      </c>
      <c r="E8" s="16">
        <v>337195</v>
      </c>
      <c r="F8" s="16"/>
      <c r="G8" s="16">
        <v>1482315</v>
      </c>
    </row>
    <row r="9" spans="2:13" x14ac:dyDescent="0.3">
      <c r="B9" s="29" t="s">
        <v>29</v>
      </c>
      <c r="C9" s="16">
        <v>1000680</v>
      </c>
      <c r="D9" s="16">
        <v>480465</v>
      </c>
      <c r="E9" s="16">
        <v>511495</v>
      </c>
      <c r="F9" s="16"/>
      <c r="G9" s="16">
        <v>1992640</v>
      </c>
    </row>
    <row r="10" spans="2:13" x14ac:dyDescent="0.3">
      <c r="B10" s="29" t="s">
        <v>30</v>
      </c>
      <c r="C10" s="16">
        <v>898460</v>
      </c>
      <c r="D10" s="16">
        <v>1112775</v>
      </c>
      <c r="E10" s="16">
        <v>549890</v>
      </c>
      <c r="F10" s="16"/>
      <c r="G10" s="16">
        <v>2561125</v>
      </c>
      <c r="I10">
        <v>1555000</v>
      </c>
    </row>
    <row r="11" spans="2:13" x14ac:dyDescent="0.3">
      <c r="B11" s="29" t="s">
        <v>31</v>
      </c>
      <c r="C11" s="16">
        <v>599870</v>
      </c>
      <c r="D11" s="16">
        <v>855910</v>
      </c>
      <c r="E11" s="16">
        <v>557360</v>
      </c>
      <c r="F11" s="16"/>
      <c r="G11" s="16">
        <v>2013140</v>
      </c>
    </row>
    <row r="12" spans="2:13" x14ac:dyDescent="0.3">
      <c r="B12" s="29" t="s">
        <v>32</v>
      </c>
      <c r="C12" s="16">
        <v>314730</v>
      </c>
      <c r="D12" s="16">
        <v>1009820</v>
      </c>
      <c r="E12" s="16">
        <v>385950</v>
      </c>
      <c r="F12" s="16"/>
      <c r="G12" s="16">
        <v>1710500</v>
      </c>
    </row>
    <row r="13" spans="2:13" x14ac:dyDescent="0.3">
      <c r="B13" s="29" t="s">
        <v>33</v>
      </c>
      <c r="C13" s="16">
        <v>680570</v>
      </c>
      <c r="D13" s="16">
        <v>509600</v>
      </c>
      <c r="E13" s="16">
        <v>469165</v>
      </c>
      <c r="F13" s="16"/>
      <c r="G13" s="16">
        <v>1659335</v>
      </c>
    </row>
    <row r="14" spans="2:13" x14ac:dyDescent="0.3">
      <c r="B14" s="29" t="s">
        <v>34</v>
      </c>
      <c r="C14" s="16">
        <v>774720</v>
      </c>
      <c r="D14" s="16">
        <v>1130465</v>
      </c>
      <c r="E14" s="16">
        <v>588285</v>
      </c>
      <c r="F14" s="16"/>
      <c r="G14" s="16">
        <v>2493470</v>
      </c>
      <c r="I14">
        <f>G14/1.1</f>
        <v>2266790.9090909087</v>
      </c>
    </row>
    <row r="15" spans="2:13" x14ac:dyDescent="0.3">
      <c r="B15" s="29" t="s">
        <v>35</v>
      </c>
      <c r="C15" s="16">
        <v>212510</v>
      </c>
      <c r="D15" s="16">
        <v>472155</v>
      </c>
      <c r="E15" s="16">
        <v>557360</v>
      </c>
      <c r="F15" s="16"/>
      <c r="G15" s="16">
        <v>1242025</v>
      </c>
      <c r="M15" t="s">
        <v>36</v>
      </c>
    </row>
    <row r="16" spans="2:13" x14ac:dyDescent="0.3">
      <c r="B16" s="29" t="s">
        <v>37</v>
      </c>
      <c r="C16" s="16">
        <v>511100</v>
      </c>
      <c r="D16" s="16">
        <v>714465</v>
      </c>
      <c r="E16" s="16">
        <v>405470</v>
      </c>
      <c r="F16" s="16"/>
      <c r="G16" s="16">
        <v>1631035</v>
      </c>
    </row>
    <row r="17" spans="2:9" x14ac:dyDescent="0.3">
      <c r="B17" s="29" t="s">
        <v>38</v>
      </c>
      <c r="C17" s="16">
        <v>546070</v>
      </c>
      <c r="D17" s="16">
        <v>944310</v>
      </c>
      <c r="E17" s="16">
        <v>629570</v>
      </c>
      <c r="F17" s="16"/>
      <c r="G17" s="16">
        <v>2119950</v>
      </c>
    </row>
    <row r="18" spans="2:9" x14ac:dyDescent="0.3">
      <c r="B18" s="29" t="s">
        <v>39</v>
      </c>
      <c r="C18" s="16">
        <v>901150</v>
      </c>
      <c r="D18" s="16">
        <v>718110</v>
      </c>
      <c r="E18" s="16">
        <v>567320</v>
      </c>
      <c r="F18" s="16"/>
      <c r="G18" s="16">
        <v>2186580</v>
      </c>
    </row>
    <row r="19" spans="2:9" x14ac:dyDescent="0.3">
      <c r="B19" s="29" t="s">
        <v>40</v>
      </c>
      <c r="C19" s="16">
        <v>24844840</v>
      </c>
      <c r="D19" s="16">
        <v>758665</v>
      </c>
      <c r="E19" s="16">
        <v>634150</v>
      </c>
      <c r="F19" s="16"/>
      <c r="G19" s="16">
        <v>26237655</v>
      </c>
    </row>
    <row r="20" spans="2:9" x14ac:dyDescent="0.3">
      <c r="B20" s="29" t="s">
        <v>41</v>
      </c>
      <c r="C20" s="16">
        <v>4379320</v>
      </c>
      <c r="D20" s="16">
        <v>834065</v>
      </c>
      <c r="E20" s="16">
        <v>368120</v>
      </c>
      <c r="F20" s="16"/>
      <c r="G20" s="16">
        <v>5581505</v>
      </c>
      <c r="I20" s="30"/>
    </row>
    <row r="21" spans="2:9" x14ac:dyDescent="0.3">
      <c r="B21" s="29" t="s">
        <v>42</v>
      </c>
      <c r="C21" s="16">
        <v>4309380</v>
      </c>
      <c r="D21" s="16">
        <v>996310</v>
      </c>
      <c r="E21" s="16">
        <v>340730</v>
      </c>
      <c r="F21" s="16"/>
      <c r="G21" s="16">
        <v>5646420</v>
      </c>
    </row>
    <row r="22" spans="2:9" x14ac:dyDescent="0.3">
      <c r="B22" s="29" t="s">
        <v>43</v>
      </c>
      <c r="C22" s="16">
        <v>18313520</v>
      </c>
      <c r="D22" s="16">
        <v>899065</v>
      </c>
      <c r="E22" s="16">
        <v>610886</v>
      </c>
      <c r="F22" s="16"/>
      <c r="G22" s="16">
        <v>19823471</v>
      </c>
    </row>
    <row r="23" spans="2:9" x14ac:dyDescent="0.3">
      <c r="B23" s="29" t="s">
        <v>44</v>
      </c>
      <c r="C23" s="16">
        <v>3392090</v>
      </c>
      <c r="D23" s="16">
        <v>736310</v>
      </c>
      <c r="E23" s="16">
        <v>503198</v>
      </c>
      <c r="F23" s="16"/>
      <c r="G23" s="16">
        <v>4631598</v>
      </c>
    </row>
    <row r="24" spans="2:9" x14ac:dyDescent="0.3">
      <c r="B24" s="29" t="s">
        <v>45</v>
      </c>
      <c r="C24" s="16">
        <v>1969080</v>
      </c>
      <c r="D24" s="16">
        <v>770620</v>
      </c>
      <c r="E24" s="16">
        <v>221610</v>
      </c>
      <c r="F24" s="16"/>
      <c r="G24" s="16">
        <v>2961310</v>
      </c>
    </row>
    <row r="25" spans="2:9" x14ac:dyDescent="0.3">
      <c r="B25" s="29" t="s">
        <v>46</v>
      </c>
      <c r="C25" s="16">
        <v>9918030</v>
      </c>
      <c r="D25" s="16">
        <v>523110</v>
      </c>
      <c r="E25" s="16">
        <v>271010</v>
      </c>
      <c r="F25" s="16"/>
      <c r="G25" s="16">
        <v>10712150</v>
      </c>
    </row>
    <row r="26" spans="2:9" x14ac:dyDescent="0.3">
      <c r="B26" s="29" t="s">
        <v>47</v>
      </c>
      <c r="C26" s="16">
        <v>13089540</v>
      </c>
      <c r="D26" s="16">
        <v>364000</v>
      </c>
      <c r="E26" s="16">
        <v>368120</v>
      </c>
      <c r="F26" s="16"/>
      <c r="G26" s="16">
        <v>13821660</v>
      </c>
    </row>
    <row r="27" spans="2:9" x14ac:dyDescent="0.3">
      <c r="B27" s="29" t="s">
        <v>48</v>
      </c>
      <c r="C27" s="16">
        <v>9525290</v>
      </c>
      <c r="D27" s="16">
        <v>399355</v>
      </c>
      <c r="E27" s="16">
        <v>245065</v>
      </c>
      <c r="F27" s="16"/>
      <c r="G27" s="16">
        <v>10169710</v>
      </c>
      <c r="I27">
        <f>G27/1.1</f>
        <v>9245190.9090909082</v>
      </c>
    </row>
    <row r="28" spans="2:9" x14ac:dyDescent="0.3">
      <c r="B28" s="29" t="s">
        <v>49</v>
      </c>
      <c r="C28" s="16">
        <v>9527980</v>
      </c>
      <c r="D28" s="16">
        <v>524665</v>
      </c>
      <c r="E28" s="16">
        <v>218720</v>
      </c>
      <c r="F28" s="16"/>
      <c r="G28" s="16">
        <v>10271365</v>
      </c>
      <c r="I28">
        <f t="shared" ref="I28:I31" si="0">G28/1.1</f>
        <v>9337604.5454545449</v>
      </c>
    </row>
    <row r="29" spans="2:9" x14ac:dyDescent="0.3">
      <c r="B29" s="29" t="s">
        <v>50</v>
      </c>
      <c r="C29" s="16">
        <v>7564280</v>
      </c>
      <c r="D29" s="16">
        <v>500755</v>
      </c>
      <c r="E29" s="16">
        <v>455488</v>
      </c>
      <c r="F29" s="16"/>
      <c r="G29" s="16">
        <v>8520523</v>
      </c>
      <c r="I29">
        <f t="shared" si="0"/>
        <v>7745929.9999999991</v>
      </c>
    </row>
    <row r="30" spans="2:9" x14ac:dyDescent="0.3">
      <c r="B30" s="29" t="s">
        <v>51</v>
      </c>
      <c r="C30" s="16">
        <v>7575040</v>
      </c>
      <c r="D30" s="16">
        <v>493465</v>
      </c>
      <c r="E30" s="16">
        <v>123055</v>
      </c>
      <c r="F30" s="16"/>
      <c r="G30" s="16">
        <v>8191560</v>
      </c>
      <c r="I30">
        <f t="shared" si="0"/>
        <v>7446872.7272727266</v>
      </c>
    </row>
    <row r="31" spans="2:9" x14ac:dyDescent="0.3">
      <c r="B31" s="29" t="s">
        <v>52</v>
      </c>
      <c r="C31" s="16">
        <v>8234090</v>
      </c>
      <c r="D31" s="16">
        <v>379600</v>
      </c>
      <c r="E31" s="16">
        <v>491175</v>
      </c>
      <c r="F31" s="16"/>
      <c r="G31" s="16">
        <v>9104865</v>
      </c>
      <c r="I31">
        <f t="shared" si="0"/>
        <v>8277149.9999999991</v>
      </c>
    </row>
    <row r="32" spans="2:9" x14ac:dyDescent="0.3">
      <c r="B32" s="29" t="s">
        <v>53</v>
      </c>
      <c r="C32" s="16">
        <v>8131870</v>
      </c>
      <c r="D32" s="16">
        <v>387400</v>
      </c>
      <c r="E32" s="16">
        <v>315830</v>
      </c>
      <c r="F32" s="16"/>
      <c r="G32" s="16">
        <v>8835100</v>
      </c>
    </row>
    <row r="33" spans="2:7" x14ac:dyDescent="0.3">
      <c r="B33" s="29" t="s">
        <v>54</v>
      </c>
      <c r="C33" s="16">
        <v>6566290</v>
      </c>
      <c r="D33" s="16">
        <v>574965</v>
      </c>
      <c r="E33" s="16">
        <v>787058</v>
      </c>
      <c r="F33" s="16"/>
      <c r="G33" s="16">
        <v>7928313</v>
      </c>
    </row>
    <row r="34" spans="2:7" x14ac:dyDescent="0.3">
      <c r="B34" s="29" t="s">
        <v>55</v>
      </c>
      <c r="C34" s="16">
        <v>7236100</v>
      </c>
      <c r="D34" s="16">
        <v>397147</v>
      </c>
      <c r="E34" s="16">
        <v>383378</v>
      </c>
      <c r="F34" s="16"/>
      <c r="G34" s="16">
        <v>8016625</v>
      </c>
    </row>
    <row r="35" spans="2:7" x14ac:dyDescent="0.3">
      <c r="B35" s="29" t="s">
        <v>56</v>
      </c>
      <c r="C35" s="16">
        <v>7975850</v>
      </c>
      <c r="D35" s="16">
        <v>431885</v>
      </c>
      <c r="E35" s="16">
        <v>108724</v>
      </c>
      <c r="F35" s="16"/>
      <c r="G35" s="16">
        <v>8516459</v>
      </c>
    </row>
    <row r="36" spans="2:7" x14ac:dyDescent="0.3">
      <c r="B36" s="29" t="s">
        <v>57</v>
      </c>
      <c r="C36" s="16">
        <v>8640280</v>
      </c>
      <c r="D36" s="16">
        <v>1231762</v>
      </c>
      <c r="E36" s="16">
        <v>485559</v>
      </c>
      <c r="F36" s="16"/>
      <c r="G36" s="16">
        <v>10357601</v>
      </c>
    </row>
    <row r="37" spans="2:7" x14ac:dyDescent="0.3">
      <c r="B37" s="29" t="s">
        <v>58</v>
      </c>
      <c r="C37" s="16">
        <v>6851430</v>
      </c>
      <c r="D37" s="16">
        <v>52000</v>
      </c>
      <c r="E37" s="16">
        <v>225336</v>
      </c>
      <c r="F37" s="16"/>
      <c r="G37" s="16">
        <v>7128766</v>
      </c>
    </row>
    <row r="38" spans="2:7" x14ac:dyDescent="0.3">
      <c r="B38" s="29" t="s">
        <v>59</v>
      </c>
      <c r="C38" s="16">
        <v>8529990</v>
      </c>
      <c r="D38" s="16">
        <v>283400</v>
      </c>
      <c r="E38" s="16">
        <v>221610</v>
      </c>
      <c r="F38" s="16"/>
      <c r="G38" s="16">
        <v>9035000</v>
      </c>
    </row>
    <row r="39" spans="2:7" x14ac:dyDescent="0.3">
      <c r="B39" s="28" t="s">
        <v>4</v>
      </c>
      <c r="C39" s="16">
        <v>69076510</v>
      </c>
      <c r="D39" s="16">
        <v>2921305</v>
      </c>
      <c r="E39" s="16">
        <v>1890555</v>
      </c>
      <c r="F39" s="16"/>
      <c r="G39" s="16">
        <v>73888370</v>
      </c>
    </row>
    <row r="40" spans="2:7" x14ac:dyDescent="0.3">
      <c r="B40" s="29" t="s">
        <v>16</v>
      </c>
      <c r="C40" s="16">
        <v>11534720</v>
      </c>
      <c r="D40" s="16">
        <v>468000</v>
      </c>
      <c r="E40" s="16">
        <v>286350</v>
      </c>
      <c r="F40" s="16"/>
      <c r="G40" s="16">
        <v>12289070</v>
      </c>
    </row>
    <row r="41" spans="2:7" x14ac:dyDescent="0.3">
      <c r="B41" s="29" t="s">
        <v>17</v>
      </c>
      <c r="C41" s="16">
        <v>11058590</v>
      </c>
      <c r="D41" s="16">
        <v>469020</v>
      </c>
      <c r="E41" s="16">
        <v>224100</v>
      </c>
      <c r="F41" s="16"/>
      <c r="G41" s="16">
        <v>11751710</v>
      </c>
    </row>
    <row r="42" spans="2:7" x14ac:dyDescent="0.3">
      <c r="B42" s="29" t="s">
        <v>18</v>
      </c>
      <c r="C42" s="16">
        <v>7784860</v>
      </c>
      <c r="D42" s="16">
        <v>349955</v>
      </c>
      <c r="E42" s="16">
        <v>74700</v>
      </c>
      <c r="F42" s="16"/>
      <c r="G42" s="16">
        <v>8209515</v>
      </c>
    </row>
    <row r="43" spans="2:7" x14ac:dyDescent="0.3">
      <c r="B43" s="29" t="s">
        <v>19</v>
      </c>
      <c r="C43" s="16">
        <v>7319490</v>
      </c>
      <c r="D43" s="16">
        <v>248555</v>
      </c>
      <c r="E43" s="16">
        <v>286350</v>
      </c>
      <c r="F43" s="16"/>
      <c r="G43" s="16">
        <v>7854395</v>
      </c>
    </row>
    <row r="44" spans="2:7" x14ac:dyDescent="0.3">
      <c r="B44" s="29" t="s">
        <v>20</v>
      </c>
      <c r="C44" s="16">
        <v>6509800</v>
      </c>
      <c r="D44" s="16">
        <v>348910</v>
      </c>
      <c r="E44" s="16">
        <v>74700</v>
      </c>
      <c r="F44" s="16"/>
      <c r="G44" s="16">
        <v>6933410</v>
      </c>
    </row>
    <row r="45" spans="2:7" x14ac:dyDescent="0.3">
      <c r="B45" s="29" t="s">
        <v>21</v>
      </c>
      <c r="C45" s="16">
        <v>8123800</v>
      </c>
      <c r="D45" s="16">
        <v>394155</v>
      </c>
      <c r="E45" s="16">
        <v>217675</v>
      </c>
      <c r="F45" s="16"/>
      <c r="G45" s="16">
        <v>8735630</v>
      </c>
    </row>
    <row r="46" spans="2:7" x14ac:dyDescent="0.3">
      <c r="B46" s="29" t="s">
        <v>22</v>
      </c>
      <c r="C46" s="16">
        <v>8710220</v>
      </c>
      <c r="D46" s="16">
        <v>345800</v>
      </c>
      <c r="E46" s="16">
        <v>410850</v>
      </c>
      <c r="F46" s="16"/>
      <c r="G46" s="16">
        <v>9466870</v>
      </c>
    </row>
    <row r="47" spans="2:7" x14ac:dyDescent="0.3">
      <c r="B47" s="29" t="s">
        <v>23</v>
      </c>
      <c r="C47" s="16">
        <v>8035030</v>
      </c>
      <c r="D47" s="16">
        <v>296910</v>
      </c>
      <c r="E47" s="16">
        <v>315830</v>
      </c>
      <c r="F47" s="16"/>
      <c r="G47" s="16">
        <v>8647770</v>
      </c>
    </row>
    <row r="48" spans="2:7" x14ac:dyDescent="0.3">
      <c r="B48" s="14" t="s">
        <v>15</v>
      </c>
      <c r="C48" s="16">
        <v>252652870</v>
      </c>
      <c r="D48" s="16">
        <v>22990834</v>
      </c>
      <c r="E48" s="16">
        <v>14828437</v>
      </c>
      <c r="F48" s="16"/>
      <c r="G48" s="16">
        <v>290472141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D4C3-5093-4AED-9836-1D5AE06F9A0F}">
  <sheetPr>
    <tabColor theme="0" tint="-0.499984740745262"/>
  </sheetPr>
  <dimension ref="B1:P913"/>
  <sheetViews>
    <sheetView topLeftCell="G1" zoomScale="70" zoomScaleNormal="70" workbookViewId="0">
      <pane ySplit="1" topLeftCell="A882" activePane="bottomLeft" state="frozen"/>
      <selection pane="bottomLeft" activeCell="G915" sqref="G915"/>
    </sheetView>
  </sheetViews>
  <sheetFormatPr defaultRowHeight="16.5" x14ac:dyDescent="0.3"/>
  <cols>
    <col min="1" max="1" width="1.625" customWidth="1"/>
    <col min="2" max="2" width="11.125" customWidth="1"/>
    <col min="3" max="4" width="9.75" customWidth="1"/>
    <col min="5" max="5" width="17.375" customWidth="1"/>
    <col min="6" max="6" width="12.625" customWidth="1"/>
    <col min="7" max="7" width="99.5" customWidth="1"/>
    <col min="8" max="8" width="32.875" customWidth="1"/>
    <col min="9" max="9" width="41.625" customWidth="1"/>
    <col min="10" max="10" width="9.625" customWidth="1"/>
    <col min="11" max="11" width="19.125" customWidth="1"/>
    <col min="12" max="12" width="18" customWidth="1"/>
    <col min="13" max="13" width="18.125" customWidth="1"/>
    <col min="15" max="15" width="10.125" bestFit="1" customWidth="1"/>
    <col min="16" max="16" width="36.875" bestFit="1" customWidth="1"/>
  </cols>
  <sheetData>
    <row r="1" spans="2:16" x14ac:dyDescent="0.3">
      <c r="B1" s="1" t="s">
        <v>60</v>
      </c>
      <c r="C1" s="1" t="s">
        <v>61</v>
      </c>
      <c r="D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</row>
    <row r="2" spans="2:16" x14ac:dyDescent="0.3">
      <c r="B2" s="24">
        <v>44195</v>
      </c>
      <c r="C2" s="25" t="str">
        <f>TEXT(B2,"aaa")</f>
        <v>수</v>
      </c>
      <c r="D2" s="3" t="s">
        <v>75</v>
      </c>
      <c r="E2" s="3"/>
      <c r="F2" s="3"/>
      <c r="G2" s="3"/>
      <c r="H2" s="3"/>
      <c r="I2" s="3"/>
      <c r="J2" s="3"/>
      <c r="K2" s="23">
        <v>1266829</v>
      </c>
      <c r="L2" s="3"/>
      <c r="M2" s="3"/>
      <c r="N2" s="3"/>
      <c r="O2" s="3"/>
      <c r="P2" s="3"/>
    </row>
    <row r="3" spans="2:16" x14ac:dyDescent="0.3">
      <c r="B3" s="24">
        <v>44195</v>
      </c>
      <c r="C3" s="25" t="str">
        <f>TEXT(B3,"aaa")</f>
        <v>수</v>
      </c>
      <c r="D3" s="3" t="s">
        <v>76</v>
      </c>
      <c r="E3" s="3"/>
      <c r="F3" s="3"/>
      <c r="G3" s="3"/>
      <c r="H3" s="3"/>
      <c r="I3" s="3"/>
      <c r="J3" s="3"/>
      <c r="K3" s="3">
        <f>1771/1.1</f>
        <v>1609.9999999999998</v>
      </c>
      <c r="L3" s="3"/>
      <c r="M3" s="3"/>
      <c r="N3" s="3"/>
      <c r="O3" s="3"/>
      <c r="P3" s="3"/>
    </row>
    <row r="4" spans="2:16" x14ac:dyDescent="0.3">
      <c r="B4" s="24">
        <v>44195</v>
      </c>
      <c r="C4" s="25" t="str">
        <f>TEXT(B4,"aaa")</f>
        <v>수</v>
      </c>
      <c r="D4" s="3" t="s">
        <v>77</v>
      </c>
      <c r="E4" s="3"/>
      <c r="F4" s="3"/>
      <c r="G4" s="3"/>
      <c r="H4" s="3"/>
      <c r="I4" s="3"/>
      <c r="J4" s="3"/>
      <c r="K4" s="3">
        <f>181212/1.1</f>
        <v>164738.18181818179</v>
      </c>
      <c r="L4" s="3"/>
      <c r="M4" s="3"/>
      <c r="N4" s="3"/>
      <c r="O4" s="3"/>
      <c r="P4" s="3"/>
    </row>
    <row r="5" spans="2:16" x14ac:dyDescent="0.3">
      <c r="B5" s="26">
        <v>44196</v>
      </c>
      <c r="C5" s="25" t="s">
        <v>78</v>
      </c>
      <c r="D5" s="3" t="s">
        <v>75</v>
      </c>
      <c r="E5" s="3"/>
      <c r="F5" s="3"/>
      <c r="G5" s="3"/>
      <c r="H5" s="3"/>
      <c r="I5" s="3"/>
      <c r="J5" s="3"/>
      <c r="K5" s="23">
        <v>604068</v>
      </c>
      <c r="L5" s="3"/>
      <c r="M5" s="3"/>
      <c r="N5" s="3"/>
      <c r="O5" s="3"/>
      <c r="P5" s="3"/>
    </row>
    <row r="6" spans="2:16" x14ac:dyDescent="0.3">
      <c r="B6" s="26">
        <v>44196</v>
      </c>
      <c r="C6" s="25" t="s">
        <v>78</v>
      </c>
      <c r="D6" s="3" t="s">
        <v>76</v>
      </c>
      <c r="E6" s="3"/>
      <c r="F6" s="3"/>
      <c r="G6" s="3"/>
      <c r="H6" s="3"/>
      <c r="I6" s="3"/>
      <c r="J6" s="3"/>
      <c r="K6" s="3">
        <f>1155/1.1</f>
        <v>1050</v>
      </c>
      <c r="L6" s="3"/>
      <c r="M6" s="3"/>
      <c r="N6" s="3"/>
      <c r="O6" s="3"/>
      <c r="P6" s="3"/>
    </row>
    <row r="7" spans="2:16" x14ac:dyDescent="0.3">
      <c r="B7" s="26">
        <v>44196</v>
      </c>
      <c r="C7" s="25" t="s">
        <v>78</v>
      </c>
      <c r="D7" s="3" t="s">
        <v>77</v>
      </c>
      <c r="E7" s="3"/>
      <c r="F7" s="3"/>
      <c r="G7" s="3"/>
      <c r="H7" s="3"/>
      <c r="I7" s="3"/>
      <c r="J7" s="3"/>
      <c r="K7" s="3">
        <f>227063/1.1</f>
        <v>206420.90909090909</v>
      </c>
      <c r="L7" s="3"/>
      <c r="M7" s="3"/>
      <c r="N7" s="3"/>
      <c r="O7" s="3"/>
      <c r="P7" s="3"/>
    </row>
    <row r="8" spans="2:16" x14ac:dyDescent="0.3">
      <c r="B8" s="26">
        <v>44197</v>
      </c>
      <c r="C8" s="25" t="s">
        <v>79</v>
      </c>
      <c r="D8" s="3" t="s">
        <v>75</v>
      </c>
      <c r="E8" s="3"/>
      <c r="F8" s="3"/>
      <c r="G8" s="3"/>
      <c r="H8" s="3"/>
      <c r="I8" s="3"/>
      <c r="J8" s="3"/>
      <c r="K8" s="23">
        <v>621910</v>
      </c>
      <c r="L8" s="3"/>
      <c r="M8" s="3"/>
      <c r="N8" s="3"/>
      <c r="O8" s="3"/>
      <c r="P8" s="3"/>
    </row>
    <row r="9" spans="2:16" x14ac:dyDescent="0.3">
      <c r="B9" s="26">
        <v>44197</v>
      </c>
      <c r="C9" s="25" t="s">
        <v>79</v>
      </c>
      <c r="D9" s="3" t="s">
        <v>76</v>
      </c>
      <c r="E9" s="3"/>
      <c r="F9" s="3"/>
      <c r="G9" s="3"/>
      <c r="H9" s="3"/>
      <c r="I9" s="3"/>
      <c r="J9" s="3"/>
      <c r="K9" s="23">
        <f>1309/1.1</f>
        <v>1190</v>
      </c>
      <c r="L9" s="3"/>
      <c r="M9" s="3"/>
      <c r="N9" s="3"/>
      <c r="O9" s="3"/>
      <c r="P9" s="3"/>
    </row>
    <row r="10" spans="2:16" x14ac:dyDescent="0.3">
      <c r="B10" s="26">
        <v>44197</v>
      </c>
      <c r="C10" s="25" t="s">
        <v>79</v>
      </c>
      <c r="D10" s="3" t="s">
        <v>77</v>
      </c>
      <c r="E10" s="3"/>
      <c r="F10" s="3"/>
      <c r="G10" s="3"/>
      <c r="H10" s="3"/>
      <c r="I10" s="3"/>
      <c r="J10" s="3"/>
      <c r="K10" s="3">
        <f>222123/1.1</f>
        <v>201929.99999999997</v>
      </c>
      <c r="L10" s="3"/>
      <c r="M10" s="3"/>
      <c r="N10" s="3"/>
      <c r="O10" s="3"/>
      <c r="P10" s="3"/>
    </row>
    <row r="11" spans="2:16" x14ac:dyDescent="0.3">
      <c r="B11" s="26">
        <v>44198</v>
      </c>
      <c r="C11" s="25" t="s">
        <v>80</v>
      </c>
      <c r="D11" s="3" t="s">
        <v>75</v>
      </c>
      <c r="E11" s="3"/>
      <c r="F11" s="3"/>
      <c r="G11" s="3"/>
      <c r="H11" s="3"/>
      <c r="I11" s="3"/>
      <c r="J11" s="3"/>
      <c r="K11" s="23">
        <v>862403</v>
      </c>
      <c r="L11" s="3"/>
      <c r="M11" s="3"/>
      <c r="N11" s="3"/>
      <c r="O11" s="3"/>
      <c r="P11" s="3"/>
    </row>
    <row r="12" spans="2:16" x14ac:dyDescent="0.3">
      <c r="B12" s="26">
        <v>44198</v>
      </c>
      <c r="C12" s="25" t="s">
        <v>80</v>
      </c>
      <c r="D12" s="3" t="s">
        <v>76</v>
      </c>
      <c r="E12" s="3"/>
      <c r="F12" s="3"/>
      <c r="G12" s="3"/>
      <c r="H12" s="3"/>
      <c r="I12" s="3"/>
      <c r="J12" s="3"/>
      <c r="K12" s="3">
        <f>1386/1.1</f>
        <v>1260</v>
      </c>
      <c r="L12" s="3"/>
      <c r="M12" s="3"/>
      <c r="N12" s="3"/>
      <c r="O12" s="3"/>
      <c r="P12" s="3"/>
    </row>
    <row r="13" spans="2:16" x14ac:dyDescent="0.3">
      <c r="B13" s="26">
        <v>44198</v>
      </c>
      <c r="C13" s="25" t="s">
        <v>80</v>
      </c>
      <c r="D13" s="3" t="s">
        <v>77</v>
      </c>
      <c r="E13" s="3"/>
      <c r="F13" s="3"/>
      <c r="G13" s="3"/>
      <c r="H13" s="3"/>
      <c r="I13" s="3"/>
      <c r="J13" s="3"/>
      <c r="K13" s="3">
        <f>198686/1.1</f>
        <v>180623.63636363635</v>
      </c>
      <c r="L13" s="3"/>
      <c r="M13" s="3"/>
      <c r="N13" s="3"/>
      <c r="O13" s="3"/>
      <c r="P13" s="3"/>
    </row>
    <row r="14" spans="2:16" x14ac:dyDescent="0.3">
      <c r="B14" s="26">
        <v>44199</v>
      </c>
      <c r="C14" s="25" t="s">
        <v>81</v>
      </c>
      <c r="D14" s="3" t="s">
        <v>75</v>
      </c>
      <c r="E14" s="3"/>
      <c r="F14" s="3"/>
      <c r="G14" s="3"/>
      <c r="H14" s="3"/>
      <c r="I14" s="3"/>
      <c r="J14" s="3"/>
      <c r="K14" s="23">
        <v>1115571</v>
      </c>
      <c r="L14" s="3"/>
      <c r="M14" s="3"/>
      <c r="N14" s="3"/>
      <c r="O14" s="3"/>
      <c r="P14" s="3"/>
    </row>
    <row r="15" spans="2:16" x14ac:dyDescent="0.3">
      <c r="B15" s="26">
        <v>44199</v>
      </c>
      <c r="C15" s="25" t="s">
        <v>81</v>
      </c>
      <c r="D15" s="3" t="s">
        <v>76</v>
      </c>
      <c r="E15" s="3"/>
      <c r="F15" s="3"/>
      <c r="G15" s="3"/>
      <c r="H15" s="3"/>
      <c r="I15" s="3"/>
      <c r="J15" s="3"/>
      <c r="K15" s="3">
        <f>2233/1.1</f>
        <v>2029.9999999999998</v>
      </c>
      <c r="L15" s="3"/>
      <c r="M15" s="3"/>
      <c r="N15" s="3"/>
      <c r="O15" s="3"/>
      <c r="P15" s="3"/>
    </row>
    <row r="16" spans="2:16" x14ac:dyDescent="0.3">
      <c r="B16" s="26">
        <v>44199</v>
      </c>
      <c r="C16" s="25" t="s">
        <v>81</v>
      </c>
      <c r="D16" s="3" t="s">
        <v>77</v>
      </c>
      <c r="E16" s="3"/>
      <c r="F16" s="3"/>
      <c r="G16" s="3"/>
      <c r="H16" s="3"/>
      <c r="I16" s="3"/>
      <c r="J16" s="3"/>
      <c r="K16" s="3">
        <f>235984/1.1</f>
        <v>214530.90909090906</v>
      </c>
      <c r="L16" s="3"/>
      <c r="M16" s="3"/>
      <c r="N16" s="3"/>
      <c r="O16" s="3"/>
      <c r="P16" s="3"/>
    </row>
    <row r="17" spans="2:16" x14ac:dyDescent="0.3">
      <c r="B17" s="24">
        <v>44200</v>
      </c>
      <c r="C17" s="25" t="s">
        <v>3</v>
      </c>
      <c r="D17" s="3" t="s">
        <v>75</v>
      </c>
      <c r="E17" s="3"/>
      <c r="F17" s="3"/>
      <c r="G17" s="3"/>
      <c r="H17" s="3"/>
      <c r="I17" s="3"/>
      <c r="J17" s="3"/>
      <c r="K17" s="23">
        <v>1084337</v>
      </c>
      <c r="L17" s="3"/>
      <c r="M17" s="3"/>
      <c r="N17" s="3"/>
      <c r="O17" s="3"/>
      <c r="P17" s="3"/>
    </row>
    <row r="18" spans="2:16" x14ac:dyDescent="0.3">
      <c r="B18" s="24">
        <v>44200</v>
      </c>
      <c r="C18" s="25" t="s">
        <v>3</v>
      </c>
      <c r="D18" s="3" t="s">
        <v>76</v>
      </c>
      <c r="E18" s="3"/>
      <c r="F18" s="3"/>
      <c r="G18" s="3"/>
      <c r="H18" s="3"/>
      <c r="I18" s="3"/>
      <c r="J18" s="3"/>
      <c r="K18" s="3">
        <f>2079/1.1</f>
        <v>1889.9999999999998</v>
      </c>
      <c r="L18" s="3"/>
      <c r="M18" s="3"/>
      <c r="N18" s="3"/>
      <c r="O18" s="3"/>
      <c r="P18" s="3"/>
    </row>
    <row r="19" spans="2:16" x14ac:dyDescent="0.3">
      <c r="B19" s="24">
        <v>44200</v>
      </c>
      <c r="C19" s="25" t="s">
        <v>3</v>
      </c>
      <c r="D19" s="3" t="s">
        <v>77</v>
      </c>
      <c r="E19" s="3"/>
      <c r="F19" s="3"/>
      <c r="G19" s="3"/>
      <c r="H19" s="3"/>
      <c r="I19" s="3"/>
      <c r="J19" s="3"/>
      <c r="K19" s="3">
        <f>465779/1.1</f>
        <v>423435.45454545453</v>
      </c>
      <c r="L19" s="3"/>
      <c r="M19" s="3"/>
      <c r="N19" s="3"/>
      <c r="O19" s="3"/>
      <c r="P19" s="3"/>
    </row>
    <row r="20" spans="2:16" x14ac:dyDescent="0.3">
      <c r="B20" s="24">
        <v>44201</v>
      </c>
      <c r="C20" s="27" t="s">
        <v>82</v>
      </c>
      <c r="D20" s="3" t="s">
        <v>75</v>
      </c>
      <c r="E20" s="3"/>
      <c r="F20" s="3"/>
      <c r="G20" s="3"/>
      <c r="H20" s="3"/>
      <c r="I20" s="3"/>
      <c r="J20" s="3"/>
      <c r="K20" s="23">
        <v>857492</v>
      </c>
      <c r="L20" s="3"/>
      <c r="M20" s="3"/>
      <c r="N20" s="3"/>
      <c r="O20" s="3"/>
      <c r="P20" s="3"/>
    </row>
    <row r="21" spans="2:16" x14ac:dyDescent="0.3">
      <c r="B21" s="24">
        <v>44201</v>
      </c>
      <c r="C21" s="27" t="s">
        <v>82</v>
      </c>
      <c r="D21" s="3" t="s">
        <v>76</v>
      </c>
      <c r="E21" s="3"/>
      <c r="F21" s="3"/>
      <c r="G21" s="3"/>
      <c r="H21" s="3"/>
      <c r="I21" s="3"/>
      <c r="J21" s="3"/>
      <c r="K21" s="3">
        <f>1386/1.1</f>
        <v>1260</v>
      </c>
      <c r="L21" s="3"/>
      <c r="M21" s="3"/>
      <c r="N21" s="3"/>
      <c r="O21" s="3"/>
      <c r="P21" s="3"/>
    </row>
    <row r="22" spans="2:16" x14ac:dyDescent="0.3">
      <c r="B22" s="24">
        <v>44201</v>
      </c>
      <c r="C22" s="27" t="s">
        <v>82</v>
      </c>
      <c r="D22" s="3" t="s">
        <v>77</v>
      </c>
      <c r="E22" s="3"/>
      <c r="F22" s="3"/>
      <c r="G22" s="3"/>
      <c r="H22" s="3"/>
      <c r="I22" s="3"/>
      <c r="J22" s="3"/>
      <c r="K22" s="3">
        <f>533384/1.1</f>
        <v>484894.54545454541</v>
      </c>
      <c r="L22" s="3"/>
      <c r="M22" s="3"/>
      <c r="N22" s="3"/>
      <c r="O22" s="3"/>
      <c r="P22" s="3"/>
    </row>
    <row r="23" spans="2:16" x14ac:dyDescent="0.3">
      <c r="B23" s="24">
        <v>44202</v>
      </c>
      <c r="C23" s="27" t="s">
        <v>83</v>
      </c>
      <c r="D23" s="3" t="s">
        <v>75</v>
      </c>
      <c r="E23" s="3"/>
      <c r="F23" s="3"/>
      <c r="G23" s="3"/>
      <c r="H23" s="3"/>
      <c r="I23" s="3"/>
      <c r="J23" s="3"/>
      <c r="K23" s="23">
        <v>725091</v>
      </c>
      <c r="L23" s="3"/>
      <c r="M23" s="3"/>
      <c r="N23" s="3"/>
      <c r="O23" s="3"/>
      <c r="P23" s="3"/>
    </row>
    <row r="24" spans="2:16" x14ac:dyDescent="0.3">
      <c r="B24" s="24">
        <v>44202</v>
      </c>
      <c r="C24" s="27" t="s">
        <v>83</v>
      </c>
      <c r="D24" s="3" t="s">
        <v>76</v>
      </c>
      <c r="E24" s="3"/>
      <c r="F24" s="3"/>
      <c r="G24" s="3"/>
      <c r="H24" s="3"/>
      <c r="I24" s="3"/>
      <c r="J24" s="3"/>
      <c r="K24" s="3">
        <f>1771/1.1</f>
        <v>1609.9999999999998</v>
      </c>
      <c r="L24" s="3"/>
      <c r="M24" s="3"/>
      <c r="N24" s="3"/>
      <c r="O24" s="3"/>
      <c r="P24" s="3"/>
    </row>
    <row r="25" spans="2:16" x14ac:dyDescent="0.3">
      <c r="B25" s="24">
        <v>44202</v>
      </c>
      <c r="C25" s="27" t="s">
        <v>83</v>
      </c>
      <c r="D25" s="3" t="s">
        <v>77</v>
      </c>
      <c r="E25" s="3"/>
      <c r="F25" s="3"/>
      <c r="G25" s="3"/>
      <c r="H25" s="3"/>
      <c r="I25" s="3"/>
      <c r="J25" s="3"/>
      <c r="K25" s="3">
        <f>853931/1.1</f>
        <v>776300.90909090906</v>
      </c>
      <c r="L25" s="3"/>
      <c r="M25" s="3"/>
      <c r="N25" s="3"/>
      <c r="O25" s="3"/>
      <c r="P25" s="3"/>
    </row>
    <row r="26" spans="2:16" x14ac:dyDescent="0.3">
      <c r="B26" s="24">
        <v>44203</v>
      </c>
      <c r="C26" s="27" t="s">
        <v>78</v>
      </c>
      <c r="D26" s="3" t="s">
        <v>75</v>
      </c>
      <c r="E26" s="3"/>
      <c r="F26" s="3"/>
      <c r="G26" s="3"/>
      <c r="H26" s="3"/>
      <c r="I26" s="3"/>
      <c r="J26" s="3"/>
      <c r="K26" s="3">
        <v>1073186</v>
      </c>
      <c r="L26" s="3"/>
      <c r="M26" s="3"/>
      <c r="N26" s="3"/>
      <c r="O26" s="3"/>
      <c r="P26" s="3"/>
    </row>
    <row r="27" spans="2:16" x14ac:dyDescent="0.3">
      <c r="B27" s="24">
        <v>44203</v>
      </c>
      <c r="C27" s="27" t="s">
        <v>78</v>
      </c>
      <c r="D27" s="3" t="s">
        <v>76</v>
      </c>
      <c r="E27" s="3"/>
      <c r="F27" s="3"/>
      <c r="G27" s="3"/>
      <c r="H27" s="3"/>
      <c r="I27" s="3"/>
      <c r="J27" s="3"/>
      <c r="K27" s="3">
        <f>2156/1.1</f>
        <v>1959.9999999999998</v>
      </c>
      <c r="L27" s="3"/>
      <c r="M27" s="3"/>
      <c r="N27" s="3"/>
      <c r="O27" s="3"/>
      <c r="P27" s="3"/>
    </row>
    <row r="28" spans="2:16" x14ac:dyDescent="0.3">
      <c r="B28" s="24">
        <v>44203</v>
      </c>
      <c r="C28" s="27" t="s">
        <v>78</v>
      </c>
      <c r="D28" s="3" t="s">
        <v>77</v>
      </c>
      <c r="E28" s="3"/>
      <c r="F28" s="3"/>
      <c r="G28" s="3"/>
      <c r="H28" s="3"/>
      <c r="I28" s="3"/>
      <c r="J28" s="3"/>
      <c r="K28" s="3">
        <f>830590/1.1</f>
        <v>755081.81818181812</v>
      </c>
      <c r="L28" s="3"/>
      <c r="M28" s="3"/>
      <c r="N28" s="3"/>
      <c r="O28" s="3"/>
      <c r="P28" s="3"/>
    </row>
    <row r="29" spans="2:16" x14ac:dyDescent="0.3">
      <c r="B29" s="24">
        <v>44204</v>
      </c>
      <c r="C29" s="27" t="s">
        <v>79</v>
      </c>
      <c r="D29" s="3" t="s">
        <v>75</v>
      </c>
      <c r="E29" s="3"/>
      <c r="F29" s="3"/>
      <c r="G29" s="3"/>
      <c r="H29" s="3"/>
      <c r="I29" s="3"/>
      <c r="J29" s="3"/>
      <c r="K29" s="23">
        <v>851832</v>
      </c>
      <c r="L29" s="3"/>
      <c r="M29" s="3"/>
      <c r="N29" s="3"/>
      <c r="O29" s="3"/>
      <c r="P29" s="3"/>
    </row>
    <row r="30" spans="2:16" x14ac:dyDescent="0.3">
      <c r="B30" s="24">
        <v>44204</v>
      </c>
      <c r="C30" s="27" t="s">
        <v>79</v>
      </c>
      <c r="D30" s="3" t="s">
        <v>76</v>
      </c>
      <c r="E30" s="3"/>
      <c r="F30" s="3"/>
      <c r="G30" s="3"/>
      <c r="H30" s="3"/>
      <c r="I30" s="3"/>
      <c r="J30" s="3"/>
      <c r="K30" s="3">
        <f>1309/1.1</f>
        <v>1190</v>
      </c>
      <c r="L30" s="3"/>
      <c r="M30" s="3"/>
      <c r="N30" s="3"/>
      <c r="O30" s="3"/>
      <c r="P30" s="3"/>
    </row>
    <row r="31" spans="2:16" x14ac:dyDescent="0.3">
      <c r="B31" s="24">
        <v>44204</v>
      </c>
      <c r="C31" s="27" t="s">
        <v>79</v>
      </c>
      <c r="D31" s="3" t="s">
        <v>77</v>
      </c>
      <c r="E31" s="3"/>
      <c r="F31" s="3"/>
      <c r="G31" s="3"/>
      <c r="H31" s="3"/>
      <c r="I31" s="3"/>
      <c r="J31" s="3"/>
      <c r="K31" s="3">
        <f>340194/1.1</f>
        <v>309267.27272727271</v>
      </c>
      <c r="L31" s="3"/>
      <c r="M31" s="3"/>
      <c r="N31" s="3"/>
      <c r="O31" s="3"/>
      <c r="P31" s="3"/>
    </row>
    <row r="32" spans="2:16" x14ac:dyDescent="0.3">
      <c r="B32" s="24">
        <v>44205</v>
      </c>
      <c r="C32" s="27" t="s">
        <v>80</v>
      </c>
      <c r="D32" s="3" t="s">
        <v>75</v>
      </c>
      <c r="E32" s="3"/>
      <c r="F32" s="3"/>
      <c r="G32" s="3"/>
      <c r="H32" s="3"/>
      <c r="I32" s="3"/>
      <c r="J32" s="3"/>
      <c r="K32" s="23">
        <v>928639</v>
      </c>
      <c r="L32" s="3"/>
      <c r="M32" s="3"/>
      <c r="N32" s="3"/>
      <c r="O32" s="3"/>
      <c r="P32" s="3"/>
    </row>
    <row r="33" spans="2:16" x14ac:dyDescent="0.3">
      <c r="B33" s="24">
        <v>44205</v>
      </c>
      <c r="C33" s="27" t="s">
        <v>80</v>
      </c>
      <c r="D33" s="3" t="s">
        <v>76</v>
      </c>
      <c r="E33" s="3"/>
      <c r="F33" s="3"/>
      <c r="G33" s="3"/>
      <c r="H33" s="3"/>
      <c r="I33" s="3"/>
      <c r="J33" s="3"/>
      <c r="K33" s="3">
        <f>1694/1.1</f>
        <v>1539.9999999999998</v>
      </c>
      <c r="L33" s="3"/>
      <c r="M33" s="3"/>
      <c r="N33" s="3"/>
      <c r="O33" s="3"/>
      <c r="P33" s="3"/>
    </row>
    <row r="34" spans="2:16" x14ac:dyDescent="0.3">
      <c r="B34" s="24">
        <v>44205</v>
      </c>
      <c r="C34" s="27" t="s">
        <v>80</v>
      </c>
      <c r="D34" s="3" t="s">
        <v>77</v>
      </c>
      <c r="E34" s="3"/>
      <c r="F34" s="3"/>
      <c r="G34" s="3"/>
      <c r="H34" s="3"/>
      <c r="I34" s="3"/>
      <c r="J34" s="3"/>
      <c r="K34" s="3">
        <v>0</v>
      </c>
      <c r="L34" s="3"/>
      <c r="M34" s="3"/>
      <c r="N34" s="3"/>
      <c r="O34" s="3"/>
      <c r="P34" s="3"/>
    </row>
    <row r="35" spans="2:16" x14ac:dyDescent="0.3">
      <c r="B35" s="24">
        <v>44206</v>
      </c>
      <c r="C35" s="27" t="s">
        <v>81</v>
      </c>
      <c r="D35" s="3" t="s">
        <v>75</v>
      </c>
      <c r="E35" s="3"/>
      <c r="F35" s="3"/>
      <c r="G35" s="3"/>
      <c r="H35" s="3"/>
      <c r="I35" s="3"/>
      <c r="J35" s="3"/>
      <c r="K35" s="23">
        <v>1190341</v>
      </c>
      <c r="L35" s="3"/>
      <c r="M35" s="3"/>
      <c r="N35" s="3"/>
      <c r="O35" s="3"/>
      <c r="P35" s="3"/>
    </row>
    <row r="36" spans="2:16" x14ac:dyDescent="0.3">
      <c r="B36" s="24">
        <v>44206</v>
      </c>
      <c r="C36" s="27" t="s">
        <v>81</v>
      </c>
      <c r="D36" s="3" t="s">
        <v>76</v>
      </c>
      <c r="E36" s="3"/>
      <c r="F36" s="3"/>
      <c r="G36" s="3"/>
      <c r="H36" s="3"/>
      <c r="I36" s="3"/>
      <c r="J36" s="3"/>
      <c r="K36" s="3">
        <f>1309/1.1</f>
        <v>1190</v>
      </c>
      <c r="L36" s="3"/>
      <c r="M36" s="3"/>
      <c r="N36" s="3"/>
      <c r="O36" s="3"/>
      <c r="P36" s="3"/>
    </row>
    <row r="37" spans="2:16" x14ac:dyDescent="0.3">
      <c r="B37" s="24">
        <v>44206</v>
      </c>
      <c r="C37" s="27" t="s">
        <v>81</v>
      </c>
      <c r="D37" s="3" t="s">
        <v>77</v>
      </c>
      <c r="E37" s="3"/>
      <c r="F37" s="3"/>
      <c r="G37" s="3"/>
      <c r="H37" s="3"/>
      <c r="I37" s="3"/>
      <c r="J37" s="3"/>
      <c r="K37" s="3">
        <v>0</v>
      </c>
      <c r="L37" s="3"/>
      <c r="M37" s="3"/>
      <c r="N37" s="3"/>
      <c r="O37" s="3"/>
      <c r="P37" s="3"/>
    </row>
    <row r="38" spans="2:16" x14ac:dyDescent="0.3">
      <c r="B38" s="24">
        <v>44207</v>
      </c>
      <c r="C38" s="27" t="s">
        <v>3</v>
      </c>
      <c r="D38" s="3" t="s">
        <v>75</v>
      </c>
      <c r="E38" s="3"/>
      <c r="F38" s="3"/>
      <c r="G38" s="3"/>
      <c r="H38" s="3"/>
      <c r="I38" s="3"/>
      <c r="J38" s="3"/>
      <c r="K38" s="23">
        <v>783186</v>
      </c>
      <c r="L38" s="3"/>
      <c r="M38" s="3"/>
      <c r="N38" s="3"/>
      <c r="O38" s="3"/>
      <c r="P38" s="3"/>
    </row>
    <row r="39" spans="2:16" x14ac:dyDescent="0.3">
      <c r="B39" s="24">
        <v>44207</v>
      </c>
      <c r="C39" s="27" t="s">
        <v>3</v>
      </c>
      <c r="D39" s="3" t="s">
        <v>76</v>
      </c>
      <c r="E39" s="3"/>
      <c r="F39" s="3"/>
      <c r="G39" s="3"/>
      <c r="H39" s="3"/>
      <c r="I39" s="3"/>
      <c r="J39" s="3"/>
      <c r="K39" s="3">
        <f>2310/1.1</f>
        <v>2100</v>
      </c>
      <c r="L39" s="3"/>
      <c r="M39" s="3"/>
      <c r="N39" s="3"/>
      <c r="O39" s="3"/>
      <c r="P39" s="3"/>
    </row>
    <row r="40" spans="2:16" x14ac:dyDescent="0.3">
      <c r="B40" s="24">
        <v>44207</v>
      </c>
      <c r="C40" s="27" t="s">
        <v>3</v>
      </c>
      <c r="D40" s="3" t="s">
        <v>77</v>
      </c>
      <c r="E40" s="3"/>
      <c r="F40" s="3"/>
      <c r="G40" s="3"/>
      <c r="H40" s="3"/>
      <c r="I40" s="3"/>
      <c r="J40" s="3"/>
      <c r="K40" s="3">
        <v>0</v>
      </c>
      <c r="L40" s="3"/>
      <c r="M40" s="3"/>
      <c r="N40" s="3"/>
      <c r="O40" s="3"/>
      <c r="P40" s="3"/>
    </row>
    <row r="41" spans="2:16" x14ac:dyDescent="0.3">
      <c r="B41" s="24">
        <v>44207</v>
      </c>
      <c r="C41" s="27" t="s">
        <v>3</v>
      </c>
      <c r="D41" s="3" t="s">
        <v>12</v>
      </c>
      <c r="E41" s="3"/>
      <c r="F41" s="3"/>
      <c r="G41" s="3"/>
      <c r="H41" s="3"/>
      <c r="I41" s="3"/>
      <c r="J41" s="3"/>
      <c r="K41" s="23">
        <v>155050</v>
      </c>
      <c r="L41" s="3"/>
      <c r="M41" s="3"/>
      <c r="N41" s="3"/>
      <c r="O41" s="3"/>
      <c r="P41" s="3"/>
    </row>
    <row r="42" spans="2:16" x14ac:dyDescent="0.3">
      <c r="B42" s="24">
        <v>44208</v>
      </c>
      <c r="C42" s="27" t="s">
        <v>82</v>
      </c>
      <c r="D42" s="3" t="s">
        <v>75</v>
      </c>
      <c r="E42" s="3"/>
      <c r="F42" s="3"/>
      <c r="G42" s="3"/>
      <c r="H42" s="3"/>
      <c r="I42" s="3"/>
      <c r="J42" s="3"/>
      <c r="K42" s="23">
        <v>662365</v>
      </c>
      <c r="L42" s="3"/>
      <c r="M42" s="3"/>
      <c r="N42" s="3"/>
      <c r="O42" s="3"/>
      <c r="P42" s="3"/>
    </row>
    <row r="43" spans="2:16" x14ac:dyDescent="0.3">
      <c r="B43" s="24">
        <v>44208</v>
      </c>
      <c r="C43" s="27" t="s">
        <v>82</v>
      </c>
      <c r="D43" s="3" t="s">
        <v>76</v>
      </c>
      <c r="E43" s="3"/>
      <c r="F43" s="3"/>
      <c r="G43" s="3"/>
      <c r="H43" s="3"/>
      <c r="I43" s="3"/>
      <c r="J43" s="3"/>
      <c r="K43" s="23">
        <f>29645/1.1</f>
        <v>26949.999999999996</v>
      </c>
      <c r="L43" s="3"/>
      <c r="M43" s="3"/>
      <c r="N43" s="3"/>
      <c r="O43" s="3"/>
      <c r="P43" s="3"/>
    </row>
    <row r="44" spans="2:16" x14ac:dyDescent="0.3">
      <c r="B44" s="24">
        <v>44208</v>
      </c>
      <c r="C44" s="27" t="s">
        <v>82</v>
      </c>
      <c r="D44" s="3" t="s">
        <v>77</v>
      </c>
      <c r="E44" s="3"/>
      <c r="F44" s="3"/>
      <c r="G44" s="3"/>
      <c r="H44" s="3"/>
      <c r="I44" s="3"/>
      <c r="J44" s="3"/>
      <c r="K44" s="3">
        <v>0</v>
      </c>
      <c r="L44" s="3"/>
      <c r="M44" s="3"/>
      <c r="N44" s="3"/>
      <c r="O44" s="3"/>
      <c r="P44" s="3"/>
    </row>
    <row r="45" spans="2:16" x14ac:dyDescent="0.3">
      <c r="B45" s="24">
        <v>44208</v>
      </c>
      <c r="C45" s="27" t="s">
        <v>82</v>
      </c>
      <c r="D45" s="3" t="s">
        <v>12</v>
      </c>
      <c r="E45" s="3"/>
      <c r="F45" s="3"/>
      <c r="G45" s="3"/>
      <c r="H45" s="3"/>
      <c r="I45" s="3"/>
      <c r="J45" s="3"/>
      <c r="K45" s="23">
        <v>3126235</v>
      </c>
      <c r="L45" s="3"/>
      <c r="M45" s="3"/>
      <c r="N45" s="3"/>
      <c r="O45" s="3"/>
      <c r="P45" s="3"/>
    </row>
    <row r="46" spans="2:16" x14ac:dyDescent="0.3">
      <c r="B46" s="24">
        <v>44209</v>
      </c>
      <c r="C46" s="27" t="s">
        <v>83</v>
      </c>
      <c r="D46" s="3" t="s">
        <v>75</v>
      </c>
      <c r="E46" s="3"/>
      <c r="F46" s="3"/>
      <c r="G46" s="3"/>
      <c r="H46" s="3"/>
      <c r="I46" s="3"/>
      <c r="J46" s="3"/>
      <c r="K46" s="23">
        <v>716178</v>
      </c>
      <c r="L46" s="3"/>
      <c r="M46" s="3"/>
      <c r="N46" s="3"/>
      <c r="O46" s="3"/>
      <c r="P46" s="3"/>
    </row>
    <row r="47" spans="2:16" x14ac:dyDescent="0.3">
      <c r="B47" s="24">
        <v>44209</v>
      </c>
      <c r="C47" s="27" t="s">
        <v>83</v>
      </c>
      <c r="D47" s="3" t="s">
        <v>76</v>
      </c>
      <c r="E47" s="3"/>
      <c r="F47" s="3"/>
      <c r="G47" s="3"/>
      <c r="H47" s="3"/>
      <c r="I47" s="3"/>
      <c r="J47" s="3"/>
      <c r="K47" s="23">
        <f>6314/1.1</f>
        <v>5739.9999999999991</v>
      </c>
      <c r="L47" s="3"/>
      <c r="M47" s="3"/>
      <c r="N47" s="3"/>
      <c r="O47" s="3"/>
      <c r="P47" s="3"/>
    </row>
    <row r="48" spans="2:16" x14ac:dyDescent="0.3">
      <c r="B48" s="24">
        <v>44209</v>
      </c>
      <c r="C48" s="27" t="s">
        <v>83</v>
      </c>
      <c r="D48" s="3" t="s">
        <v>77</v>
      </c>
      <c r="E48" s="3"/>
      <c r="F48" s="3"/>
      <c r="G48" s="3"/>
      <c r="H48" s="3"/>
      <c r="I48" s="3"/>
      <c r="J48" s="3"/>
      <c r="K48" s="23">
        <v>0</v>
      </c>
      <c r="L48" s="3"/>
      <c r="M48" s="3"/>
      <c r="N48" s="3"/>
      <c r="O48" s="3"/>
      <c r="P48" s="3"/>
    </row>
    <row r="49" spans="2:16" x14ac:dyDescent="0.3">
      <c r="B49" s="24">
        <v>44209</v>
      </c>
      <c r="C49" s="27" t="s">
        <v>83</v>
      </c>
      <c r="D49" s="3" t="s">
        <v>12</v>
      </c>
      <c r="E49" s="3"/>
      <c r="F49" s="3"/>
      <c r="G49" s="3"/>
      <c r="H49" s="3"/>
      <c r="I49" s="3"/>
      <c r="J49" s="3"/>
      <c r="K49" s="23">
        <v>112009</v>
      </c>
      <c r="L49" s="3"/>
      <c r="M49" s="3"/>
      <c r="N49" s="3"/>
      <c r="O49" s="3"/>
      <c r="P49" s="3"/>
    </row>
    <row r="50" spans="2:16" x14ac:dyDescent="0.3">
      <c r="B50" s="24">
        <v>44210</v>
      </c>
      <c r="C50" s="27" t="s">
        <v>78</v>
      </c>
      <c r="D50" s="3" t="s">
        <v>75</v>
      </c>
      <c r="E50" s="3"/>
      <c r="F50" s="3"/>
      <c r="G50" s="3"/>
      <c r="H50" s="3"/>
      <c r="I50" s="3"/>
      <c r="J50" s="3"/>
      <c r="K50" s="23">
        <v>848875</v>
      </c>
      <c r="L50" s="3"/>
      <c r="M50" s="3"/>
      <c r="N50" s="3"/>
      <c r="O50" s="3"/>
      <c r="P50" s="3"/>
    </row>
    <row r="51" spans="2:16" x14ac:dyDescent="0.3">
      <c r="B51" s="24">
        <v>44210</v>
      </c>
      <c r="C51" s="27" t="s">
        <v>78</v>
      </c>
      <c r="D51" s="3" t="s">
        <v>76</v>
      </c>
      <c r="E51" s="3"/>
      <c r="F51" s="3"/>
      <c r="G51" s="3"/>
      <c r="H51" s="3"/>
      <c r="I51" s="3"/>
      <c r="J51" s="3"/>
      <c r="K51" s="23">
        <f>6699/1.1</f>
        <v>6089.9999999999991</v>
      </c>
      <c r="L51" s="3"/>
      <c r="M51" s="3"/>
      <c r="N51" s="3"/>
      <c r="O51" s="3"/>
      <c r="P51" s="3"/>
    </row>
    <row r="52" spans="2:16" x14ac:dyDescent="0.3">
      <c r="B52" s="24">
        <v>44210</v>
      </c>
      <c r="C52" s="27" t="s">
        <v>78</v>
      </c>
      <c r="D52" s="3" t="s">
        <v>77</v>
      </c>
      <c r="E52" s="3"/>
      <c r="F52" s="3"/>
      <c r="G52" s="3"/>
      <c r="H52" s="3"/>
      <c r="I52" s="3"/>
      <c r="J52" s="3"/>
      <c r="K52" s="23">
        <v>0</v>
      </c>
      <c r="L52" s="3"/>
      <c r="M52" s="3"/>
      <c r="N52" s="3"/>
      <c r="O52" s="3"/>
      <c r="P52" s="3"/>
    </row>
    <row r="53" spans="2:16" x14ac:dyDescent="0.3">
      <c r="B53" s="24">
        <v>44210</v>
      </c>
      <c r="C53" s="27" t="s">
        <v>78</v>
      </c>
      <c r="D53" s="3" t="s">
        <v>12</v>
      </c>
      <c r="E53" s="3"/>
      <c r="F53" s="3"/>
      <c r="G53" s="3"/>
      <c r="H53" s="3"/>
      <c r="I53" s="3"/>
      <c r="J53" s="3"/>
      <c r="K53" s="23">
        <v>719161</v>
      </c>
      <c r="L53" s="3"/>
      <c r="M53" s="3"/>
      <c r="N53" s="3"/>
      <c r="O53" s="3"/>
      <c r="P53" s="3"/>
    </row>
    <row r="54" spans="2:16" x14ac:dyDescent="0.3">
      <c r="B54" s="24">
        <v>44211</v>
      </c>
      <c r="C54" s="27" t="s">
        <v>79</v>
      </c>
      <c r="D54" s="3" t="s">
        <v>75</v>
      </c>
      <c r="E54" s="3"/>
      <c r="F54" s="3"/>
      <c r="G54" s="3"/>
      <c r="H54" s="3"/>
      <c r="I54" s="3"/>
      <c r="J54" s="3"/>
      <c r="K54" s="23">
        <v>834047</v>
      </c>
      <c r="L54" s="3"/>
      <c r="M54" s="3"/>
      <c r="N54" s="3"/>
      <c r="O54" s="3"/>
      <c r="P54" s="3"/>
    </row>
    <row r="55" spans="2:16" x14ac:dyDescent="0.3">
      <c r="B55" s="24">
        <v>44211</v>
      </c>
      <c r="C55" s="27" t="s">
        <v>79</v>
      </c>
      <c r="D55" s="3" t="s">
        <v>76</v>
      </c>
      <c r="E55" s="3"/>
      <c r="F55" s="3"/>
      <c r="G55" s="3"/>
      <c r="H55" s="3"/>
      <c r="I55" s="3"/>
      <c r="J55" s="3"/>
      <c r="K55" s="3">
        <f>19261/1.1</f>
        <v>17510</v>
      </c>
      <c r="L55" s="3"/>
      <c r="M55" s="3"/>
      <c r="N55" s="3"/>
      <c r="O55" s="3"/>
      <c r="P55" s="3"/>
    </row>
    <row r="56" spans="2:16" x14ac:dyDescent="0.3">
      <c r="B56" s="24">
        <v>44211</v>
      </c>
      <c r="C56" s="27" t="s">
        <v>79</v>
      </c>
      <c r="D56" s="3" t="s">
        <v>77</v>
      </c>
      <c r="E56" s="3"/>
      <c r="F56" s="3"/>
      <c r="G56" s="3"/>
      <c r="H56" s="3"/>
      <c r="I56" s="3"/>
      <c r="J56" s="3"/>
      <c r="K56" s="3">
        <v>0</v>
      </c>
      <c r="L56" s="3"/>
      <c r="M56" s="3"/>
      <c r="N56" s="3"/>
      <c r="O56" s="3"/>
      <c r="P56" s="3"/>
    </row>
    <row r="57" spans="2:16" x14ac:dyDescent="0.3">
      <c r="B57" s="24">
        <v>44211</v>
      </c>
      <c r="C57" s="27" t="s">
        <v>79</v>
      </c>
      <c r="D57" s="3" t="s">
        <v>12</v>
      </c>
      <c r="E57" s="3"/>
      <c r="F57" s="3"/>
      <c r="G57" s="3"/>
      <c r="H57" s="3"/>
      <c r="I57" s="3"/>
      <c r="J57" s="3"/>
      <c r="K57" s="23">
        <v>3244447</v>
      </c>
      <c r="L57" s="3"/>
      <c r="M57" s="3"/>
      <c r="N57" s="3"/>
      <c r="O57" s="3"/>
      <c r="P57" s="3"/>
    </row>
    <row r="58" spans="2:16" x14ac:dyDescent="0.3">
      <c r="B58" s="24">
        <v>44212</v>
      </c>
      <c r="C58" s="27" t="s">
        <v>80</v>
      </c>
      <c r="D58" s="3" t="s">
        <v>75</v>
      </c>
      <c r="E58" s="3"/>
      <c r="F58" s="3"/>
      <c r="G58" s="3"/>
      <c r="H58" s="3"/>
      <c r="I58" s="3"/>
      <c r="J58" s="3"/>
      <c r="K58" s="23">
        <v>800693</v>
      </c>
      <c r="L58" s="3"/>
      <c r="M58" s="3"/>
      <c r="N58" s="3"/>
      <c r="O58" s="3"/>
      <c r="P58" s="3"/>
    </row>
    <row r="59" spans="2:16" x14ac:dyDescent="0.3">
      <c r="B59" s="24">
        <v>44212</v>
      </c>
      <c r="C59" s="27" t="s">
        <v>80</v>
      </c>
      <c r="D59" s="3" t="s">
        <v>76</v>
      </c>
      <c r="E59" s="3"/>
      <c r="F59" s="3"/>
      <c r="G59" s="3"/>
      <c r="H59" s="3"/>
      <c r="I59" s="3"/>
      <c r="J59" s="3"/>
      <c r="K59" s="3">
        <f>4235/1.1</f>
        <v>3849.9999999999995</v>
      </c>
      <c r="L59" s="3"/>
      <c r="M59" s="3"/>
      <c r="N59" s="3"/>
      <c r="O59" s="3"/>
      <c r="P59" s="3"/>
    </row>
    <row r="60" spans="2:16" x14ac:dyDescent="0.3">
      <c r="B60" s="24">
        <v>44212</v>
      </c>
      <c r="C60" s="27" t="s">
        <v>80</v>
      </c>
      <c r="D60" s="3" t="s">
        <v>77</v>
      </c>
      <c r="E60" s="3"/>
      <c r="F60" s="3"/>
      <c r="G60" s="3"/>
      <c r="H60" s="3"/>
      <c r="I60" s="3"/>
      <c r="J60" s="3"/>
      <c r="K60" s="3">
        <v>0</v>
      </c>
      <c r="L60" s="3"/>
      <c r="M60" s="3"/>
      <c r="N60" s="3"/>
      <c r="O60" s="3"/>
      <c r="P60" s="3"/>
    </row>
    <row r="61" spans="2:16" x14ac:dyDescent="0.3">
      <c r="B61" s="24">
        <v>44212</v>
      </c>
      <c r="C61" s="27" t="s">
        <v>80</v>
      </c>
      <c r="D61" s="3" t="s">
        <v>12</v>
      </c>
      <c r="E61" s="3"/>
      <c r="F61" s="3"/>
      <c r="G61" s="3"/>
      <c r="H61" s="3"/>
      <c r="I61" s="3"/>
      <c r="J61" s="3"/>
      <c r="K61" s="23">
        <v>114461</v>
      </c>
      <c r="L61" s="3"/>
      <c r="M61" s="3"/>
      <c r="N61" s="3"/>
      <c r="O61" s="3"/>
      <c r="P61" s="3"/>
    </row>
    <row r="62" spans="2:16" x14ac:dyDescent="0.3">
      <c r="B62" s="24">
        <v>44213</v>
      </c>
      <c r="C62" s="27" t="s">
        <v>81</v>
      </c>
      <c r="D62" s="3" t="s">
        <v>75</v>
      </c>
      <c r="E62" s="3"/>
      <c r="F62" s="3"/>
      <c r="G62" s="3"/>
      <c r="H62" s="3"/>
      <c r="I62" s="3"/>
      <c r="J62" s="3"/>
      <c r="K62" s="23">
        <v>921553</v>
      </c>
      <c r="L62" s="3"/>
      <c r="M62" s="3"/>
      <c r="N62" s="3"/>
      <c r="O62" s="3"/>
      <c r="P62" s="3"/>
    </row>
    <row r="63" spans="2:16" x14ac:dyDescent="0.3">
      <c r="B63" s="24">
        <v>44213</v>
      </c>
      <c r="C63" s="27" t="s">
        <v>81</v>
      </c>
      <c r="D63" s="3" t="s">
        <v>76</v>
      </c>
      <c r="E63" s="3"/>
      <c r="F63" s="3"/>
      <c r="G63" s="3"/>
      <c r="H63" s="3"/>
      <c r="I63" s="3"/>
      <c r="J63" s="3"/>
      <c r="K63" s="3">
        <f>3773/1.1</f>
        <v>3429.9999999999995</v>
      </c>
      <c r="L63" s="3"/>
      <c r="M63" s="3"/>
      <c r="N63" s="3"/>
      <c r="O63" s="3"/>
      <c r="P63" s="3"/>
    </row>
    <row r="64" spans="2:16" x14ac:dyDescent="0.3">
      <c r="B64" s="24">
        <v>44213</v>
      </c>
      <c r="C64" s="27" t="s">
        <v>81</v>
      </c>
      <c r="D64" s="3" t="s">
        <v>77</v>
      </c>
      <c r="E64" s="3"/>
      <c r="F64" s="3"/>
      <c r="G64" s="3"/>
      <c r="H64" s="3"/>
      <c r="I64" s="3"/>
      <c r="J64" s="3"/>
      <c r="K64" s="3">
        <v>0</v>
      </c>
      <c r="L64" s="3"/>
      <c r="M64" s="3"/>
      <c r="N64" s="3"/>
      <c r="O64" s="3"/>
      <c r="P64" s="3"/>
    </row>
    <row r="65" spans="2:16" x14ac:dyDescent="0.3">
      <c r="B65" s="24">
        <v>44213</v>
      </c>
      <c r="C65" s="27" t="s">
        <v>81</v>
      </c>
      <c r="D65" s="3" t="s">
        <v>12</v>
      </c>
      <c r="E65" s="3"/>
      <c r="F65" s="3"/>
      <c r="G65" s="3"/>
      <c r="H65" s="3"/>
      <c r="I65" s="3"/>
      <c r="J65" s="3"/>
      <c r="K65" s="3">
        <v>0</v>
      </c>
      <c r="L65" s="3"/>
      <c r="M65" s="3"/>
      <c r="N65" s="3"/>
      <c r="O65" s="3"/>
      <c r="P65" s="3"/>
    </row>
    <row r="66" spans="2:16" x14ac:dyDescent="0.3">
      <c r="B66" s="24">
        <v>44214</v>
      </c>
      <c r="C66" s="27" t="s">
        <v>3</v>
      </c>
      <c r="D66" s="3" t="s">
        <v>75</v>
      </c>
      <c r="E66" s="3"/>
      <c r="F66" s="3"/>
      <c r="G66" s="3"/>
      <c r="H66" s="3"/>
      <c r="I66" s="3"/>
      <c r="J66" s="3"/>
      <c r="K66" s="23">
        <v>514666</v>
      </c>
      <c r="L66" s="3"/>
      <c r="M66" s="3"/>
      <c r="N66" s="3"/>
      <c r="O66" s="3"/>
      <c r="P66" s="3"/>
    </row>
    <row r="67" spans="2:16" x14ac:dyDescent="0.3">
      <c r="B67" s="24">
        <v>44214</v>
      </c>
      <c r="C67" s="27" t="s">
        <v>3</v>
      </c>
      <c r="D67" s="3" t="s">
        <v>76</v>
      </c>
      <c r="E67" s="3"/>
      <c r="F67" s="3"/>
      <c r="G67" s="3"/>
      <c r="H67" s="3"/>
      <c r="I67" s="3"/>
      <c r="J67" s="3"/>
      <c r="K67" s="3">
        <f>10549/1.1</f>
        <v>9590</v>
      </c>
      <c r="L67" s="3"/>
      <c r="M67" s="3"/>
      <c r="N67" s="3"/>
      <c r="O67" s="3"/>
      <c r="P67" s="3"/>
    </row>
    <row r="68" spans="2:16" x14ac:dyDescent="0.3">
      <c r="B68" s="24">
        <v>44214</v>
      </c>
      <c r="C68" s="27" t="s">
        <v>3</v>
      </c>
      <c r="D68" s="3" t="s">
        <v>77</v>
      </c>
      <c r="E68" s="3"/>
      <c r="F68" s="3"/>
      <c r="G68" s="3"/>
      <c r="H68" s="3"/>
      <c r="I68" s="3"/>
      <c r="J68" s="3"/>
      <c r="K68" s="3">
        <v>0</v>
      </c>
      <c r="L68" s="3"/>
      <c r="M68" s="3"/>
      <c r="N68" s="3"/>
      <c r="O68" s="3"/>
      <c r="P68" s="3"/>
    </row>
    <row r="69" spans="2:16" x14ac:dyDescent="0.3">
      <c r="B69" s="24">
        <v>44214</v>
      </c>
      <c r="C69" s="27" t="s">
        <v>3</v>
      </c>
      <c r="D69" s="3" t="s">
        <v>12</v>
      </c>
      <c r="E69" s="3"/>
      <c r="F69" s="3"/>
      <c r="G69" s="3"/>
      <c r="H69" s="3"/>
      <c r="I69" s="3"/>
      <c r="J69" s="3"/>
      <c r="K69" s="23">
        <v>2021237</v>
      </c>
      <c r="L69" s="3"/>
      <c r="M69" s="3"/>
      <c r="N69" s="3"/>
      <c r="O69" s="3"/>
      <c r="P69" s="3"/>
    </row>
    <row r="70" spans="2:16" x14ac:dyDescent="0.3">
      <c r="B70" s="24">
        <v>44215</v>
      </c>
      <c r="C70" s="27" t="s">
        <v>82</v>
      </c>
      <c r="D70" s="3" t="s">
        <v>75</v>
      </c>
      <c r="E70" s="3"/>
      <c r="F70" s="3"/>
      <c r="G70" s="3"/>
      <c r="H70" s="3"/>
      <c r="I70" s="3"/>
      <c r="J70" s="3"/>
      <c r="K70" s="23">
        <v>502101</v>
      </c>
      <c r="L70" s="3"/>
      <c r="M70" s="3"/>
      <c r="N70" s="3"/>
      <c r="O70" s="3"/>
      <c r="P70" s="3"/>
    </row>
    <row r="71" spans="2:16" x14ac:dyDescent="0.3">
      <c r="B71" s="24">
        <v>44215</v>
      </c>
      <c r="C71" s="27" t="s">
        <v>82</v>
      </c>
      <c r="D71" s="3" t="s">
        <v>76</v>
      </c>
      <c r="E71" s="3"/>
      <c r="F71" s="3"/>
      <c r="G71" s="3"/>
      <c r="H71" s="3"/>
      <c r="I71" s="3"/>
      <c r="J71" s="3"/>
      <c r="K71" s="23">
        <f>11011/1.1</f>
        <v>10010</v>
      </c>
      <c r="L71" s="3"/>
      <c r="M71" s="3"/>
      <c r="N71" s="3"/>
      <c r="O71" s="3"/>
      <c r="P71" s="3"/>
    </row>
    <row r="72" spans="2:16" x14ac:dyDescent="0.3">
      <c r="B72" s="24">
        <v>44215</v>
      </c>
      <c r="C72" s="27" t="s">
        <v>82</v>
      </c>
      <c r="D72" s="3" t="s">
        <v>77</v>
      </c>
      <c r="E72" s="3"/>
      <c r="F72" s="3"/>
      <c r="G72" s="3"/>
      <c r="H72" s="3"/>
      <c r="I72" s="3"/>
      <c r="J72" s="3"/>
      <c r="K72" s="23">
        <v>0</v>
      </c>
      <c r="L72" s="3"/>
      <c r="M72" s="3"/>
      <c r="N72" s="3"/>
      <c r="O72" s="3"/>
      <c r="P72" s="3"/>
    </row>
    <row r="73" spans="2:16" x14ac:dyDescent="0.3">
      <c r="B73" s="24">
        <v>44215</v>
      </c>
      <c r="C73" s="27" t="s">
        <v>82</v>
      </c>
      <c r="D73" s="3" t="s">
        <v>12</v>
      </c>
      <c r="E73" s="3"/>
      <c r="F73" s="3"/>
      <c r="G73" s="3"/>
      <c r="H73" s="3"/>
      <c r="I73" s="3"/>
      <c r="J73" s="3"/>
      <c r="K73" s="23">
        <v>2024932</v>
      </c>
      <c r="L73" s="3"/>
      <c r="M73" s="3"/>
      <c r="N73" s="3"/>
      <c r="O73" s="3"/>
      <c r="P73" s="3"/>
    </row>
    <row r="74" spans="2:16" x14ac:dyDescent="0.3">
      <c r="B74" s="24">
        <v>44216</v>
      </c>
      <c r="C74" s="27" t="s">
        <v>83</v>
      </c>
      <c r="D74" s="3" t="s">
        <v>75</v>
      </c>
      <c r="E74" s="3"/>
      <c r="F74" s="3"/>
      <c r="G74" s="3"/>
      <c r="H74" s="3"/>
      <c r="I74" s="3"/>
      <c r="J74" s="3"/>
      <c r="K74" s="23">
        <v>497567</v>
      </c>
      <c r="L74" s="3"/>
      <c r="M74" s="3"/>
      <c r="N74" s="3"/>
      <c r="O74" s="3"/>
      <c r="P74" s="3"/>
    </row>
    <row r="75" spans="2:16" x14ac:dyDescent="0.3">
      <c r="B75" s="24">
        <v>44216</v>
      </c>
      <c r="C75" s="27" t="s">
        <v>83</v>
      </c>
      <c r="D75" s="3" t="s">
        <v>76</v>
      </c>
      <c r="E75" s="3"/>
      <c r="F75" s="3"/>
      <c r="G75" s="3"/>
      <c r="H75" s="3"/>
      <c r="I75" s="3"/>
      <c r="J75" s="3"/>
      <c r="K75" s="23">
        <f>10472/1.1</f>
        <v>9520</v>
      </c>
      <c r="L75" s="3"/>
      <c r="M75" s="3"/>
      <c r="N75" s="3"/>
      <c r="O75" s="3"/>
      <c r="P75" s="3"/>
    </row>
    <row r="76" spans="2:16" x14ac:dyDescent="0.3">
      <c r="B76" s="24">
        <v>44216</v>
      </c>
      <c r="C76" s="27" t="s">
        <v>83</v>
      </c>
      <c r="D76" s="3" t="s">
        <v>77</v>
      </c>
      <c r="E76" s="3"/>
      <c r="F76" s="3"/>
      <c r="G76" s="3"/>
      <c r="H76" s="3"/>
      <c r="I76" s="3"/>
      <c r="J76" s="3"/>
      <c r="K76" s="23">
        <v>0</v>
      </c>
      <c r="L76" s="3"/>
      <c r="M76" s="3"/>
      <c r="N76" s="3"/>
      <c r="O76" s="3"/>
      <c r="P76" s="3"/>
    </row>
    <row r="77" spans="2:16" x14ac:dyDescent="0.3">
      <c r="B77" s="24">
        <v>44216</v>
      </c>
      <c r="C77" s="27" t="s">
        <v>83</v>
      </c>
      <c r="D77" s="3" t="s">
        <v>12</v>
      </c>
      <c r="E77" s="3"/>
      <c r="F77" s="3"/>
      <c r="G77" s="3"/>
      <c r="H77" s="3"/>
      <c r="I77" s="3"/>
      <c r="J77" s="3"/>
      <c r="K77" s="23">
        <v>2062343</v>
      </c>
      <c r="L77" s="3"/>
      <c r="M77" s="3"/>
      <c r="N77" s="3"/>
      <c r="O77" s="3"/>
      <c r="P77" s="3"/>
    </row>
    <row r="78" spans="2:16" x14ac:dyDescent="0.3">
      <c r="B78" s="24">
        <v>44217</v>
      </c>
      <c r="C78" s="27" t="s">
        <v>78</v>
      </c>
      <c r="D78" s="3" t="s">
        <v>75</v>
      </c>
      <c r="E78" s="3"/>
      <c r="F78" s="3"/>
      <c r="G78" s="3"/>
      <c r="H78" s="3"/>
      <c r="I78" s="3"/>
      <c r="J78" s="3"/>
      <c r="K78" s="23">
        <v>467488</v>
      </c>
      <c r="L78" s="3"/>
      <c r="M78" s="3"/>
      <c r="N78" s="3"/>
      <c r="O78" s="3"/>
      <c r="P78" s="3"/>
    </row>
    <row r="79" spans="2:16" x14ac:dyDescent="0.3">
      <c r="B79" s="24">
        <v>44217</v>
      </c>
      <c r="C79" s="27" t="s">
        <v>78</v>
      </c>
      <c r="D79" s="3" t="s">
        <v>76</v>
      </c>
      <c r="E79" s="3"/>
      <c r="F79" s="3"/>
      <c r="G79" s="3"/>
      <c r="H79" s="3"/>
      <c r="I79" s="3"/>
      <c r="J79" s="3"/>
      <c r="K79" s="3">
        <f>12089/1.1</f>
        <v>10990</v>
      </c>
      <c r="L79" s="3"/>
      <c r="M79" s="3"/>
      <c r="N79" s="3"/>
      <c r="O79" s="3"/>
      <c r="P79" s="3"/>
    </row>
    <row r="80" spans="2:16" x14ac:dyDescent="0.3">
      <c r="B80" s="24">
        <v>44217</v>
      </c>
      <c r="C80" s="27" t="s">
        <v>78</v>
      </c>
      <c r="D80" s="3" t="s">
        <v>77</v>
      </c>
      <c r="E80" s="3"/>
      <c r="F80" s="3"/>
      <c r="G80" s="3"/>
      <c r="H80" s="3"/>
      <c r="I80" s="3"/>
      <c r="J80" s="3"/>
      <c r="K80" s="3">
        <v>0</v>
      </c>
      <c r="L80" s="3"/>
      <c r="M80" s="3"/>
      <c r="N80" s="3"/>
      <c r="O80" s="3"/>
      <c r="P80" s="3"/>
    </row>
    <row r="81" spans="2:16" x14ac:dyDescent="0.3">
      <c r="B81" s="24">
        <v>44217</v>
      </c>
      <c r="C81" s="27" t="s">
        <v>78</v>
      </c>
      <c r="D81" s="3" t="s">
        <v>12</v>
      </c>
      <c r="E81" s="3"/>
      <c r="F81" s="3"/>
      <c r="G81" s="3"/>
      <c r="H81" s="3"/>
      <c r="I81" s="3"/>
      <c r="J81" s="3"/>
      <c r="K81" s="23">
        <v>2041421</v>
      </c>
      <c r="L81" s="3"/>
      <c r="M81" s="3"/>
      <c r="N81" s="3"/>
      <c r="O81" s="3"/>
      <c r="P81" s="3"/>
    </row>
    <row r="82" spans="2:16" x14ac:dyDescent="0.3">
      <c r="B82" s="24">
        <v>44218</v>
      </c>
      <c r="C82" s="27" t="s">
        <v>79</v>
      </c>
      <c r="D82" s="3" t="s">
        <v>75</v>
      </c>
      <c r="E82" s="3"/>
      <c r="F82" s="3"/>
      <c r="G82" s="3"/>
      <c r="H82" s="3"/>
      <c r="I82" s="3"/>
      <c r="J82" s="3"/>
      <c r="K82" s="23">
        <v>472659</v>
      </c>
      <c r="L82" s="3"/>
      <c r="M82" s="3"/>
      <c r="N82" s="3"/>
      <c r="O82" s="3"/>
      <c r="P82" s="3"/>
    </row>
    <row r="83" spans="2:16" x14ac:dyDescent="0.3">
      <c r="B83" s="24">
        <v>44218</v>
      </c>
      <c r="C83" s="27" t="s">
        <v>79</v>
      </c>
      <c r="D83" s="3" t="s">
        <v>76</v>
      </c>
      <c r="E83" s="3"/>
      <c r="F83" s="3"/>
      <c r="G83" s="3"/>
      <c r="H83" s="3"/>
      <c r="I83" s="3"/>
      <c r="J83" s="3"/>
      <c r="K83" s="23">
        <f>26521/1.1</f>
        <v>24109.999999999996</v>
      </c>
      <c r="L83" s="3"/>
      <c r="M83" s="3"/>
      <c r="N83" s="3"/>
      <c r="O83" s="3"/>
      <c r="P83" s="3"/>
    </row>
    <row r="84" spans="2:16" x14ac:dyDescent="0.3">
      <c r="B84" s="24">
        <v>44218</v>
      </c>
      <c r="C84" s="27" t="s">
        <v>79</v>
      </c>
      <c r="D84" s="3" t="s">
        <v>77</v>
      </c>
      <c r="E84" s="3"/>
      <c r="F84" s="3"/>
      <c r="G84" s="3"/>
      <c r="H84" s="3"/>
      <c r="I84" s="3"/>
      <c r="J84" s="3"/>
      <c r="K84" s="23">
        <v>0</v>
      </c>
      <c r="L84" s="3"/>
      <c r="M84" s="3"/>
      <c r="N84" s="3"/>
      <c r="O84" s="3"/>
      <c r="P84" s="3"/>
    </row>
    <row r="85" spans="2:16" x14ac:dyDescent="0.3">
      <c r="B85" s="24">
        <v>44218</v>
      </c>
      <c r="C85" s="27" t="s">
        <v>79</v>
      </c>
      <c r="D85" s="3" t="s">
        <v>12</v>
      </c>
      <c r="E85" s="3"/>
      <c r="F85" s="3"/>
      <c r="G85" s="3"/>
      <c r="H85" s="3"/>
      <c r="I85" s="3"/>
      <c r="J85" s="3"/>
      <c r="K85" s="23">
        <v>2006058</v>
      </c>
      <c r="L85" s="3"/>
      <c r="M85" s="3"/>
      <c r="N85" s="3"/>
      <c r="O85" s="3"/>
      <c r="P85" s="3"/>
    </row>
    <row r="86" spans="2:16" x14ac:dyDescent="0.3">
      <c r="B86" s="24">
        <v>44219</v>
      </c>
      <c r="C86" s="27" t="s">
        <v>80</v>
      </c>
      <c r="D86" s="3" t="s">
        <v>75</v>
      </c>
      <c r="E86" s="3"/>
      <c r="F86" s="3"/>
      <c r="G86" s="3"/>
      <c r="H86" s="3"/>
      <c r="I86" s="3"/>
      <c r="J86" s="3"/>
      <c r="K86" s="23">
        <v>513353</v>
      </c>
      <c r="L86" s="3"/>
      <c r="M86" s="3"/>
      <c r="N86" s="3"/>
      <c r="O86" s="3"/>
      <c r="P86" s="3"/>
    </row>
    <row r="87" spans="2:16" x14ac:dyDescent="0.3">
      <c r="B87" s="24">
        <v>44219</v>
      </c>
      <c r="C87" s="27" t="s">
        <v>80</v>
      </c>
      <c r="D87" s="3" t="s">
        <v>76</v>
      </c>
      <c r="E87" s="3"/>
      <c r="F87" s="3"/>
      <c r="G87" s="3"/>
      <c r="H87" s="3"/>
      <c r="I87" s="3"/>
      <c r="J87" s="3"/>
      <c r="K87" s="23">
        <f>33880/1.1</f>
        <v>30799.999999999996</v>
      </c>
      <c r="L87" s="3"/>
      <c r="M87" s="3"/>
      <c r="N87" s="3"/>
      <c r="O87" s="3"/>
      <c r="P87" s="3"/>
    </row>
    <row r="88" spans="2:16" x14ac:dyDescent="0.3">
      <c r="B88" s="24">
        <v>44219</v>
      </c>
      <c r="C88" s="27" t="s">
        <v>80</v>
      </c>
      <c r="D88" s="3" t="s">
        <v>77</v>
      </c>
      <c r="E88" s="3"/>
      <c r="F88" s="3"/>
      <c r="G88" s="3"/>
      <c r="H88" s="3"/>
      <c r="I88" s="3"/>
      <c r="J88" s="3"/>
      <c r="K88" s="23">
        <v>0</v>
      </c>
      <c r="L88" s="3"/>
      <c r="M88" s="3"/>
      <c r="N88" s="3"/>
      <c r="O88" s="3"/>
      <c r="P88" s="3"/>
    </row>
    <row r="89" spans="2:16" x14ac:dyDescent="0.3">
      <c r="B89" s="24">
        <v>44219</v>
      </c>
      <c r="C89" s="27" t="s">
        <v>80</v>
      </c>
      <c r="D89" s="3" t="s">
        <v>12</v>
      </c>
      <c r="E89" s="3"/>
      <c r="F89" s="3"/>
      <c r="G89" s="3"/>
      <c r="H89" s="3"/>
      <c r="I89" s="3"/>
      <c r="J89" s="3"/>
      <c r="K89" s="23">
        <v>2007111</v>
      </c>
      <c r="L89" s="3"/>
      <c r="M89" s="3"/>
      <c r="N89" s="3"/>
      <c r="O89" s="3"/>
      <c r="P89" s="3"/>
    </row>
    <row r="90" spans="2:16" x14ac:dyDescent="0.3">
      <c r="B90" s="24">
        <v>44220</v>
      </c>
      <c r="C90" s="27" t="s">
        <v>81</v>
      </c>
      <c r="D90" s="3" t="s">
        <v>75</v>
      </c>
      <c r="E90" s="3"/>
      <c r="F90" s="3"/>
      <c r="G90" s="3"/>
      <c r="H90" s="3"/>
      <c r="I90" s="3"/>
      <c r="J90" s="3"/>
      <c r="K90" s="23">
        <v>483137</v>
      </c>
      <c r="L90" s="3"/>
      <c r="M90" s="3"/>
      <c r="N90" s="3"/>
      <c r="O90" s="3"/>
      <c r="P90" s="3"/>
    </row>
    <row r="91" spans="2:16" x14ac:dyDescent="0.3">
      <c r="B91" s="24">
        <v>44220</v>
      </c>
      <c r="C91" s="27" t="s">
        <v>81</v>
      </c>
      <c r="D91" s="3" t="s">
        <v>76</v>
      </c>
      <c r="E91" s="3"/>
      <c r="F91" s="3"/>
      <c r="G91" s="3"/>
      <c r="H91" s="3"/>
      <c r="I91" s="3"/>
      <c r="J91" s="3"/>
      <c r="K91" s="23">
        <f>43087/1.1</f>
        <v>39170</v>
      </c>
      <c r="L91" s="3"/>
      <c r="M91" s="3"/>
      <c r="N91" s="3"/>
      <c r="O91" s="3"/>
      <c r="P91" s="3"/>
    </row>
    <row r="92" spans="2:16" x14ac:dyDescent="0.3">
      <c r="B92" s="24">
        <v>44220</v>
      </c>
      <c r="C92" s="27" t="s">
        <v>81</v>
      </c>
      <c r="D92" s="3" t="s">
        <v>77</v>
      </c>
      <c r="E92" s="3"/>
      <c r="F92" s="3"/>
      <c r="G92" s="3"/>
      <c r="H92" s="3"/>
      <c r="I92" s="3"/>
      <c r="J92" s="3"/>
      <c r="K92" s="23">
        <v>0</v>
      </c>
      <c r="L92" s="3"/>
      <c r="M92" s="3"/>
      <c r="N92" s="3"/>
      <c r="O92" s="3"/>
      <c r="P92" s="3"/>
    </row>
    <row r="93" spans="2:16" x14ac:dyDescent="0.3">
      <c r="B93" s="24">
        <v>44220</v>
      </c>
      <c r="C93" s="27" t="s">
        <v>81</v>
      </c>
      <c r="D93" s="3" t="s">
        <v>12</v>
      </c>
      <c r="E93" s="3"/>
      <c r="F93" s="3"/>
      <c r="G93" s="3"/>
      <c r="H93" s="3"/>
      <c r="I93" s="3"/>
      <c r="J93" s="3"/>
      <c r="K93" s="23">
        <v>2013438</v>
      </c>
      <c r="L93" s="3"/>
      <c r="M93" s="3"/>
      <c r="N93" s="3"/>
      <c r="O93" s="3"/>
      <c r="P93" s="3"/>
    </row>
    <row r="94" spans="2:16" x14ac:dyDescent="0.3">
      <c r="B94" s="24">
        <v>44221</v>
      </c>
      <c r="C94" s="27" t="s">
        <v>3</v>
      </c>
      <c r="D94" s="3" t="s">
        <v>75</v>
      </c>
      <c r="E94" s="3"/>
      <c r="F94" s="3"/>
      <c r="G94" s="3"/>
      <c r="H94" s="3"/>
      <c r="I94" s="3"/>
      <c r="J94" s="3"/>
      <c r="K94" s="23">
        <v>413785</v>
      </c>
      <c r="L94" s="3"/>
      <c r="M94" s="3"/>
      <c r="N94" s="3"/>
      <c r="O94" s="3"/>
      <c r="P94" s="3"/>
    </row>
    <row r="95" spans="2:16" x14ac:dyDescent="0.3">
      <c r="B95" s="24">
        <v>44221</v>
      </c>
      <c r="C95" s="27" t="s">
        <v>3</v>
      </c>
      <c r="D95" s="3" t="s">
        <v>76</v>
      </c>
      <c r="E95" s="3"/>
      <c r="F95" s="3"/>
      <c r="G95" s="3"/>
      <c r="H95" s="3"/>
      <c r="I95" s="3"/>
      <c r="J95" s="3"/>
      <c r="K95" s="23">
        <f>33000/1.1</f>
        <v>29999.999999999996</v>
      </c>
      <c r="L95" s="3"/>
      <c r="M95" s="3"/>
      <c r="N95" s="3"/>
      <c r="O95" s="3"/>
      <c r="P95" s="3"/>
    </row>
    <row r="96" spans="2:16" x14ac:dyDescent="0.3">
      <c r="B96" s="24">
        <v>44221</v>
      </c>
      <c r="C96" s="27" t="s">
        <v>3</v>
      </c>
      <c r="D96" s="3" t="s">
        <v>77</v>
      </c>
      <c r="E96" s="3"/>
      <c r="F96" s="3"/>
      <c r="G96" s="3"/>
      <c r="H96" s="3"/>
      <c r="I96" s="3"/>
      <c r="J96" s="3"/>
      <c r="K96" s="23">
        <v>0</v>
      </c>
      <c r="L96" s="3"/>
      <c r="M96" s="3"/>
      <c r="N96" s="3"/>
      <c r="O96" s="3"/>
      <c r="P96" s="3"/>
    </row>
    <row r="97" spans="2:16" x14ac:dyDescent="0.3">
      <c r="B97" s="24">
        <v>44221</v>
      </c>
      <c r="C97" s="27" t="s">
        <v>3</v>
      </c>
      <c r="D97" s="3" t="s">
        <v>12</v>
      </c>
      <c r="E97" s="3"/>
      <c r="F97" s="3"/>
      <c r="G97" s="3"/>
      <c r="H97" s="3"/>
      <c r="I97" s="3"/>
      <c r="J97" s="3"/>
      <c r="K97" s="23">
        <v>2082144</v>
      </c>
      <c r="L97" s="3"/>
      <c r="M97" s="3"/>
      <c r="N97" s="3"/>
      <c r="O97" s="3"/>
      <c r="P97" s="3"/>
    </row>
    <row r="98" spans="2:16" x14ac:dyDescent="0.3">
      <c r="B98" s="24">
        <v>44222</v>
      </c>
      <c r="C98" s="27" t="s">
        <v>82</v>
      </c>
      <c r="D98" s="3" t="s">
        <v>75</v>
      </c>
      <c r="E98" s="3"/>
      <c r="F98" s="3"/>
      <c r="G98" s="3"/>
      <c r="H98" s="3"/>
      <c r="I98" s="3"/>
      <c r="J98" s="3"/>
      <c r="K98" s="23">
        <v>399532</v>
      </c>
      <c r="L98" s="3"/>
      <c r="M98" s="3"/>
      <c r="N98" s="3"/>
      <c r="O98" s="3"/>
      <c r="P98" s="3"/>
    </row>
    <row r="99" spans="2:16" x14ac:dyDescent="0.3">
      <c r="B99" s="24">
        <v>44222</v>
      </c>
      <c r="C99" s="27" t="s">
        <v>82</v>
      </c>
      <c r="D99" s="3" t="s">
        <v>76</v>
      </c>
      <c r="E99" s="3"/>
      <c r="F99" s="3"/>
      <c r="G99" s="3"/>
      <c r="H99" s="3"/>
      <c r="I99" s="3"/>
      <c r="J99" s="3"/>
      <c r="K99" s="23">
        <f>59686/1.1</f>
        <v>54259.999999999993</v>
      </c>
      <c r="L99" s="3"/>
      <c r="M99" s="3"/>
      <c r="N99" s="3"/>
      <c r="O99" s="3"/>
      <c r="P99" s="3"/>
    </row>
    <row r="100" spans="2:16" x14ac:dyDescent="0.3">
      <c r="B100" s="24">
        <v>44222</v>
      </c>
      <c r="C100" s="27" t="s">
        <v>82</v>
      </c>
      <c r="D100" s="3" t="s">
        <v>77</v>
      </c>
      <c r="E100" s="3"/>
      <c r="F100" s="3"/>
      <c r="G100" s="3"/>
      <c r="H100" s="3"/>
      <c r="I100" s="3"/>
      <c r="J100" s="3"/>
      <c r="K100" s="23">
        <v>0</v>
      </c>
      <c r="L100" s="3"/>
      <c r="M100" s="3"/>
      <c r="N100" s="3"/>
      <c r="O100" s="3"/>
      <c r="P100" s="3"/>
    </row>
    <row r="101" spans="2:16" x14ac:dyDescent="0.3">
      <c r="B101" s="24">
        <v>44222</v>
      </c>
      <c r="C101" s="27" t="s">
        <v>82</v>
      </c>
      <c r="D101" s="3" t="s">
        <v>12</v>
      </c>
      <c r="E101" s="3"/>
      <c r="F101" s="3"/>
      <c r="G101" s="3"/>
      <c r="H101" s="3"/>
      <c r="I101" s="3"/>
      <c r="J101" s="3"/>
      <c r="K101" s="23">
        <v>2040635</v>
      </c>
      <c r="L101" s="3"/>
      <c r="M101" s="3"/>
      <c r="N101" s="3"/>
      <c r="O101" s="3"/>
      <c r="P101" s="3"/>
    </row>
    <row r="102" spans="2:16" x14ac:dyDescent="0.3">
      <c r="B102" s="24">
        <v>44222</v>
      </c>
      <c r="C102" s="27" t="s">
        <v>82</v>
      </c>
      <c r="D102" s="3" t="s">
        <v>13</v>
      </c>
      <c r="E102" s="3"/>
      <c r="F102" s="3"/>
      <c r="G102" s="3"/>
      <c r="H102" s="3"/>
      <c r="I102" s="3"/>
      <c r="J102" s="3"/>
      <c r="K102" s="23">
        <v>31188</v>
      </c>
      <c r="L102" s="3"/>
      <c r="M102" s="3"/>
      <c r="N102" s="3"/>
      <c r="O102" s="3"/>
      <c r="P102" s="3"/>
    </row>
    <row r="103" spans="2:16" x14ac:dyDescent="0.3">
      <c r="B103" s="24">
        <v>44222</v>
      </c>
      <c r="C103" s="27" t="s">
        <v>82</v>
      </c>
      <c r="D103" s="3" t="s">
        <v>84</v>
      </c>
      <c r="E103" s="3"/>
      <c r="F103" s="3"/>
      <c r="G103" s="3"/>
      <c r="H103" s="3"/>
      <c r="I103" s="3"/>
      <c r="J103" s="3"/>
      <c r="K103" s="23">
        <f>71808/1.1</f>
        <v>65279.999999999993</v>
      </c>
      <c r="L103" s="3"/>
      <c r="M103" s="3"/>
      <c r="N103" s="3"/>
      <c r="O103" s="3"/>
      <c r="P103" s="3"/>
    </row>
    <row r="104" spans="2:16" x14ac:dyDescent="0.3">
      <c r="B104" s="24">
        <v>44223</v>
      </c>
      <c r="C104" s="27" t="s">
        <v>83</v>
      </c>
      <c r="D104" s="3" t="s">
        <v>75</v>
      </c>
      <c r="E104" s="3"/>
      <c r="F104" s="3"/>
      <c r="G104" s="3"/>
      <c r="H104" s="3"/>
      <c r="I104" s="3"/>
      <c r="J104" s="3"/>
      <c r="K104" s="23">
        <v>421014</v>
      </c>
      <c r="L104" s="3"/>
      <c r="M104" s="3"/>
      <c r="N104" s="3"/>
      <c r="O104" s="3"/>
      <c r="P104" s="3"/>
    </row>
    <row r="105" spans="2:16" x14ac:dyDescent="0.3">
      <c r="B105" s="24">
        <v>44223</v>
      </c>
      <c r="C105" s="27" t="s">
        <v>83</v>
      </c>
      <c r="D105" s="3" t="s">
        <v>76</v>
      </c>
      <c r="E105" s="3"/>
      <c r="F105" s="3"/>
      <c r="G105" s="3"/>
      <c r="H105" s="3"/>
      <c r="I105" s="3"/>
      <c r="J105" s="3"/>
      <c r="K105" s="23">
        <f>105479/1.1</f>
        <v>95889.999999999985</v>
      </c>
      <c r="L105" s="3"/>
      <c r="M105" s="3"/>
      <c r="N105" s="3"/>
      <c r="O105" s="3"/>
      <c r="P105" s="3"/>
    </row>
    <row r="106" spans="2:16" x14ac:dyDescent="0.3">
      <c r="B106" s="24">
        <v>44223</v>
      </c>
      <c r="C106" s="27" t="s">
        <v>83</v>
      </c>
      <c r="D106" s="3" t="s">
        <v>77</v>
      </c>
      <c r="E106" s="3"/>
      <c r="F106" s="3"/>
      <c r="G106" s="3"/>
      <c r="H106" s="3"/>
      <c r="I106" s="3"/>
      <c r="J106" s="3"/>
      <c r="K106" s="23">
        <v>0</v>
      </c>
      <c r="L106" s="3"/>
      <c r="M106" s="3"/>
      <c r="N106" s="3"/>
      <c r="O106" s="3"/>
      <c r="P106" s="3"/>
    </row>
    <row r="107" spans="2:16" x14ac:dyDescent="0.3">
      <c r="B107" s="24">
        <v>44223</v>
      </c>
      <c r="C107" s="27" t="s">
        <v>83</v>
      </c>
      <c r="D107" s="3" t="s">
        <v>12</v>
      </c>
      <c r="E107" s="3"/>
      <c r="F107" s="3"/>
      <c r="G107" s="3"/>
      <c r="H107" s="3"/>
      <c r="I107" s="3"/>
      <c r="J107" s="3"/>
      <c r="K107" s="23">
        <v>2042870</v>
      </c>
      <c r="L107" s="3"/>
      <c r="M107" s="3"/>
      <c r="N107" s="3"/>
      <c r="O107" s="3"/>
      <c r="P107" s="3"/>
    </row>
    <row r="108" spans="2:16" x14ac:dyDescent="0.3">
      <c r="B108" s="24">
        <v>44223</v>
      </c>
      <c r="C108" s="27" t="s">
        <v>83</v>
      </c>
      <c r="D108" s="3" t="s">
        <v>13</v>
      </c>
      <c r="E108" s="3"/>
      <c r="F108" s="3"/>
      <c r="G108" s="3"/>
      <c r="H108" s="3"/>
      <c r="I108" s="3"/>
      <c r="J108" s="3"/>
      <c r="K108" s="23">
        <v>31242</v>
      </c>
      <c r="L108" s="3"/>
      <c r="M108" s="3"/>
      <c r="N108" s="3"/>
      <c r="O108" s="3"/>
      <c r="P108" s="3"/>
    </row>
    <row r="109" spans="2:16" x14ac:dyDescent="0.3">
      <c r="B109" s="24">
        <v>44223</v>
      </c>
      <c r="C109" s="27" t="s">
        <v>83</v>
      </c>
      <c r="D109" s="3" t="s">
        <v>84</v>
      </c>
      <c r="E109" s="3"/>
      <c r="F109" s="3"/>
      <c r="G109" s="3"/>
      <c r="H109" s="3"/>
      <c r="I109" s="3"/>
      <c r="J109" s="3"/>
      <c r="K109" s="23">
        <f>2129/1.1</f>
        <v>1935.4545454545453</v>
      </c>
      <c r="L109" s="3"/>
      <c r="M109" s="3"/>
      <c r="N109" s="3"/>
      <c r="O109" s="3"/>
      <c r="P109" s="3"/>
    </row>
    <row r="110" spans="2:16" x14ac:dyDescent="0.3">
      <c r="B110" s="24">
        <v>44224</v>
      </c>
      <c r="C110" s="27" t="s">
        <v>78</v>
      </c>
      <c r="D110" s="3" t="s">
        <v>75</v>
      </c>
      <c r="E110" s="3"/>
      <c r="F110" s="3"/>
      <c r="G110" s="3"/>
      <c r="H110" s="3"/>
      <c r="I110" s="3"/>
      <c r="J110" s="3"/>
      <c r="K110" s="23">
        <v>440888</v>
      </c>
      <c r="L110" s="3"/>
      <c r="M110" s="3"/>
      <c r="N110" s="3"/>
      <c r="O110" s="3"/>
      <c r="P110" s="3"/>
    </row>
    <row r="111" spans="2:16" x14ac:dyDescent="0.3">
      <c r="B111" s="24">
        <v>44224</v>
      </c>
      <c r="C111" s="27" t="s">
        <v>78</v>
      </c>
      <c r="D111" s="3" t="s">
        <v>76</v>
      </c>
      <c r="E111" s="3"/>
      <c r="F111" s="3"/>
      <c r="G111" s="3"/>
      <c r="H111" s="3"/>
      <c r="I111" s="3"/>
      <c r="J111" s="3"/>
      <c r="K111" s="23">
        <v>110810</v>
      </c>
      <c r="L111" s="3"/>
      <c r="M111" s="3"/>
      <c r="N111" s="3"/>
      <c r="O111" s="3"/>
      <c r="P111" s="3"/>
    </row>
    <row r="112" spans="2:16" x14ac:dyDescent="0.3">
      <c r="B112" s="24">
        <v>44224</v>
      </c>
      <c r="C112" s="27" t="s">
        <v>78</v>
      </c>
      <c r="D112" s="3" t="s">
        <v>77</v>
      </c>
      <c r="E112" s="3"/>
      <c r="F112" s="3"/>
      <c r="G112" s="3"/>
      <c r="H112" s="3"/>
      <c r="I112" s="3"/>
      <c r="J112" s="3"/>
      <c r="K112" s="23">
        <v>0</v>
      </c>
      <c r="L112" s="3"/>
      <c r="M112" s="3"/>
      <c r="N112" s="3"/>
      <c r="O112" s="3"/>
      <c r="P112" s="3"/>
    </row>
    <row r="113" spans="2:16" x14ac:dyDescent="0.3">
      <c r="B113" s="24">
        <v>44224</v>
      </c>
      <c r="C113" s="27" t="s">
        <v>78</v>
      </c>
      <c r="D113" s="3" t="s">
        <v>12</v>
      </c>
      <c r="E113" s="3"/>
      <c r="F113" s="3"/>
      <c r="G113" s="3"/>
      <c r="H113" s="3"/>
      <c r="I113" s="3"/>
      <c r="J113" s="3"/>
      <c r="K113" s="23">
        <v>2561925</v>
      </c>
      <c r="L113" s="3"/>
      <c r="M113" s="3"/>
      <c r="N113" s="3"/>
      <c r="O113" s="3"/>
      <c r="P113" s="3"/>
    </row>
    <row r="114" spans="2:16" x14ac:dyDescent="0.3">
      <c r="B114" s="24">
        <v>44224</v>
      </c>
      <c r="C114" s="27" t="s">
        <v>78</v>
      </c>
      <c r="D114" s="3" t="s">
        <v>13</v>
      </c>
      <c r="E114" s="3"/>
      <c r="F114" s="3"/>
      <c r="G114" s="3"/>
      <c r="H114" s="3"/>
      <c r="I114" s="3"/>
      <c r="J114" s="3"/>
      <c r="K114" s="23">
        <v>30672</v>
      </c>
      <c r="L114" s="3"/>
      <c r="M114" s="3"/>
      <c r="N114" s="3"/>
      <c r="O114" s="3"/>
      <c r="P114" s="3"/>
    </row>
    <row r="115" spans="2:16" x14ac:dyDescent="0.3">
      <c r="B115" s="24">
        <v>44224</v>
      </c>
      <c r="C115" s="27" t="s">
        <v>78</v>
      </c>
      <c r="D115" s="3" t="s">
        <v>84</v>
      </c>
      <c r="E115" s="3"/>
      <c r="F115" s="3"/>
      <c r="G115" s="3"/>
      <c r="H115" s="3"/>
      <c r="I115" s="3"/>
      <c r="J115" s="3"/>
      <c r="K115" s="23">
        <f>1832/1.1</f>
        <v>1665.4545454545453</v>
      </c>
      <c r="L115" s="3"/>
      <c r="M115" s="3"/>
      <c r="N115" s="3"/>
      <c r="O115" s="3"/>
      <c r="P115" s="3"/>
    </row>
    <row r="116" spans="2:16" x14ac:dyDescent="0.3">
      <c r="B116" s="24">
        <v>44224</v>
      </c>
      <c r="C116" s="27" t="s">
        <v>78</v>
      </c>
      <c r="D116" s="3" t="s">
        <v>14</v>
      </c>
      <c r="E116" s="3"/>
      <c r="F116" s="3"/>
      <c r="G116" s="3"/>
      <c r="H116" s="3"/>
      <c r="I116" s="3"/>
      <c r="J116" s="3"/>
      <c r="K116" s="23">
        <v>65580</v>
      </c>
      <c r="L116" s="3"/>
      <c r="M116" s="3"/>
      <c r="N116" s="3"/>
      <c r="O116" s="3"/>
      <c r="P116" s="3"/>
    </row>
    <row r="117" spans="2:16" x14ac:dyDescent="0.3">
      <c r="B117" s="24">
        <v>44225</v>
      </c>
      <c r="C117" s="27" t="s">
        <v>79</v>
      </c>
      <c r="D117" s="3" t="s">
        <v>75</v>
      </c>
      <c r="E117" s="3"/>
      <c r="F117" s="3"/>
      <c r="G117" s="3"/>
      <c r="H117" s="3"/>
      <c r="I117" s="3"/>
      <c r="J117" s="3"/>
      <c r="K117" s="23">
        <v>436444</v>
      </c>
      <c r="L117" s="3"/>
      <c r="M117" s="3"/>
      <c r="N117" s="3"/>
      <c r="O117" s="3"/>
      <c r="P117" s="3"/>
    </row>
    <row r="118" spans="2:16" x14ac:dyDescent="0.3">
      <c r="B118" s="24">
        <v>44225</v>
      </c>
      <c r="C118" s="27" t="s">
        <v>79</v>
      </c>
      <c r="D118" s="3" t="s">
        <v>76</v>
      </c>
      <c r="E118" s="3"/>
      <c r="F118" s="3"/>
      <c r="G118" s="3"/>
      <c r="H118" s="3"/>
      <c r="I118" s="3"/>
      <c r="J118" s="3"/>
      <c r="K118" s="23">
        <f>74371/1.1</f>
        <v>67610</v>
      </c>
      <c r="L118" s="3"/>
      <c r="M118" s="3"/>
      <c r="N118" s="3"/>
      <c r="O118" s="3"/>
      <c r="P118" s="3"/>
    </row>
    <row r="119" spans="2:16" x14ac:dyDescent="0.3">
      <c r="B119" s="24">
        <v>44225</v>
      </c>
      <c r="C119" s="27" t="s">
        <v>79</v>
      </c>
      <c r="D119" s="3" t="s">
        <v>77</v>
      </c>
      <c r="E119" s="3"/>
      <c r="F119" s="3"/>
      <c r="G119" s="3"/>
      <c r="H119" s="3"/>
      <c r="I119" s="3"/>
      <c r="J119" s="3"/>
      <c r="K119" s="23">
        <v>0</v>
      </c>
      <c r="L119" s="3"/>
      <c r="M119" s="3"/>
      <c r="N119" s="3"/>
      <c r="O119" s="3"/>
      <c r="P119" s="3"/>
    </row>
    <row r="120" spans="2:16" x14ac:dyDescent="0.3">
      <c r="B120" s="24">
        <v>44225</v>
      </c>
      <c r="C120" s="27" t="s">
        <v>79</v>
      </c>
      <c r="D120" s="3" t="s">
        <v>12</v>
      </c>
      <c r="E120" s="3"/>
      <c r="F120" s="3"/>
      <c r="G120" s="3"/>
      <c r="H120" s="3"/>
      <c r="I120" s="3"/>
      <c r="J120" s="3"/>
      <c r="K120" s="23">
        <v>2472851</v>
      </c>
      <c r="L120" s="3"/>
      <c r="M120" s="3"/>
      <c r="N120" s="3"/>
      <c r="O120" s="3"/>
      <c r="P120" s="3"/>
    </row>
    <row r="121" spans="2:16" x14ac:dyDescent="0.3">
      <c r="B121" s="24">
        <v>44225</v>
      </c>
      <c r="C121" s="27" t="s">
        <v>79</v>
      </c>
      <c r="D121" s="3" t="s">
        <v>13</v>
      </c>
      <c r="E121" s="3"/>
      <c r="F121" s="3"/>
      <c r="G121" s="3"/>
      <c r="H121" s="3"/>
      <c r="I121" s="3"/>
      <c r="J121" s="3"/>
      <c r="K121" s="23">
        <v>13563</v>
      </c>
      <c r="L121" s="3"/>
      <c r="M121" s="3"/>
      <c r="N121" s="3"/>
      <c r="O121" s="3"/>
      <c r="P121" s="3"/>
    </row>
    <row r="122" spans="2:16" x14ac:dyDescent="0.3">
      <c r="B122" s="24">
        <v>44225</v>
      </c>
      <c r="C122" s="27" t="s">
        <v>79</v>
      </c>
      <c r="D122" s="3" t="s">
        <v>84</v>
      </c>
      <c r="E122" s="3"/>
      <c r="F122" s="3"/>
      <c r="G122" s="3"/>
      <c r="H122" s="3"/>
      <c r="I122" s="3"/>
      <c r="J122" s="3"/>
      <c r="K122" s="23">
        <f>80041/1.1</f>
        <v>72764.545454545456</v>
      </c>
      <c r="L122" s="3"/>
      <c r="M122" s="3"/>
      <c r="N122" s="3"/>
      <c r="O122" s="3"/>
      <c r="P122" s="3"/>
    </row>
    <row r="123" spans="2:16" x14ac:dyDescent="0.3">
      <c r="B123" s="24">
        <v>44225</v>
      </c>
      <c r="C123" s="27" t="s">
        <v>79</v>
      </c>
      <c r="D123" s="3" t="s">
        <v>14</v>
      </c>
      <c r="E123" s="3"/>
      <c r="F123" s="3"/>
      <c r="G123" s="3"/>
      <c r="H123" s="3"/>
      <c r="I123" s="3"/>
      <c r="J123" s="3"/>
      <c r="K123" s="23">
        <v>344068</v>
      </c>
      <c r="L123" s="3"/>
      <c r="M123" s="3"/>
      <c r="N123" s="3"/>
      <c r="O123" s="3"/>
      <c r="P123" s="3"/>
    </row>
    <row r="124" spans="2:16" x14ac:dyDescent="0.3">
      <c r="B124" s="24">
        <v>44226</v>
      </c>
      <c r="C124" s="27" t="s">
        <v>80</v>
      </c>
      <c r="D124" s="3" t="s">
        <v>75</v>
      </c>
      <c r="E124" s="3"/>
      <c r="F124" s="3"/>
      <c r="G124" s="3"/>
      <c r="H124" s="3"/>
      <c r="I124" s="3"/>
      <c r="J124" s="3"/>
      <c r="K124" s="23">
        <v>416119</v>
      </c>
      <c r="L124" s="3"/>
      <c r="M124" s="3"/>
      <c r="N124" s="3"/>
      <c r="O124" s="3"/>
      <c r="P124" s="3"/>
    </row>
    <row r="125" spans="2:16" x14ac:dyDescent="0.3">
      <c r="B125" s="24">
        <v>44226</v>
      </c>
      <c r="C125" s="27" t="s">
        <v>80</v>
      </c>
      <c r="D125" s="3" t="s">
        <v>76</v>
      </c>
      <c r="E125" s="3"/>
      <c r="F125" s="3"/>
      <c r="G125" s="3"/>
      <c r="H125" s="3"/>
      <c r="I125" s="3"/>
      <c r="J125" s="3"/>
      <c r="K125" s="23">
        <f>34056/1.1</f>
        <v>30959.999999999996</v>
      </c>
      <c r="L125" s="3"/>
      <c r="M125" s="3"/>
      <c r="N125" s="3"/>
      <c r="O125" s="3"/>
      <c r="P125" s="3"/>
    </row>
    <row r="126" spans="2:16" x14ac:dyDescent="0.3">
      <c r="B126" s="24">
        <v>44226</v>
      </c>
      <c r="C126" s="27" t="s">
        <v>80</v>
      </c>
      <c r="D126" s="3" t="s">
        <v>77</v>
      </c>
      <c r="E126" s="3"/>
      <c r="F126" s="3"/>
      <c r="G126" s="3"/>
      <c r="H126" s="3"/>
      <c r="I126" s="3"/>
      <c r="J126" s="3"/>
      <c r="K126" s="23">
        <v>0</v>
      </c>
      <c r="L126" s="3"/>
      <c r="M126" s="3"/>
      <c r="N126" s="3"/>
      <c r="O126" s="3"/>
      <c r="P126" s="3"/>
    </row>
    <row r="127" spans="2:16" x14ac:dyDescent="0.3">
      <c r="B127" s="24">
        <v>44226</v>
      </c>
      <c r="C127" s="27" t="s">
        <v>80</v>
      </c>
      <c r="D127" s="3" t="s">
        <v>12</v>
      </c>
      <c r="E127" s="3"/>
      <c r="F127" s="3"/>
      <c r="G127" s="3"/>
      <c r="H127" s="3"/>
      <c r="I127" s="3"/>
      <c r="J127" s="3"/>
      <c r="K127" s="23">
        <v>2367565</v>
      </c>
      <c r="L127" s="3"/>
      <c r="M127" s="3"/>
      <c r="N127" s="3"/>
      <c r="O127" s="3"/>
      <c r="P127" s="3"/>
    </row>
    <row r="128" spans="2:16" x14ac:dyDescent="0.3">
      <c r="B128" s="24">
        <v>44226</v>
      </c>
      <c r="C128" s="27" t="s">
        <v>80</v>
      </c>
      <c r="D128" s="3" t="s">
        <v>13</v>
      </c>
      <c r="E128" s="3"/>
      <c r="F128" s="3"/>
      <c r="G128" s="3"/>
      <c r="H128" s="3"/>
      <c r="I128" s="3"/>
      <c r="J128" s="3"/>
      <c r="K128" s="23">
        <v>1647</v>
      </c>
      <c r="L128" s="3"/>
      <c r="M128" s="3"/>
      <c r="N128" s="3"/>
      <c r="O128" s="3"/>
      <c r="P128" s="3"/>
    </row>
    <row r="129" spans="2:16" x14ac:dyDescent="0.3">
      <c r="B129" s="24">
        <v>44226</v>
      </c>
      <c r="C129" s="27" t="s">
        <v>80</v>
      </c>
      <c r="D129" s="3" t="s">
        <v>84</v>
      </c>
      <c r="E129" s="3"/>
      <c r="F129" s="3"/>
      <c r="G129" s="3"/>
      <c r="H129" s="3"/>
      <c r="I129" s="3"/>
      <c r="J129" s="3"/>
      <c r="K129" s="23">
        <v>0</v>
      </c>
      <c r="L129" s="3"/>
      <c r="M129" s="3"/>
      <c r="N129" s="3"/>
      <c r="O129" s="3"/>
      <c r="P129" s="3"/>
    </row>
    <row r="130" spans="2:16" x14ac:dyDescent="0.3">
      <c r="B130" s="24">
        <v>44226</v>
      </c>
      <c r="C130" s="27" t="s">
        <v>80</v>
      </c>
      <c r="D130" s="3" t="s">
        <v>14</v>
      </c>
      <c r="E130" s="3"/>
      <c r="F130" s="3"/>
      <c r="G130" s="3"/>
      <c r="H130" s="3"/>
      <c r="I130" s="3"/>
      <c r="J130" s="3"/>
      <c r="K130" s="23">
        <v>576895</v>
      </c>
      <c r="L130" s="3"/>
      <c r="M130" s="3"/>
      <c r="N130" s="3"/>
      <c r="O130" s="3"/>
      <c r="P130" s="3"/>
    </row>
    <row r="131" spans="2:16" x14ac:dyDescent="0.3">
      <c r="B131" s="24">
        <v>44227</v>
      </c>
      <c r="C131" s="27" t="s">
        <v>81</v>
      </c>
      <c r="D131" s="3" t="s">
        <v>75</v>
      </c>
      <c r="E131" s="3"/>
      <c r="F131" s="3"/>
      <c r="G131" s="3"/>
      <c r="H131" s="3"/>
      <c r="I131" s="3"/>
      <c r="J131" s="3"/>
      <c r="K131" s="23">
        <v>251292</v>
      </c>
      <c r="L131" s="3"/>
      <c r="M131" s="3"/>
      <c r="N131" s="3"/>
      <c r="O131" s="3"/>
      <c r="P131" s="3"/>
    </row>
    <row r="132" spans="2:16" x14ac:dyDescent="0.3">
      <c r="B132" s="24">
        <v>44227</v>
      </c>
      <c r="C132" s="27" t="s">
        <v>81</v>
      </c>
      <c r="D132" s="3" t="s">
        <v>76</v>
      </c>
      <c r="E132" s="3"/>
      <c r="F132" s="3"/>
      <c r="G132" s="3"/>
      <c r="H132" s="3"/>
      <c r="I132" s="3"/>
      <c r="J132" s="3"/>
      <c r="K132" s="23">
        <f>31768/1.1</f>
        <v>28879.999999999996</v>
      </c>
      <c r="L132" s="3"/>
      <c r="M132" s="3"/>
      <c r="N132" s="3"/>
      <c r="O132" s="3"/>
      <c r="P132" s="3"/>
    </row>
    <row r="133" spans="2:16" x14ac:dyDescent="0.3">
      <c r="B133" s="24">
        <v>44227</v>
      </c>
      <c r="C133" s="27" t="s">
        <v>81</v>
      </c>
      <c r="D133" s="3" t="s">
        <v>77</v>
      </c>
      <c r="E133" s="3"/>
      <c r="F133" s="3"/>
      <c r="G133" s="3"/>
      <c r="H133" s="3"/>
      <c r="I133" s="3"/>
      <c r="J133" s="3"/>
      <c r="K133" s="23">
        <v>0</v>
      </c>
      <c r="L133" s="3"/>
      <c r="M133" s="3"/>
      <c r="N133" s="3"/>
      <c r="O133" s="3"/>
      <c r="P133" s="3"/>
    </row>
    <row r="134" spans="2:16" x14ac:dyDescent="0.3">
      <c r="B134" s="24">
        <v>44227</v>
      </c>
      <c r="C134" s="27" t="s">
        <v>81</v>
      </c>
      <c r="D134" s="3" t="s">
        <v>12</v>
      </c>
      <c r="E134" s="3"/>
      <c r="F134" s="3"/>
      <c r="G134" s="3"/>
      <c r="H134" s="3"/>
      <c r="I134" s="3"/>
      <c r="J134" s="3"/>
      <c r="K134" s="23">
        <v>2366105</v>
      </c>
      <c r="L134" s="3"/>
      <c r="M134" s="3"/>
      <c r="N134" s="3"/>
      <c r="O134" s="3"/>
      <c r="P134" s="3"/>
    </row>
    <row r="135" spans="2:16" x14ac:dyDescent="0.3">
      <c r="B135" s="24">
        <v>44227</v>
      </c>
      <c r="C135" s="27" t="s">
        <v>81</v>
      </c>
      <c r="D135" s="3" t="s">
        <v>13</v>
      </c>
      <c r="E135" s="3"/>
      <c r="F135" s="3"/>
      <c r="G135" s="3"/>
      <c r="H135" s="3"/>
      <c r="I135" s="3"/>
      <c r="J135" s="3"/>
      <c r="K135" s="23">
        <v>842</v>
      </c>
      <c r="L135" s="3"/>
      <c r="M135" s="3"/>
      <c r="N135" s="3"/>
      <c r="O135" s="3"/>
      <c r="P135" s="3"/>
    </row>
    <row r="136" spans="2:16" x14ac:dyDescent="0.3">
      <c r="B136" s="24">
        <v>44227</v>
      </c>
      <c r="C136" s="27" t="s">
        <v>81</v>
      </c>
      <c r="D136" s="3" t="s">
        <v>84</v>
      </c>
      <c r="E136" s="3"/>
      <c r="F136" s="3"/>
      <c r="G136" s="3"/>
      <c r="H136" s="3"/>
      <c r="I136" s="3"/>
      <c r="J136" s="3"/>
      <c r="K136" s="23">
        <v>0</v>
      </c>
      <c r="L136" s="3"/>
      <c r="M136" s="3"/>
      <c r="N136" s="3"/>
      <c r="O136" s="3"/>
      <c r="P136" s="3"/>
    </row>
    <row r="137" spans="2:16" x14ac:dyDescent="0.3">
      <c r="B137" s="24">
        <v>44227</v>
      </c>
      <c r="C137" s="27" t="s">
        <v>81</v>
      </c>
      <c r="D137" s="3" t="s">
        <v>14</v>
      </c>
      <c r="E137" s="3"/>
      <c r="F137" s="3"/>
      <c r="G137" s="3"/>
      <c r="H137" s="3"/>
      <c r="I137" s="3"/>
      <c r="J137" s="3"/>
      <c r="K137" s="23">
        <v>329251</v>
      </c>
      <c r="L137" s="3"/>
      <c r="M137" s="3"/>
      <c r="N137" s="3"/>
      <c r="O137" s="3"/>
      <c r="P137" s="3"/>
    </row>
    <row r="138" spans="2:16" x14ac:dyDescent="0.3">
      <c r="B138" s="24">
        <v>44228</v>
      </c>
      <c r="C138" s="27" t="s">
        <v>3</v>
      </c>
      <c r="D138" s="3" t="s">
        <v>75</v>
      </c>
      <c r="E138" s="3"/>
      <c r="F138" s="3"/>
      <c r="G138" s="3"/>
      <c r="H138" s="3"/>
      <c r="I138" s="3"/>
      <c r="J138" s="3"/>
      <c r="K138" s="23">
        <v>248561</v>
      </c>
      <c r="L138" s="3"/>
      <c r="M138" s="3"/>
      <c r="N138" s="3"/>
      <c r="O138" s="3"/>
      <c r="P138" s="3"/>
    </row>
    <row r="139" spans="2:16" x14ac:dyDescent="0.3">
      <c r="B139" s="24">
        <v>44228</v>
      </c>
      <c r="C139" s="27" t="s">
        <v>3</v>
      </c>
      <c r="D139" s="3" t="s">
        <v>76</v>
      </c>
      <c r="E139" s="3"/>
      <c r="F139" s="3"/>
      <c r="G139" s="3"/>
      <c r="H139" s="3"/>
      <c r="I139" s="3"/>
      <c r="J139" s="3"/>
      <c r="K139" s="23">
        <f>38918/1.1</f>
        <v>35380</v>
      </c>
      <c r="L139" s="3"/>
      <c r="M139" s="3"/>
      <c r="N139" s="3"/>
      <c r="O139" s="3"/>
      <c r="P139" s="3"/>
    </row>
    <row r="140" spans="2:16" x14ac:dyDescent="0.3">
      <c r="B140" s="24">
        <v>44228</v>
      </c>
      <c r="C140" s="27" t="s">
        <v>3</v>
      </c>
      <c r="D140" s="3" t="s">
        <v>12</v>
      </c>
      <c r="E140" s="3"/>
      <c r="F140" s="3"/>
      <c r="G140" s="3"/>
      <c r="H140" s="3"/>
      <c r="I140" s="3"/>
      <c r="J140" s="3"/>
      <c r="K140" s="23">
        <v>3379340</v>
      </c>
      <c r="L140" s="3"/>
      <c r="M140" s="3"/>
      <c r="N140" s="3"/>
      <c r="O140" s="3"/>
      <c r="P140" s="3"/>
    </row>
    <row r="141" spans="2:16" x14ac:dyDescent="0.3">
      <c r="B141" s="24">
        <v>44228</v>
      </c>
      <c r="C141" s="27" t="s">
        <v>3</v>
      </c>
      <c r="D141" s="3" t="s">
        <v>13</v>
      </c>
      <c r="E141" s="3"/>
      <c r="F141" s="3"/>
      <c r="G141" s="3"/>
      <c r="H141" s="3"/>
      <c r="I141" s="3"/>
      <c r="J141" s="3"/>
      <c r="K141" s="23">
        <v>3952</v>
      </c>
      <c r="L141" s="3"/>
      <c r="M141" s="3"/>
      <c r="N141" s="3"/>
      <c r="O141" s="3"/>
      <c r="P141" s="3"/>
    </row>
    <row r="142" spans="2:16" x14ac:dyDescent="0.3">
      <c r="B142" s="24">
        <v>44228</v>
      </c>
      <c r="C142" s="27" t="s">
        <v>3</v>
      </c>
      <c r="D142" s="3" t="s">
        <v>14</v>
      </c>
      <c r="E142" s="3"/>
      <c r="F142" s="3"/>
      <c r="G142" s="3"/>
      <c r="H142" s="3"/>
      <c r="I142" s="3"/>
      <c r="J142" s="3"/>
      <c r="K142" s="23">
        <v>509390</v>
      </c>
      <c r="L142" s="3"/>
      <c r="M142" s="3"/>
      <c r="N142" s="3"/>
      <c r="O142" s="3"/>
      <c r="P142" s="3"/>
    </row>
    <row r="143" spans="2:16" x14ac:dyDescent="0.3">
      <c r="B143" s="24">
        <v>44229</v>
      </c>
      <c r="C143" s="27" t="s">
        <v>82</v>
      </c>
      <c r="D143" s="3" t="s">
        <v>75</v>
      </c>
      <c r="E143" s="3"/>
      <c r="F143" s="3"/>
      <c r="G143" s="3"/>
      <c r="H143" s="3"/>
      <c r="I143" s="3"/>
      <c r="J143" s="3"/>
      <c r="K143" s="23">
        <v>240415</v>
      </c>
      <c r="L143" s="3"/>
      <c r="M143" s="3"/>
      <c r="N143" s="3"/>
      <c r="O143" s="3"/>
      <c r="P143" s="3"/>
    </row>
    <row r="144" spans="2:16" x14ac:dyDescent="0.3">
      <c r="B144" s="24">
        <v>44229</v>
      </c>
      <c r="C144" s="27" t="s">
        <v>82</v>
      </c>
      <c r="D144" s="3" t="s">
        <v>76</v>
      </c>
      <c r="E144" s="3"/>
      <c r="F144" s="3"/>
      <c r="G144" s="3"/>
      <c r="H144" s="3"/>
      <c r="I144" s="3"/>
      <c r="J144" s="3"/>
      <c r="K144" s="23">
        <f>41789/1.1</f>
        <v>37990</v>
      </c>
      <c r="L144" s="3"/>
      <c r="M144" s="3"/>
      <c r="N144" s="3"/>
      <c r="O144" s="3"/>
      <c r="P144" s="3"/>
    </row>
    <row r="145" spans="2:16" x14ac:dyDescent="0.3">
      <c r="B145" s="24">
        <v>44229</v>
      </c>
      <c r="C145" s="27" t="s">
        <v>82</v>
      </c>
      <c r="D145" s="3" t="s">
        <v>12</v>
      </c>
      <c r="E145" s="3"/>
      <c r="F145" s="3"/>
      <c r="G145" s="3"/>
      <c r="H145" s="3"/>
      <c r="I145" s="3"/>
      <c r="J145" s="3"/>
      <c r="K145" s="23">
        <v>3012864</v>
      </c>
      <c r="L145" s="3"/>
      <c r="M145" s="3"/>
      <c r="N145" s="3"/>
      <c r="O145" s="3"/>
      <c r="P145" s="3"/>
    </row>
    <row r="146" spans="2:16" x14ac:dyDescent="0.3">
      <c r="B146" s="24">
        <v>44229</v>
      </c>
      <c r="C146" s="27" t="s">
        <v>82</v>
      </c>
      <c r="D146" s="3" t="s">
        <v>13</v>
      </c>
      <c r="E146" s="3"/>
      <c r="F146" s="3"/>
      <c r="G146" s="3"/>
      <c r="H146" s="3"/>
      <c r="I146" s="3"/>
      <c r="J146" s="3"/>
      <c r="K146" s="23">
        <v>11354</v>
      </c>
      <c r="L146" s="3"/>
      <c r="M146" s="3"/>
      <c r="N146" s="3"/>
      <c r="O146" s="3"/>
      <c r="P146" s="3"/>
    </row>
    <row r="147" spans="2:16" x14ac:dyDescent="0.3">
      <c r="B147" s="24">
        <v>44229</v>
      </c>
      <c r="C147" s="27" t="s">
        <v>82</v>
      </c>
      <c r="D147" s="3" t="s">
        <v>14</v>
      </c>
      <c r="E147" s="3"/>
      <c r="F147" s="3"/>
      <c r="G147" s="3"/>
      <c r="H147" s="3"/>
      <c r="I147" s="3"/>
      <c r="J147" s="3"/>
      <c r="K147" s="23">
        <v>652639</v>
      </c>
      <c r="L147" s="3"/>
      <c r="M147" s="3"/>
      <c r="N147" s="3"/>
      <c r="O147" s="3"/>
      <c r="P147" s="3"/>
    </row>
    <row r="148" spans="2:16" x14ac:dyDescent="0.3">
      <c r="B148" s="24">
        <v>44230</v>
      </c>
      <c r="C148" s="27" t="s">
        <v>83</v>
      </c>
      <c r="D148" s="3" t="s">
        <v>75</v>
      </c>
      <c r="E148" s="3"/>
      <c r="F148" s="3"/>
      <c r="G148" s="3"/>
      <c r="H148" s="3"/>
      <c r="I148" s="3"/>
      <c r="J148" s="3"/>
      <c r="K148" s="23">
        <v>248918</v>
      </c>
      <c r="L148" s="3"/>
      <c r="M148" s="3"/>
      <c r="N148" s="3"/>
      <c r="O148" s="3"/>
      <c r="P148" s="3"/>
    </row>
    <row r="149" spans="2:16" x14ac:dyDescent="0.3">
      <c r="B149" s="24">
        <v>44230</v>
      </c>
      <c r="C149" s="27" t="s">
        <v>83</v>
      </c>
      <c r="D149" s="3" t="s">
        <v>76</v>
      </c>
      <c r="E149" s="3"/>
      <c r="F149" s="3"/>
      <c r="G149" s="3"/>
      <c r="H149" s="3"/>
      <c r="I149" s="3"/>
      <c r="J149" s="3"/>
      <c r="K149" s="23">
        <f>108713/1.1</f>
        <v>98829.999999999985</v>
      </c>
      <c r="L149" s="3"/>
      <c r="M149" s="3"/>
      <c r="N149" s="3"/>
      <c r="O149" s="3"/>
      <c r="P149" s="3"/>
    </row>
    <row r="150" spans="2:16" x14ac:dyDescent="0.3">
      <c r="B150" s="24">
        <v>44230</v>
      </c>
      <c r="C150" s="27" t="s">
        <v>83</v>
      </c>
      <c r="D150" s="3" t="s">
        <v>12</v>
      </c>
      <c r="E150" s="3"/>
      <c r="F150" s="3"/>
      <c r="G150" s="3"/>
      <c r="H150" s="3"/>
      <c r="I150" s="3"/>
      <c r="J150" s="3"/>
      <c r="K150" s="23">
        <v>2797171</v>
      </c>
      <c r="L150" s="3"/>
      <c r="M150" s="3"/>
      <c r="N150" s="3"/>
      <c r="O150" s="3"/>
      <c r="P150" s="3"/>
    </row>
    <row r="151" spans="2:16" x14ac:dyDescent="0.3">
      <c r="B151" s="24">
        <v>44230</v>
      </c>
      <c r="C151" s="27" t="s">
        <v>83</v>
      </c>
      <c r="D151" s="3" t="s">
        <v>13</v>
      </c>
      <c r="E151" s="3"/>
      <c r="F151" s="3"/>
      <c r="G151" s="3"/>
      <c r="H151" s="3"/>
      <c r="I151" s="3"/>
      <c r="J151" s="3"/>
      <c r="K151" s="23">
        <v>1726</v>
      </c>
      <c r="L151" s="3"/>
      <c r="M151" s="3"/>
      <c r="N151" s="3"/>
      <c r="O151" s="3"/>
      <c r="P151" s="3"/>
    </row>
    <row r="152" spans="2:16" x14ac:dyDescent="0.3">
      <c r="B152" s="24">
        <v>44230</v>
      </c>
      <c r="C152" s="27" t="s">
        <v>83</v>
      </c>
      <c r="D152" s="3" t="s">
        <v>14</v>
      </c>
      <c r="E152" s="3"/>
      <c r="F152" s="3"/>
      <c r="G152" s="3"/>
      <c r="H152" s="3"/>
      <c r="I152" s="3"/>
      <c r="J152" s="3"/>
      <c r="K152" s="23">
        <v>483827</v>
      </c>
      <c r="L152" s="3"/>
      <c r="M152" s="3"/>
      <c r="N152" s="3"/>
      <c r="O152" s="3"/>
      <c r="P152" s="3"/>
    </row>
    <row r="153" spans="2:16" x14ac:dyDescent="0.3">
      <c r="B153" s="24">
        <v>44231</v>
      </c>
      <c r="C153" s="27" t="s">
        <v>78</v>
      </c>
      <c r="D153" s="3" t="s">
        <v>75</v>
      </c>
      <c r="E153" s="3"/>
      <c r="F153" s="3"/>
      <c r="G153" s="3"/>
      <c r="H153" s="3"/>
      <c r="I153" s="3"/>
      <c r="J153" s="3"/>
      <c r="K153" s="23">
        <v>257393</v>
      </c>
      <c r="L153" s="3"/>
      <c r="M153" s="3"/>
      <c r="N153" s="3"/>
      <c r="O153" s="3"/>
      <c r="P153" s="3"/>
    </row>
    <row r="154" spans="2:16" x14ac:dyDescent="0.3">
      <c r="B154" s="24">
        <v>44231</v>
      </c>
      <c r="C154" s="27" t="s">
        <v>78</v>
      </c>
      <c r="D154" s="3" t="s">
        <v>76</v>
      </c>
      <c r="E154" s="3"/>
      <c r="F154" s="3"/>
      <c r="G154" s="3"/>
      <c r="H154" s="3"/>
      <c r="I154" s="3"/>
      <c r="J154" s="3"/>
      <c r="K154" s="23">
        <f>75603/1.1</f>
        <v>68730</v>
      </c>
      <c r="L154" s="3"/>
      <c r="M154" s="3"/>
      <c r="N154" s="3"/>
      <c r="O154" s="3"/>
      <c r="P154" s="3"/>
    </row>
    <row r="155" spans="2:16" x14ac:dyDescent="0.3">
      <c r="B155" s="24">
        <v>44231</v>
      </c>
      <c r="C155" s="27" t="s">
        <v>78</v>
      </c>
      <c r="D155" s="3" t="s">
        <v>77</v>
      </c>
      <c r="E155" s="3"/>
      <c r="F155" s="3"/>
      <c r="G155" s="3"/>
      <c r="H155" s="3"/>
      <c r="I155" s="3"/>
      <c r="J155" s="3"/>
      <c r="K155" s="23">
        <f>62975/1.1</f>
        <v>57249.999999999993</v>
      </c>
      <c r="L155" s="3"/>
      <c r="M155" s="3"/>
      <c r="N155" s="3"/>
      <c r="O155" s="3"/>
      <c r="P155" s="3"/>
    </row>
    <row r="156" spans="2:16" x14ac:dyDescent="0.3">
      <c r="B156" s="24">
        <v>44231</v>
      </c>
      <c r="C156" s="27" t="s">
        <v>78</v>
      </c>
      <c r="D156" s="3" t="s">
        <v>12</v>
      </c>
      <c r="E156" s="3"/>
      <c r="F156" s="3"/>
      <c r="G156" s="3"/>
      <c r="H156" s="3"/>
      <c r="I156" s="3"/>
      <c r="J156" s="3"/>
      <c r="K156" s="23">
        <v>2737636</v>
      </c>
      <c r="L156" s="3"/>
      <c r="M156" s="3"/>
      <c r="N156" s="3"/>
      <c r="O156" s="3"/>
      <c r="P156" s="3"/>
    </row>
    <row r="157" spans="2:16" x14ac:dyDescent="0.3">
      <c r="B157" s="24">
        <v>44231</v>
      </c>
      <c r="C157" s="27" t="s">
        <v>78</v>
      </c>
      <c r="D157" s="3" t="s">
        <v>14</v>
      </c>
      <c r="E157" s="3"/>
      <c r="F157" s="3"/>
      <c r="G157" s="3"/>
      <c r="H157" s="3"/>
      <c r="I157" s="3"/>
      <c r="J157" s="3"/>
      <c r="K157" s="23">
        <v>500262</v>
      </c>
      <c r="L157" s="3"/>
      <c r="M157" s="3"/>
      <c r="N157" s="3"/>
      <c r="O157" s="3"/>
      <c r="P157" s="3"/>
    </row>
    <row r="158" spans="2:16" x14ac:dyDescent="0.3">
      <c r="B158" s="24">
        <v>44232</v>
      </c>
      <c r="C158" s="27" t="s">
        <v>79</v>
      </c>
      <c r="D158" s="3" t="s">
        <v>75</v>
      </c>
      <c r="E158" s="3"/>
      <c r="F158" s="3"/>
      <c r="G158" s="3"/>
      <c r="H158" s="3"/>
      <c r="I158" s="3"/>
      <c r="J158" s="3"/>
      <c r="K158" s="23">
        <v>290408</v>
      </c>
      <c r="L158" s="3"/>
      <c r="M158" s="3"/>
      <c r="N158" s="3"/>
      <c r="O158" s="3"/>
      <c r="P158" s="3"/>
    </row>
    <row r="159" spans="2:16" x14ac:dyDescent="0.3">
      <c r="B159" s="24">
        <v>44232</v>
      </c>
      <c r="C159" s="27" t="s">
        <v>79</v>
      </c>
      <c r="D159" s="3" t="s">
        <v>76</v>
      </c>
      <c r="E159" s="3"/>
      <c r="F159" s="3"/>
      <c r="G159" s="3"/>
      <c r="H159" s="3"/>
      <c r="I159" s="3"/>
      <c r="J159" s="3"/>
      <c r="K159" s="23">
        <f>62359/1.1</f>
        <v>56689.999999999993</v>
      </c>
      <c r="L159" s="3"/>
      <c r="M159" s="3"/>
      <c r="N159" s="3"/>
      <c r="O159" s="3"/>
      <c r="P159" s="3"/>
    </row>
    <row r="160" spans="2:16" x14ac:dyDescent="0.3">
      <c r="B160" s="24">
        <v>44232</v>
      </c>
      <c r="C160" s="27" t="s">
        <v>79</v>
      </c>
      <c r="D160" s="3" t="s">
        <v>77</v>
      </c>
      <c r="E160" s="3"/>
      <c r="F160" s="3"/>
      <c r="G160" s="3"/>
      <c r="H160" s="3"/>
      <c r="I160" s="3"/>
      <c r="J160" s="3"/>
      <c r="K160" s="23">
        <f>20577/1.1</f>
        <v>18706.363636363636</v>
      </c>
      <c r="L160" s="3"/>
      <c r="M160" s="3"/>
      <c r="N160" s="3"/>
      <c r="O160" s="3"/>
      <c r="P160" s="3"/>
    </row>
    <row r="161" spans="2:16" x14ac:dyDescent="0.3">
      <c r="B161" s="24">
        <v>44232</v>
      </c>
      <c r="C161" s="27" t="s">
        <v>79</v>
      </c>
      <c r="D161" s="3" t="s">
        <v>12</v>
      </c>
      <c r="E161" s="3"/>
      <c r="F161" s="3"/>
      <c r="G161" s="3"/>
      <c r="H161" s="3"/>
      <c r="I161" s="3"/>
      <c r="J161" s="3"/>
      <c r="K161" s="23">
        <v>2747045</v>
      </c>
      <c r="L161" s="3"/>
      <c r="M161" s="3"/>
      <c r="N161" s="3"/>
      <c r="O161" s="3"/>
      <c r="P161" s="3"/>
    </row>
    <row r="162" spans="2:16" x14ac:dyDescent="0.3">
      <c r="B162" s="24">
        <v>44232</v>
      </c>
      <c r="C162" s="27" t="s">
        <v>79</v>
      </c>
      <c r="D162" s="3" t="s">
        <v>14</v>
      </c>
      <c r="E162" s="3"/>
      <c r="F162" s="3"/>
      <c r="G162" s="3"/>
      <c r="H162" s="3"/>
      <c r="I162" s="3"/>
      <c r="J162" s="3"/>
      <c r="K162" s="23">
        <v>444466</v>
      </c>
      <c r="L162" s="3"/>
      <c r="M162" s="3"/>
      <c r="N162" s="3"/>
      <c r="O162" s="3"/>
      <c r="P162" s="3"/>
    </row>
    <row r="163" spans="2:16" x14ac:dyDescent="0.3">
      <c r="B163" s="24">
        <v>44233</v>
      </c>
      <c r="C163" s="27" t="s">
        <v>80</v>
      </c>
      <c r="D163" s="3" t="s">
        <v>75</v>
      </c>
      <c r="E163" s="3"/>
      <c r="F163" s="3"/>
      <c r="G163" s="3"/>
      <c r="H163" s="3"/>
      <c r="I163" s="3"/>
      <c r="J163" s="3"/>
      <c r="K163" s="23">
        <v>491238</v>
      </c>
      <c r="L163" s="3"/>
      <c r="M163" s="3"/>
      <c r="N163" s="3"/>
      <c r="O163" s="3"/>
      <c r="P163" s="3"/>
    </row>
    <row r="164" spans="2:16" x14ac:dyDescent="0.3">
      <c r="B164" s="24">
        <v>44233</v>
      </c>
      <c r="C164" s="27" t="s">
        <v>80</v>
      </c>
      <c r="D164" s="3" t="s">
        <v>76</v>
      </c>
      <c r="E164" s="3"/>
      <c r="F164" s="3"/>
      <c r="G164" s="3"/>
      <c r="H164" s="3"/>
      <c r="I164" s="3"/>
      <c r="J164" s="3"/>
      <c r="K164" s="23">
        <f>(66737+154)/1.1</f>
        <v>60809.999999999993</v>
      </c>
      <c r="L164" s="3"/>
      <c r="M164" s="3"/>
      <c r="N164" s="3"/>
      <c r="O164" s="3"/>
      <c r="P164" s="3"/>
    </row>
    <row r="165" spans="2:16" x14ac:dyDescent="0.3">
      <c r="B165" s="24">
        <v>44233</v>
      </c>
      <c r="C165" s="27" t="s">
        <v>80</v>
      </c>
      <c r="D165" s="3" t="s">
        <v>12</v>
      </c>
      <c r="E165" s="3"/>
      <c r="F165" s="3"/>
      <c r="G165" s="3"/>
      <c r="H165" s="3"/>
      <c r="I165" s="3"/>
      <c r="J165" s="3"/>
      <c r="K165" s="23">
        <v>3149357</v>
      </c>
      <c r="L165" s="3"/>
      <c r="M165" s="3"/>
      <c r="N165" s="3"/>
      <c r="O165" s="3"/>
      <c r="P165" s="3"/>
    </row>
    <row r="166" spans="2:16" x14ac:dyDescent="0.3">
      <c r="B166" s="24">
        <v>44233</v>
      </c>
      <c r="C166" s="27" t="s">
        <v>80</v>
      </c>
      <c r="D166" s="3" t="s">
        <v>14</v>
      </c>
      <c r="E166" s="3"/>
      <c r="F166" s="3"/>
      <c r="G166" s="3"/>
      <c r="H166" s="3"/>
      <c r="I166" s="3"/>
      <c r="J166" s="3"/>
      <c r="K166" s="23">
        <v>1252202</v>
      </c>
      <c r="L166" s="3"/>
      <c r="M166" s="3"/>
      <c r="N166" s="3"/>
      <c r="O166" s="3"/>
      <c r="P166" s="3"/>
    </row>
    <row r="167" spans="2:16" x14ac:dyDescent="0.3">
      <c r="B167" s="24">
        <v>44234</v>
      </c>
      <c r="C167" s="27" t="s">
        <v>81</v>
      </c>
      <c r="D167" s="3" t="s">
        <v>75</v>
      </c>
      <c r="E167" s="3"/>
      <c r="F167" s="3"/>
      <c r="G167" s="3"/>
      <c r="H167" s="3"/>
      <c r="I167" s="3"/>
      <c r="J167" s="3"/>
      <c r="K167" s="23">
        <v>526175</v>
      </c>
      <c r="L167" s="3"/>
      <c r="M167" s="3"/>
      <c r="N167" s="3"/>
      <c r="O167" s="3"/>
      <c r="P167" s="3"/>
    </row>
    <row r="168" spans="2:16" x14ac:dyDescent="0.3">
      <c r="B168" s="24">
        <v>44234</v>
      </c>
      <c r="C168" s="27" t="s">
        <v>81</v>
      </c>
      <c r="D168" s="3" t="s">
        <v>76</v>
      </c>
      <c r="E168" s="3"/>
      <c r="F168" s="3"/>
      <c r="G168" s="3"/>
      <c r="H168" s="3"/>
      <c r="I168" s="3"/>
      <c r="J168" s="3"/>
      <c r="K168" s="23">
        <f>(82269+154+1320)/1.1</f>
        <v>76130</v>
      </c>
      <c r="L168" s="3"/>
      <c r="M168" s="3"/>
      <c r="N168" s="3"/>
      <c r="O168" s="3"/>
      <c r="P168" s="3"/>
    </row>
    <row r="169" spans="2:16" x14ac:dyDescent="0.3">
      <c r="B169" s="24">
        <v>44234</v>
      </c>
      <c r="C169" s="27" t="s">
        <v>81</v>
      </c>
      <c r="D169" s="3" t="s">
        <v>12</v>
      </c>
      <c r="E169" s="3"/>
      <c r="F169" s="3"/>
      <c r="G169" s="3"/>
      <c r="H169" s="3"/>
      <c r="I169" s="3"/>
      <c r="J169" s="3"/>
      <c r="K169" s="23">
        <v>2877478</v>
      </c>
      <c r="L169" s="3"/>
      <c r="M169" s="3"/>
      <c r="N169" s="3"/>
      <c r="O169" s="3"/>
      <c r="P169" s="3"/>
    </row>
    <row r="170" spans="2:16" x14ac:dyDescent="0.3">
      <c r="B170" s="24">
        <v>44234</v>
      </c>
      <c r="C170" s="27" t="s">
        <v>81</v>
      </c>
      <c r="D170" s="3" t="s">
        <v>14</v>
      </c>
      <c r="E170" s="3"/>
      <c r="F170" s="3"/>
      <c r="G170" s="3"/>
      <c r="H170" s="3"/>
      <c r="I170" s="3"/>
      <c r="J170" s="3"/>
      <c r="K170" s="23">
        <v>296771</v>
      </c>
      <c r="L170" s="3"/>
      <c r="M170" s="3"/>
      <c r="N170" s="3"/>
      <c r="O170" s="3"/>
      <c r="P170" s="3"/>
    </row>
    <row r="171" spans="2:16" x14ac:dyDescent="0.3">
      <c r="B171" s="24">
        <v>44235</v>
      </c>
      <c r="C171" s="27" t="s">
        <v>3</v>
      </c>
      <c r="D171" s="3" t="s">
        <v>75</v>
      </c>
      <c r="E171" s="3"/>
      <c r="F171" s="3"/>
      <c r="G171" s="3"/>
      <c r="H171" s="3"/>
      <c r="I171" s="3"/>
      <c r="J171" s="3"/>
      <c r="K171" s="23">
        <v>390803</v>
      </c>
      <c r="L171" s="3"/>
      <c r="M171" s="3"/>
      <c r="N171" s="3"/>
      <c r="O171" s="3"/>
      <c r="P171" s="3"/>
    </row>
    <row r="172" spans="2:16" x14ac:dyDescent="0.3">
      <c r="B172" s="24">
        <v>44235</v>
      </c>
      <c r="C172" s="27" t="s">
        <v>3</v>
      </c>
      <c r="D172" s="3" t="s">
        <v>76</v>
      </c>
      <c r="E172" s="3"/>
      <c r="F172" s="3"/>
      <c r="G172" s="3"/>
      <c r="H172" s="3"/>
      <c r="I172" s="3"/>
      <c r="J172" s="3"/>
      <c r="K172" s="23">
        <f>(75449+77)/1.1</f>
        <v>68660</v>
      </c>
      <c r="L172" s="3"/>
      <c r="M172" s="3"/>
      <c r="N172" s="3"/>
      <c r="O172" s="3"/>
      <c r="P172" s="3"/>
    </row>
    <row r="173" spans="2:16" x14ac:dyDescent="0.3">
      <c r="B173" s="24">
        <v>44235</v>
      </c>
      <c r="C173" s="27" t="s">
        <v>3</v>
      </c>
      <c r="D173" s="3" t="s">
        <v>12</v>
      </c>
      <c r="E173" s="3"/>
      <c r="F173" s="3"/>
      <c r="G173" s="3"/>
      <c r="H173" s="3"/>
      <c r="I173" s="3"/>
      <c r="J173" s="3"/>
      <c r="K173" s="23">
        <v>2763168</v>
      </c>
      <c r="L173" s="3"/>
      <c r="M173" s="3"/>
      <c r="N173" s="3"/>
      <c r="O173" s="3"/>
      <c r="P173" s="3"/>
    </row>
    <row r="174" spans="2:16" x14ac:dyDescent="0.3">
      <c r="B174" s="24">
        <v>44235</v>
      </c>
      <c r="C174" s="27" t="s">
        <v>3</v>
      </c>
      <c r="D174" s="3" t="s">
        <v>14</v>
      </c>
      <c r="E174" s="3"/>
      <c r="F174" s="3"/>
      <c r="G174" s="3"/>
      <c r="H174" s="3"/>
      <c r="I174" s="3"/>
      <c r="J174" s="3"/>
      <c r="K174" s="23">
        <v>254459</v>
      </c>
      <c r="L174" s="3"/>
      <c r="M174" s="3"/>
      <c r="N174" s="3"/>
      <c r="O174" s="3"/>
      <c r="P174" s="3"/>
    </row>
    <row r="175" spans="2:16" x14ac:dyDescent="0.3">
      <c r="B175" s="24"/>
      <c r="C175" s="27"/>
      <c r="D175" s="3"/>
      <c r="E175" s="3"/>
      <c r="F175" s="3"/>
      <c r="G175" s="3"/>
      <c r="H175" s="3"/>
      <c r="I175" s="3"/>
      <c r="J175" s="3"/>
      <c r="K175" s="23"/>
      <c r="L175" s="3"/>
      <c r="M175" s="3"/>
      <c r="N175" s="3"/>
      <c r="O175" s="3"/>
      <c r="P175" s="3"/>
    </row>
    <row r="176" spans="2:16" x14ac:dyDescent="0.3">
      <c r="B176" s="24"/>
      <c r="C176" s="27"/>
      <c r="D176" s="3"/>
      <c r="E176" s="3"/>
      <c r="F176" s="3"/>
      <c r="G176" s="3"/>
      <c r="H176" s="3"/>
      <c r="I176" s="3"/>
      <c r="J176" s="3"/>
      <c r="K176" s="23"/>
      <c r="L176" s="3"/>
      <c r="M176" s="3"/>
      <c r="N176" s="3"/>
      <c r="O176" s="3"/>
      <c r="P176" s="3"/>
    </row>
    <row r="177" spans="2:16" x14ac:dyDescent="0.3">
      <c r="B177" s="24"/>
      <c r="C177" s="27"/>
      <c r="D177" s="3"/>
      <c r="E177" s="3"/>
      <c r="F177" s="3"/>
      <c r="G177" s="3"/>
      <c r="H177" s="3"/>
      <c r="I177" s="3"/>
      <c r="J177" s="3"/>
      <c r="K177" s="23"/>
      <c r="L177" s="3"/>
      <c r="M177" s="3"/>
      <c r="N177" s="3"/>
      <c r="O177" s="3"/>
      <c r="P177" s="3"/>
    </row>
    <row r="178" spans="2:16" x14ac:dyDescent="0.3">
      <c r="B178" s="24"/>
      <c r="C178" s="27"/>
      <c r="D178" s="3"/>
      <c r="E178" s="3"/>
      <c r="F178" s="3"/>
      <c r="G178" s="3"/>
      <c r="H178" s="3"/>
      <c r="I178" s="3"/>
      <c r="J178" s="3"/>
      <c r="K178" s="23"/>
      <c r="L178" s="3"/>
      <c r="M178" s="3"/>
      <c r="N178" s="3"/>
      <c r="O178" s="3"/>
      <c r="P178" s="3"/>
    </row>
    <row r="179" spans="2:16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2:16" x14ac:dyDescent="0.3">
      <c r="B180" s="2">
        <v>44144</v>
      </c>
      <c r="C180" t="str">
        <f>TEXT(B180,"aaa")</f>
        <v>월</v>
      </c>
      <c r="E180" s="6" t="s">
        <v>85</v>
      </c>
      <c r="F180" s="6" t="s">
        <v>86</v>
      </c>
      <c r="G180" s="6"/>
      <c r="H180">
        <v>53</v>
      </c>
      <c r="I180" s="6" t="s">
        <v>87</v>
      </c>
      <c r="J180" s="6">
        <v>201109</v>
      </c>
      <c r="L180">
        <f>VLOOKUP($P180,매칭테이블!$G:$J,2,0)*H180</f>
        <v>0</v>
      </c>
      <c r="M180">
        <f>L180-L180*VLOOKUP($P180,매칭테이블!$G:$J,3,0)</f>
        <v>0</v>
      </c>
      <c r="N180">
        <f>VLOOKUP($P180,매칭테이블!$G:$J,4,0)*H180</f>
        <v>160060</v>
      </c>
      <c r="O180" s="4">
        <f>L180/1.1</f>
        <v>0</v>
      </c>
      <c r="P180" t="str">
        <f t="shared" ref="P180:P211" si="0">F180&amp;E180&amp;I180&amp;J180</f>
        <v>라베나 CS샴푸리바이탈 샴푸201109</v>
      </c>
    </row>
    <row r="181" spans="2:16" x14ac:dyDescent="0.3">
      <c r="B181" s="2">
        <v>44144</v>
      </c>
      <c r="C181" t="str">
        <f t="shared" ref="C181:C232" si="1">TEXT(B181,"aaa")</f>
        <v>월</v>
      </c>
      <c r="E181" t="s">
        <v>85</v>
      </c>
      <c r="F181" t="s">
        <v>88</v>
      </c>
      <c r="H181">
        <v>2</v>
      </c>
      <c r="I181" t="s">
        <v>87</v>
      </c>
      <c r="J181" s="6">
        <v>201109</v>
      </c>
      <c r="L181">
        <f>VLOOKUP($P181,매칭테이블!$G:$J,2,0)*H181</f>
        <v>53800</v>
      </c>
      <c r="M181">
        <f>L181-L181*VLOOKUP($P181,매칭테이블!$G:$J,3,0)</f>
        <v>50652.7</v>
      </c>
      <c r="N181">
        <f>VLOOKUP($P181,매칭테이블!$G:$J,4,0)*H181</f>
        <v>6040</v>
      </c>
      <c r="O181" s="4">
        <f>L181/1.1</f>
        <v>48909.090909090904</v>
      </c>
      <c r="P181" t="str">
        <f t="shared" si="0"/>
        <v>카페24샴푸리바이탈 샴푸201109</v>
      </c>
    </row>
    <row r="182" spans="2:16" x14ac:dyDescent="0.3">
      <c r="B182" s="2">
        <v>44148</v>
      </c>
      <c r="C182" t="str">
        <f t="shared" si="1"/>
        <v>금</v>
      </c>
      <c r="E182" s="5" t="s">
        <v>85</v>
      </c>
      <c r="F182" t="s">
        <v>88</v>
      </c>
      <c r="G182" s="5"/>
      <c r="H182">
        <v>1</v>
      </c>
      <c r="I182" s="5" t="s">
        <v>87</v>
      </c>
      <c r="J182" s="6">
        <v>201109</v>
      </c>
      <c r="L182">
        <f>VLOOKUP($P182,매칭테이블!$G:$J,2,0)*H182</f>
        <v>26900</v>
      </c>
      <c r="M182">
        <f>L182-L182*VLOOKUP($P182,매칭테이블!$G:$J,3,0)</f>
        <v>25326.35</v>
      </c>
      <c r="N182">
        <f>VLOOKUP($P182,매칭테이블!$G:$J,4,0)*H182</f>
        <v>3020</v>
      </c>
      <c r="O182" s="4">
        <f t="shared" ref="O182" si="2">L182/1.1</f>
        <v>24454.545454545452</v>
      </c>
      <c r="P182" t="str">
        <f t="shared" si="0"/>
        <v>카페24샴푸리바이탈 샴푸201109</v>
      </c>
    </row>
    <row r="183" spans="2:16" x14ac:dyDescent="0.3">
      <c r="B183" s="2">
        <v>44149</v>
      </c>
      <c r="C183" t="str">
        <f t="shared" si="1"/>
        <v>토</v>
      </c>
      <c r="E183" s="6" t="s">
        <v>85</v>
      </c>
      <c r="F183" t="s">
        <v>88</v>
      </c>
      <c r="G183" s="6"/>
      <c r="H183">
        <v>1</v>
      </c>
      <c r="I183" s="6" t="s">
        <v>87</v>
      </c>
      <c r="J183" s="6">
        <v>201109</v>
      </c>
      <c r="L183">
        <f>VLOOKUP($P183,매칭테이블!$G:$J,2,0)*H183</f>
        <v>26900</v>
      </c>
      <c r="M183">
        <f>L183-L183*VLOOKUP($P183,매칭테이블!$G:$J,3,0)</f>
        <v>25326.35</v>
      </c>
      <c r="N183">
        <f>VLOOKUP($P183,매칭테이블!$G:$J,4,0)*H183</f>
        <v>3020</v>
      </c>
      <c r="O183" s="4">
        <f t="shared" ref="O183:O185" si="3">L183/1.1</f>
        <v>24454.545454545452</v>
      </c>
      <c r="P183" t="str">
        <f t="shared" si="0"/>
        <v>카페24샴푸리바이탈 샴푸201109</v>
      </c>
    </row>
    <row r="184" spans="2:16" x14ac:dyDescent="0.3">
      <c r="B184" s="2">
        <v>44149</v>
      </c>
      <c r="C184" t="str">
        <f t="shared" si="1"/>
        <v>토</v>
      </c>
      <c r="E184" s="6" t="s">
        <v>85</v>
      </c>
      <c r="F184" t="s">
        <v>88</v>
      </c>
      <c r="G184" s="6"/>
      <c r="H184">
        <v>2</v>
      </c>
      <c r="I184" s="6" t="s">
        <v>89</v>
      </c>
      <c r="J184" s="6">
        <v>201109</v>
      </c>
      <c r="L184">
        <f>VLOOKUP($P184,매칭테이블!$G:$J,2,0)*H184</f>
        <v>102220</v>
      </c>
      <c r="M184">
        <f>L184-L184*VLOOKUP($P184,매칭테이블!$G:$J,3,0)</f>
        <v>96240.13</v>
      </c>
      <c r="N184">
        <f>VLOOKUP($P184,매칭테이블!$G:$J,4,0)*H184</f>
        <v>12080</v>
      </c>
      <c r="O184" s="4">
        <f t="shared" si="3"/>
        <v>92927.272727272721</v>
      </c>
      <c r="P184" t="str">
        <f t="shared" si="0"/>
        <v>카페24샴푸리바이탈 샴푸 2set201109</v>
      </c>
    </row>
    <row r="185" spans="2:16" x14ac:dyDescent="0.3">
      <c r="B185" s="2">
        <v>44149</v>
      </c>
      <c r="C185" t="str">
        <f t="shared" si="1"/>
        <v>토</v>
      </c>
      <c r="E185" s="6" t="s">
        <v>85</v>
      </c>
      <c r="F185" t="s">
        <v>88</v>
      </c>
      <c r="G185" s="6"/>
      <c r="H185">
        <v>1</v>
      </c>
      <c r="I185" s="6" t="s">
        <v>90</v>
      </c>
      <c r="J185" s="6">
        <v>201109</v>
      </c>
      <c r="L185">
        <f>VLOOKUP($P185,매칭테이블!$G:$J,2,0)*H185</f>
        <v>72630</v>
      </c>
      <c r="M185">
        <f>L185-L185*VLOOKUP($P185,매칭테이블!$G:$J,3,0)</f>
        <v>68381.145000000004</v>
      </c>
      <c r="N185">
        <f>VLOOKUP($P185,매칭테이블!$G:$J,4,0)*H185</f>
        <v>9060</v>
      </c>
      <c r="O185" s="4">
        <f t="shared" si="3"/>
        <v>66027.272727272721</v>
      </c>
      <c r="P185" t="str">
        <f t="shared" si="0"/>
        <v>카페24샴푸리바이탈 샴푸 3set201109</v>
      </c>
    </row>
    <row r="186" spans="2:16" x14ac:dyDescent="0.3">
      <c r="B186" s="2">
        <v>44150</v>
      </c>
      <c r="C186" t="str">
        <f t="shared" si="1"/>
        <v>일</v>
      </c>
      <c r="E186" s="6" t="s">
        <v>85</v>
      </c>
      <c r="F186" t="s">
        <v>88</v>
      </c>
      <c r="G186" s="6"/>
      <c r="H186">
        <v>3</v>
      </c>
      <c r="I186" s="6" t="s">
        <v>87</v>
      </c>
      <c r="J186" s="6">
        <v>201109</v>
      </c>
      <c r="L186">
        <f>VLOOKUP($P186,매칭테이블!$G:$J,2,0)*H186</f>
        <v>80700</v>
      </c>
      <c r="M186">
        <f>L186-L186*VLOOKUP($P186,매칭테이블!$G:$J,3,0)</f>
        <v>75979.05</v>
      </c>
      <c r="N186">
        <f>VLOOKUP($P186,매칭테이블!$G:$J,4,0)*H186</f>
        <v>9060</v>
      </c>
      <c r="O186" s="4">
        <f t="shared" ref="O186:O187" si="4">L186/1.1</f>
        <v>73363.636363636353</v>
      </c>
      <c r="P186" t="str">
        <f t="shared" si="0"/>
        <v>카페24샴푸리바이탈 샴푸201109</v>
      </c>
    </row>
    <row r="187" spans="2:16" x14ac:dyDescent="0.3">
      <c r="B187" s="2">
        <v>44150</v>
      </c>
      <c r="C187" t="str">
        <f t="shared" si="1"/>
        <v>일</v>
      </c>
      <c r="E187" s="6" t="s">
        <v>85</v>
      </c>
      <c r="F187" t="s">
        <v>88</v>
      </c>
      <c r="G187" s="6"/>
      <c r="H187">
        <v>2</v>
      </c>
      <c r="I187" s="6" t="s">
        <v>90</v>
      </c>
      <c r="J187" s="6">
        <v>201109</v>
      </c>
      <c r="L187">
        <f>VLOOKUP($P187,매칭테이블!$G:$J,2,0)*H187</f>
        <v>145260</v>
      </c>
      <c r="M187">
        <f>L187-L187*VLOOKUP($P187,매칭테이블!$G:$J,3,0)</f>
        <v>136762.29</v>
      </c>
      <c r="N187">
        <f>VLOOKUP($P187,매칭테이블!$G:$J,4,0)*H187</f>
        <v>18120</v>
      </c>
      <c r="O187" s="4">
        <f t="shared" si="4"/>
        <v>132054.54545454544</v>
      </c>
      <c r="P187" t="str">
        <f t="shared" si="0"/>
        <v>카페24샴푸리바이탈 샴푸 3set201109</v>
      </c>
    </row>
    <row r="188" spans="2:16" x14ac:dyDescent="0.3">
      <c r="B188" s="2">
        <v>44151</v>
      </c>
      <c r="C188" t="str">
        <f t="shared" si="1"/>
        <v>월</v>
      </c>
      <c r="E188" s="6" t="s">
        <v>85</v>
      </c>
      <c r="F188" t="s">
        <v>88</v>
      </c>
      <c r="G188" s="6"/>
      <c r="H188">
        <v>2</v>
      </c>
      <c r="I188" s="6" t="s">
        <v>87</v>
      </c>
      <c r="J188" s="6">
        <v>201109</v>
      </c>
      <c r="L188">
        <f>VLOOKUP($P188,매칭테이블!$G:$J,2,0)*H188</f>
        <v>53800</v>
      </c>
      <c r="M188">
        <f>L188-L188*VLOOKUP($P188,매칭테이블!$G:$J,3,0)</f>
        <v>50652.7</v>
      </c>
      <c r="N188">
        <f>VLOOKUP($P188,매칭테이블!$G:$J,4,0)*H188</f>
        <v>6040</v>
      </c>
      <c r="O188" s="4">
        <f t="shared" ref="O188:O189" si="5">L188/1.1</f>
        <v>48909.090909090904</v>
      </c>
      <c r="P188" t="str">
        <f t="shared" si="0"/>
        <v>카페24샴푸리바이탈 샴푸201109</v>
      </c>
    </row>
    <row r="189" spans="2:16" x14ac:dyDescent="0.3">
      <c r="B189" s="2">
        <v>44151</v>
      </c>
      <c r="C189" t="str">
        <f t="shared" si="1"/>
        <v>월</v>
      </c>
      <c r="E189" s="6" t="s">
        <v>85</v>
      </c>
      <c r="F189" t="s">
        <v>88</v>
      </c>
      <c r="G189" s="6"/>
      <c r="H189">
        <v>1</v>
      </c>
      <c r="I189" s="6" t="s">
        <v>90</v>
      </c>
      <c r="J189" s="6">
        <v>201109</v>
      </c>
      <c r="L189">
        <f>VLOOKUP($P189,매칭테이블!$G:$J,2,0)*H189</f>
        <v>72630</v>
      </c>
      <c r="M189">
        <f>L189-L189*VLOOKUP($P189,매칭테이블!$G:$J,3,0)</f>
        <v>68381.145000000004</v>
      </c>
      <c r="N189">
        <f>VLOOKUP($P189,매칭테이블!$G:$J,4,0)*H189</f>
        <v>9060</v>
      </c>
      <c r="O189" s="4">
        <f t="shared" si="5"/>
        <v>66027.272727272721</v>
      </c>
      <c r="P189" t="str">
        <f t="shared" si="0"/>
        <v>카페24샴푸리바이탈 샴푸 3set201109</v>
      </c>
    </row>
    <row r="190" spans="2:16" x14ac:dyDescent="0.3">
      <c r="B190" s="2">
        <v>44152</v>
      </c>
      <c r="C190" t="str">
        <f t="shared" si="1"/>
        <v>화</v>
      </c>
      <c r="E190" s="6" t="s">
        <v>85</v>
      </c>
      <c r="F190" t="s">
        <v>88</v>
      </c>
      <c r="G190" s="6"/>
      <c r="H190">
        <v>3</v>
      </c>
      <c r="I190" s="6" t="s">
        <v>87</v>
      </c>
      <c r="J190" s="6">
        <v>201109</v>
      </c>
      <c r="L190">
        <f>VLOOKUP($P190,매칭테이블!$G:$J,2,0)*H190</f>
        <v>80700</v>
      </c>
      <c r="M190">
        <f>L190-L190*VLOOKUP($P190,매칭테이블!$G:$J,3,0)</f>
        <v>75979.05</v>
      </c>
      <c r="N190">
        <f>VLOOKUP($P190,매칭테이블!$G:$J,4,0)*H190</f>
        <v>9060</v>
      </c>
      <c r="O190" s="4">
        <f t="shared" ref="O190:O192" si="6">L190/1.1</f>
        <v>73363.636363636353</v>
      </c>
      <c r="P190" t="str">
        <f t="shared" si="0"/>
        <v>카페24샴푸리바이탈 샴푸201109</v>
      </c>
    </row>
    <row r="191" spans="2:16" x14ac:dyDescent="0.3">
      <c r="B191" s="2">
        <v>44152</v>
      </c>
      <c r="C191" t="str">
        <f t="shared" si="1"/>
        <v>화</v>
      </c>
      <c r="E191" s="6" t="s">
        <v>85</v>
      </c>
      <c r="F191" t="s">
        <v>88</v>
      </c>
      <c r="G191" s="6"/>
      <c r="H191">
        <v>1</v>
      </c>
      <c r="I191" s="6" t="s">
        <v>89</v>
      </c>
      <c r="J191" s="6">
        <v>201109</v>
      </c>
      <c r="L191">
        <f>VLOOKUP($P191,매칭테이블!$G:$J,2,0)*H191</f>
        <v>51110</v>
      </c>
      <c r="M191">
        <f>L191-L191*VLOOKUP($P191,매칭테이블!$G:$J,3,0)</f>
        <v>48120.065000000002</v>
      </c>
      <c r="N191">
        <f>VLOOKUP($P191,매칭테이블!$G:$J,4,0)*H191</f>
        <v>6040</v>
      </c>
      <c r="O191" s="4">
        <f t="shared" si="6"/>
        <v>46463.63636363636</v>
      </c>
      <c r="P191" t="str">
        <f t="shared" si="0"/>
        <v>카페24샴푸리바이탈 샴푸 2set201109</v>
      </c>
    </row>
    <row r="192" spans="2:16" x14ac:dyDescent="0.3">
      <c r="B192" s="2">
        <v>44152</v>
      </c>
      <c r="C192" t="str">
        <f t="shared" si="1"/>
        <v>화</v>
      </c>
      <c r="E192" s="6" t="s">
        <v>85</v>
      </c>
      <c r="F192" t="s">
        <v>88</v>
      </c>
      <c r="G192" s="6"/>
      <c r="H192">
        <v>1</v>
      </c>
      <c r="I192" s="6" t="s">
        <v>90</v>
      </c>
      <c r="J192" s="6">
        <v>201109</v>
      </c>
      <c r="L192">
        <f>VLOOKUP($P192,매칭테이블!$G:$J,2,0)*H192</f>
        <v>72630</v>
      </c>
      <c r="M192">
        <f>L192-L192*VLOOKUP($P192,매칭테이블!$G:$J,3,0)</f>
        <v>68381.145000000004</v>
      </c>
      <c r="N192">
        <f>VLOOKUP($P192,매칭테이블!$G:$J,4,0)*H192</f>
        <v>9060</v>
      </c>
      <c r="O192" s="4">
        <f t="shared" si="6"/>
        <v>66027.272727272721</v>
      </c>
      <c r="P192" t="str">
        <f t="shared" si="0"/>
        <v>카페24샴푸리바이탈 샴푸 3set201109</v>
      </c>
    </row>
    <row r="193" spans="2:16" x14ac:dyDescent="0.3">
      <c r="B193" s="2">
        <v>44153</v>
      </c>
      <c r="C193" t="str">
        <f t="shared" si="1"/>
        <v>수</v>
      </c>
      <c r="E193" s="6" t="s">
        <v>85</v>
      </c>
      <c r="F193" t="s">
        <v>88</v>
      </c>
      <c r="G193" s="6"/>
      <c r="H193">
        <v>3</v>
      </c>
      <c r="I193" s="6" t="s">
        <v>87</v>
      </c>
      <c r="J193" s="6">
        <v>201109</v>
      </c>
      <c r="L193">
        <f>VLOOKUP($P193,매칭테이블!$G:$J,2,0)*H193</f>
        <v>80700</v>
      </c>
      <c r="M193">
        <f>L193-L193*VLOOKUP($P193,매칭테이블!$G:$J,3,0)</f>
        <v>75979.05</v>
      </c>
      <c r="N193">
        <f>VLOOKUP($P193,매칭테이블!$G:$J,4,0)*H193</f>
        <v>9060</v>
      </c>
      <c r="O193" s="4">
        <f t="shared" ref="O193:O195" si="7">L193/1.1</f>
        <v>73363.636363636353</v>
      </c>
      <c r="P193" t="str">
        <f t="shared" si="0"/>
        <v>카페24샴푸리바이탈 샴푸201109</v>
      </c>
    </row>
    <row r="194" spans="2:16" x14ac:dyDescent="0.3">
      <c r="B194" s="2">
        <v>44153</v>
      </c>
      <c r="C194" t="str">
        <f t="shared" si="1"/>
        <v>수</v>
      </c>
      <c r="E194" s="6" t="s">
        <v>85</v>
      </c>
      <c r="F194" t="s">
        <v>88</v>
      </c>
      <c r="G194" s="6"/>
      <c r="H194">
        <v>3</v>
      </c>
      <c r="I194" s="6" t="s">
        <v>89</v>
      </c>
      <c r="J194" s="6">
        <v>201109</v>
      </c>
      <c r="L194">
        <f>VLOOKUP($P194,매칭테이블!$G:$J,2,0)*H194</f>
        <v>153330</v>
      </c>
      <c r="M194">
        <f>L194-L194*VLOOKUP($P194,매칭테이블!$G:$J,3,0)</f>
        <v>144360.19500000001</v>
      </c>
      <c r="N194">
        <f>VLOOKUP($P194,매칭테이블!$G:$J,4,0)*H194</f>
        <v>18120</v>
      </c>
      <c r="O194" s="4">
        <f t="shared" si="7"/>
        <v>139390.90909090909</v>
      </c>
      <c r="P194" t="str">
        <f t="shared" si="0"/>
        <v>카페24샴푸리바이탈 샴푸 2set201109</v>
      </c>
    </row>
    <row r="195" spans="2:16" x14ac:dyDescent="0.3">
      <c r="B195" s="2">
        <v>44153</v>
      </c>
      <c r="C195" t="str">
        <f t="shared" si="1"/>
        <v>수</v>
      </c>
      <c r="E195" s="6" t="s">
        <v>85</v>
      </c>
      <c r="F195" t="s">
        <v>88</v>
      </c>
      <c r="G195" s="6"/>
      <c r="H195">
        <v>4</v>
      </c>
      <c r="I195" s="6" t="s">
        <v>90</v>
      </c>
      <c r="J195" s="6">
        <v>201109</v>
      </c>
      <c r="L195">
        <f>VLOOKUP($P195,매칭테이블!$G:$J,2,0)*H195</f>
        <v>290520</v>
      </c>
      <c r="M195">
        <f>L195-L195*VLOOKUP($P195,매칭테이블!$G:$J,3,0)</f>
        <v>273524.58</v>
      </c>
      <c r="N195">
        <f>VLOOKUP($P195,매칭테이블!$G:$J,4,0)*H195</f>
        <v>36240</v>
      </c>
      <c r="O195" s="4">
        <f t="shared" si="7"/>
        <v>264109.09090909088</v>
      </c>
      <c r="P195" t="str">
        <f t="shared" si="0"/>
        <v>카페24샴푸리바이탈 샴푸 3set201109</v>
      </c>
    </row>
    <row r="196" spans="2:16" x14ac:dyDescent="0.3">
      <c r="B196" s="2">
        <v>44154</v>
      </c>
      <c r="C196" t="str">
        <f t="shared" si="1"/>
        <v>목</v>
      </c>
      <c r="E196" s="6" t="s">
        <v>85</v>
      </c>
      <c r="F196" t="s">
        <v>88</v>
      </c>
      <c r="G196" s="6"/>
      <c r="H196">
        <v>4</v>
      </c>
      <c r="I196" s="6" t="s">
        <v>87</v>
      </c>
      <c r="J196" s="6">
        <v>201109</v>
      </c>
      <c r="L196">
        <f>VLOOKUP($P196,매칭테이블!$G:$J,2,0)*H196</f>
        <v>107600</v>
      </c>
      <c r="M196">
        <f>L196-L196*VLOOKUP($P196,매칭테이블!$G:$J,3,0)</f>
        <v>101305.4</v>
      </c>
      <c r="N196">
        <f>VLOOKUP($P196,매칭테이블!$G:$J,4,0)*H196</f>
        <v>12080</v>
      </c>
      <c r="O196" s="4">
        <f t="shared" ref="O196:O197" si="8">L196/1.1</f>
        <v>97818.181818181809</v>
      </c>
      <c r="P196" t="str">
        <f t="shared" si="0"/>
        <v>카페24샴푸리바이탈 샴푸201109</v>
      </c>
    </row>
    <row r="197" spans="2:16" x14ac:dyDescent="0.3">
      <c r="B197" s="2">
        <v>44154</v>
      </c>
      <c r="C197" t="str">
        <f t="shared" si="1"/>
        <v>목</v>
      </c>
      <c r="E197" s="6" t="s">
        <v>85</v>
      </c>
      <c r="F197" t="s">
        <v>88</v>
      </c>
      <c r="G197" s="6"/>
      <c r="H197">
        <v>4</v>
      </c>
      <c r="I197" s="6" t="s">
        <v>89</v>
      </c>
      <c r="J197" s="6">
        <v>201109</v>
      </c>
      <c r="L197">
        <f>VLOOKUP($P197,매칭테이블!$G:$J,2,0)*H197</f>
        <v>204440</v>
      </c>
      <c r="M197">
        <f>L197-L197*VLOOKUP($P197,매칭테이블!$G:$J,3,0)</f>
        <v>192480.26</v>
      </c>
      <c r="N197">
        <f>VLOOKUP($P197,매칭테이블!$G:$J,4,0)*H197</f>
        <v>24160</v>
      </c>
      <c r="O197" s="4">
        <f t="shared" si="8"/>
        <v>185854.54545454544</v>
      </c>
      <c r="P197" t="str">
        <f t="shared" si="0"/>
        <v>카페24샴푸리바이탈 샴푸 2set201109</v>
      </c>
    </row>
    <row r="198" spans="2:16" x14ac:dyDescent="0.3">
      <c r="B198" s="2">
        <v>44155</v>
      </c>
      <c r="C198" t="str">
        <f t="shared" si="1"/>
        <v>금</v>
      </c>
      <c r="E198" s="6" t="s">
        <v>85</v>
      </c>
      <c r="F198" s="6" t="s">
        <v>86</v>
      </c>
      <c r="G198" s="6"/>
      <c r="H198">
        <v>1</v>
      </c>
      <c r="I198" s="6" t="s">
        <v>87</v>
      </c>
      <c r="J198" s="6">
        <v>201109</v>
      </c>
      <c r="L198">
        <f>VLOOKUP($P198,매칭테이블!$G:$J,2,0)*H198</f>
        <v>0</v>
      </c>
      <c r="M198">
        <f>L198-L198*VLOOKUP($P198,매칭테이블!$G:$J,3,0)</f>
        <v>0</v>
      </c>
      <c r="N198">
        <f>VLOOKUP($P198,매칭테이블!$G:$J,4,0)*H198</f>
        <v>3020</v>
      </c>
      <c r="O198" s="4">
        <f t="shared" ref="O198:O205" si="9">L198/1.1</f>
        <v>0</v>
      </c>
      <c r="P198" t="str">
        <f t="shared" si="0"/>
        <v>라베나 CS샴푸리바이탈 샴푸201109</v>
      </c>
    </row>
    <row r="199" spans="2:16" x14ac:dyDescent="0.3">
      <c r="B199" s="2">
        <v>44155</v>
      </c>
      <c r="C199" t="str">
        <f t="shared" si="1"/>
        <v>금</v>
      </c>
      <c r="E199" s="6" t="s">
        <v>85</v>
      </c>
      <c r="F199" t="s">
        <v>88</v>
      </c>
      <c r="G199" s="6"/>
      <c r="H199">
        <v>8</v>
      </c>
      <c r="I199" s="6" t="s">
        <v>87</v>
      </c>
      <c r="J199" s="6">
        <v>201109</v>
      </c>
      <c r="L199">
        <f>VLOOKUP($P199,매칭테이블!$G:$J,2,0)*H199</f>
        <v>215200</v>
      </c>
      <c r="M199">
        <f>L199-L199*VLOOKUP($P199,매칭테이블!$G:$J,3,0)</f>
        <v>202610.8</v>
      </c>
      <c r="N199">
        <f>VLOOKUP($P199,매칭테이블!$G:$J,4,0)*H199</f>
        <v>24160</v>
      </c>
      <c r="O199" s="4">
        <f t="shared" si="9"/>
        <v>195636.36363636362</v>
      </c>
      <c r="P199" t="str">
        <f t="shared" si="0"/>
        <v>카페24샴푸리바이탈 샴푸201109</v>
      </c>
    </row>
    <row r="200" spans="2:16" x14ac:dyDescent="0.3">
      <c r="B200" s="2">
        <v>44155</v>
      </c>
      <c r="C200" t="str">
        <f t="shared" si="1"/>
        <v>금</v>
      </c>
      <c r="E200" s="6" t="s">
        <v>85</v>
      </c>
      <c r="F200" t="s">
        <v>88</v>
      </c>
      <c r="G200" s="6"/>
      <c r="H200">
        <v>4</v>
      </c>
      <c r="I200" s="6" t="s">
        <v>89</v>
      </c>
      <c r="J200" s="6">
        <v>201109</v>
      </c>
      <c r="L200">
        <f>VLOOKUP($P200,매칭테이블!$G:$J,2,0)*H200</f>
        <v>204440</v>
      </c>
      <c r="M200">
        <f>L200-L200*VLOOKUP($P200,매칭테이블!$G:$J,3,0)</f>
        <v>192480.26</v>
      </c>
      <c r="N200">
        <f>VLOOKUP($P200,매칭테이블!$G:$J,4,0)*H200</f>
        <v>24160</v>
      </c>
      <c r="O200" s="4">
        <f t="shared" si="9"/>
        <v>185854.54545454544</v>
      </c>
      <c r="P200" t="str">
        <f t="shared" si="0"/>
        <v>카페24샴푸리바이탈 샴푸 2set201109</v>
      </c>
    </row>
    <row r="201" spans="2:16" x14ac:dyDescent="0.3">
      <c r="B201" s="2">
        <v>44155</v>
      </c>
      <c r="C201" t="str">
        <f t="shared" si="1"/>
        <v>금</v>
      </c>
      <c r="E201" s="6" t="s">
        <v>85</v>
      </c>
      <c r="F201" t="s">
        <v>88</v>
      </c>
      <c r="G201" s="6"/>
      <c r="H201">
        <v>2</v>
      </c>
      <c r="I201" s="6" t="s">
        <v>90</v>
      </c>
      <c r="J201" s="6">
        <v>201109</v>
      </c>
      <c r="L201">
        <f>VLOOKUP($P201,매칭테이블!$G:$J,2,0)*H201</f>
        <v>145260</v>
      </c>
      <c r="M201">
        <f>L201-L201*VLOOKUP($P201,매칭테이블!$G:$J,3,0)</f>
        <v>136762.29</v>
      </c>
      <c r="N201">
        <f>VLOOKUP($P201,매칭테이블!$G:$J,4,0)*H201</f>
        <v>18120</v>
      </c>
      <c r="O201" s="4">
        <f t="shared" si="9"/>
        <v>132054.54545454544</v>
      </c>
      <c r="P201" t="str">
        <f t="shared" si="0"/>
        <v>카페24샴푸리바이탈 샴푸 3set201109</v>
      </c>
    </row>
    <row r="202" spans="2:16" x14ac:dyDescent="0.3">
      <c r="B202" s="2">
        <v>44156</v>
      </c>
      <c r="C202" t="str">
        <f t="shared" si="1"/>
        <v>토</v>
      </c>
      <c r="E202" s="6" t="s">
        <v>85</v>
      </c>
      <c r="F202" t="s">
        <v>88</v>
      </c>
      <c r="G202" s="6"/>
      <c r="H202">
        <v>30</v>
      </c>
      <c r="I202" s="6" t="s">
        <v>87</v>
      </c>
      <c r="J202" s="6">
        <v>201109</v>
      </c>
      <c r="L202">
        <f>VLOOKUP($P202,매칭테이블!$G:$J,2,0)*H202</f>
        <v>807000</v>
      </c>
      <c r="M202">
        <f>L202-L202*VLOOKUP($P202,매칭테이블!$G:$J,3,0)</f>
        <v>759790.5</v>
      </c>
      <c r="N202">
        <f>VLOOKUP($P202,매칭테이블!$G:$J,4,0)*H202</f>
        <v>90600</v>
      </c>
      <c r="O202" s="4">
        <f t="shared" si="9"/>
        <v>733636.36363636353</v>
      </c>
      <c r="P202" t="str">
        <f t="shared" si="0"/>
        <v>카페24샴푸리바이탈 샴푸201109</v>
      </c>
    </row>
    <row r="203" spans="2:16" x14ac:dyDescent="0.3">
      <c r="B203" s="2">
        <v>44156</v>
      </c>
      <c r="C203" t="str">
        <f t="shared" si="1"/>
        <v>토</v>
      </c>
      <c r="E203" s="6" t="s">
        <v>85</v>
      </c>
      <c r="F203" t="s">
        <v>88</v>
      </c>
      <c r="G203" s="6"/>
      <c r="H203">
        <v>13</v>
      </c>
      <c r="I203" s="6" t="s">
        <v>89</v>
      </c>
      <c r="J203" s="6">
        <v>201109</v>
      </c>
      <c r="L203">
        <f>VLOOKUP($P203,매칭테이블!$G:$J,2,0)*H203</f>
        <v>664430</v>
      </c>
      <c r="M203">
        <f>L203-L203*VLOOKUP($P203,매칭테이블!$G:$J,3,0)</f>
        <v>625560.84499999997</v>
      </c>
      <c r="N203">
        <f>VLOOKUP($P203,매칭테이블!$G:$J,4,0)*H203</f>
        <v>78520</v>
      </c>
      <c r="O203" s="4">
        <f t="shared" si="9"/>
        <v>604027.27272727271</v>
      </c>
      <c r="P203" t="str">
        <f t="shared" si="0"/>
        <v>카페24샴푸리바이탈 샴푸 2set201109</v>
      </c>
    </row>
    <row r="204" spans="2:16" x14ac:dyDescent="0.3">
      <c r="B204" s="2">
        <v>44156</v>
      </c>
      <c r="C204" t="str">
        <f t="shared" si="1"/>
        <v>토</v>
      </c>
      <c r="E204" s="6" t="s">
        <v>85</v>
      </c>
      <c r="F204" t="s">
        <v>88</v>
      </c>
      <c r="G204" s="6"/>
      <c r="H204">
        <v>5</v>
      </c>
      <c r="I204" s="6" t="s">
        <v>90</v>
      </c>
      <c r="J204" s="6">
        <v>201109</v>
      </c>
      <c r="L204">
        <f>VLOOKUP($P204,매칭테이블!$G:$J,2,0)*H204</f>
        <v>363150</v>
      </c>
      <c r="M204">
        <f>L204-L204*VLOOKUP($P204,매칭테이블!$G:$J,3,0)</f>
        <v>341905.72499999998</v>
      </c>
      <c r="N204">
        <f>VLOOKUP($P204,매칭테이블!$G:$J,4,0)*H204</f>
        <v>45300</v>
      </c>
      <c r="O204" s="4">
        <f t="shared" si="9"/>
        <v>330136.36363636359</v>
      </c>
      <c r="P204" t="str">
        <f t="shared" si="0"/>
        <v>카페24샴푸리바이탈 샴푸 3set201109</v>
      </c>
    </row>
    <row r="205" spans="2:16" x14ac:dyDescent="0.3">
      <c r="B205" s="2">
        <v>44157</v>
      </c>
      <c r="C205" t="str">
        <f t="shared" si="1"/>
        <v>일</v>
      </c>
      <c r="E205" s="6" t="s">
        <v>85</v>
      </c>
      <c r="F205" t="s">
        <v>88</v>
      </c>
      <c r="G205" s="6"/>
      <c r="H205">
        <v>30</v>
      </c>
      <c r="I205" s="6" t="s">
        <v>87</v>
      </c>
      <c r="J205" s="6">
        <v>201109</v>
      </c>
      <c r="L205">
        <f>VLOOKUP($P205,매칭테이블!$G:$J,2,0)*H205</f>
        <v>807000</v>
      </c>
      <c r="M205">
        <f>L205-L205*VLOOKUP($P205,매칭테이블!$G:$J,3,0)</f>
        <v>759790.5</v>
      </c>
      <c r="N205">
        <f>VLOOKUP($P205,매칭테이블!$G:$J,4,0)*H205</f>
        <v>90600</v>
      </c>
      <c r="O205" s="4">
        <f t="shared" si="9"/>
        <v>733636.36363636353</v>
      </c>
      <c r="P205" t="str">
        <f t="shared" si="0"/>
        <v>카페24샴푸리바이탈 샴푸201109</v>
      </c>
    </row>
    <row r="206" spans="2:16" x14ac:dyDescent="0.3">
      <c r="B206" s="2">
        <v>44157</v>
      </c>
      <c r="C206" t="str">
        <f t="shared" si="1"/>
        <v>일</v>
      </c>
      <c r="E206" s="6" t="s">
        <v>85</v>
      </c>
      <c r="F206" t="s">
        <v>88</v>
      </c>
      <c r="G206" s="6"/>
      <c r="H206">
        <v>9</v>
      </c>
      <c r="I206" s="6" t="s">
        <v>89</v>
      </c>
      <c r="J206" s="6">
        <v>201109</v>
      </c>
      <c r="L206">
        <f>VLOOKUP($P206,매칭테이블!$G:$J,2,0)*H206</f>
        <v>459990</v>
      </c>
      <c r="M206">
        <f>L206-L206*VLOOKUP($P206,매칭테이블!$G:$J,3,0)</f>
        <v>433080.58500000002</v>
      </c>
      <c r="N206">
        <f>VLOOKUP($P206,매칭테이블!$G:$J,4,0)*H206</f>
        <v>54360</v>
      </c>
      <c r="O206" s="4">
        <f t="shared" ref="O206:O207" si="10">L206/1.1</f>
        <v>418172.72727272724</v>
      </c>
      <c r="P206" t="str">
        <f t="shared" si="0"/>
        <v>카페24샴푸리바이탈 샴푸 2set201109</v>
      </c>
    </row>
    <row r="207" spans="2:16" x14ac:dyDescent="0.3">
      <c r="B207" s="2">
        <v>44157</v>
      </c>
      <c r="C207" t="str">
        <f t="shared" si="1"/>
        <v>일</v>
      </c>
      <c r="E207" s="6" t="s">
        <v>85</v>
      </c>
      <c r="F207" t="s">
        <v>88</v>
      </c>
      <c r="G207" s="6"/>
      <c r="H207">
        <v>8</v>
      </c>
      <c r="I207" s="6" t="s">
        <v>90</v>
      </c>
      <c r="J207" s="6">
        <v>201109</v>
      </c>
      <c r="L207">
        <f>VLOOKUP($P207,매칭테이블!$G:$J,2,0)*H207</f>
        <v>581040</v>
      </c>
      <c r="M207">
        <f>L207-L207*VLOOKUP($P207,매칭테이블!$G:$J,3,0)</f>
        <v>547049.16</v>
      </c>
      <c r="N207">
        <f>VLOOKUP($P207,매칭테이블!$G:$J,4,0)*H207</f>
        <v>72480</v>
      </c>
      <c r="O207" s="4">
        <f t="shared" si="10"/>
        <v>528218.18181818177</v>
      </c>
      <c r="P207" t="str">
        <f t="shared" si="0"/>
        <v>카페24샴푸리바이탈 샴푸 3set201109</v>
      </c>
    </row>
    <row r="208" spans="2:16" x14ac:dyDescent="0.3">
      <c r="B208" s="2">
        <v>44158</v>
      </c>
      <c r="C208" t="str">
        <f t="shared" si="1"/>
        <v>월</v>
      </c>
      <c r="E208" s="6" t="s">
        <v>85</v>
      </c>
      <c r="F208" t="s">
        <v>88</v>
      </c>
      <c r="G208" s="6"/>
      <c r="H208">
        <v>26</v>
      </c>
      <c r="I208" s="6" t="s">
        <v>87</v>
      </c>
      <c r="J208" s="6">
        <v>201109</v>
      </c>
      <c r="L208">
        <f>VLOOKUP($P208,매칭테이블!$G:$J,2,0)*H208</f>
        <v>699400</v>
      </c>
      <c r="M208">
        <f>L208-L208*VLOOKUP($P208,매칭테이블!$G:$J,3,0)</f>
        <v>658485.1</v>
      </c>
      <c r="N208">
        <f>VLOOKUP($P208,매칭테이블!$G:$J,4,0)*H208</f>
        <v>78520</v>
      </c>
      <c r="O208" s="4">
        <f t="shared" ref="O208:O210" si="11">L208/1.1</f>
        <v>635818.18181818177</v>
      </c>
      <c r="P208" t="str">
        <f t="shared" si="0"/>
        <v>카페24샴푸리바이탈 샴푸201109</v>
      </c>
    </row>
    <row r="209" spans="2:16" x14ac:dyDescent="0.3">
      <c r="B209" s="2">
        <v>44158</v>
      </c>
      <c r="C209" t="str">
        <f t="shared" si="1"/>
        <v>월</v>
      </c>
      <c r="E209" s="6" t="s">
        <v>85</v>
      </c>
      <c r="F209" t="s">
        <v>88</v>
      </c>
      <c r="G209" s="6"/>
      <c r="H209">
        <v>10</v>
      </c>
      <c r="I209" s="6" t="s">
        <v>89</v>
      </c>
      <c r="J209" s="6">
        <v>201109</v>
      </c>
      <c r="L209">
        <f>VLOOKUP($P209,매칭테이블!$G:$J,2,0)*H209</f>
        <v>511100</v>
      </c>
      <c r="M209">
        <f>L209-L209*VLOOKUP($P209,매칭테이블!$G:$J,3,0)</f>
        <v>481200.65</v>
      </c>
      <c r="N209">
        <f>VLOOKUP($P209,매칭테이블!$G:$J,4,0)*H209</f>
        <v>60400</v>
      </c>
      <c r="O209" s="4">
        <f t="shared" si="11"/>
        <v>464636.36363636359</v>
      </c>
      <c r="P209" t="str">
        <f t="shared" si="0"/>
        <v>카페24샴푸리바이탈 샴푸 2set201109</v>
      </c>
    </row>
    <row r="210" spans="2:16" x14ac:dyDescent="0.3">
      <c r="B210" s="2">
        <v>44158</v>
      </c>
      <c r="C210" t="str">
        <f t="shared" si="1"/>
        <v>월</v>
      </c>
      <c r="E210" s="6" t="s">
        <v>85</v>
      </c>
      <c r="F210" t="s">
        <v>88</v>
      </c>
      <c r="G210" s="6"/>
      <c r="H210">
        <v>6</v>
      </c>
      <c r="I210" s="6" t="s">
        <v>90</v>
      </c>
      <c r="J210" s="6">
        <v>201109</v>
      </c>
      <c r="L210">
        <f>VLOOKUP($P210,매칭테이블!$G:$J,2,0)*H210</f>
        <v>435780</v>
      </c>
      <c r="M210">
        <f>L210-L210*VLOOKUP($P210,매칭테이블!$G:$J,3,0)</f>
        <v>410286.87</v>
      </c>
      <c r="N210">
        <f>VLOOKUP($P210,매칭테이블!$G:$J,4,0)*H210</f>
        <v>54360</v>
      </c>
      <c r="O210" s="4">
        <f t="shared" si="11"/>
        <v>396163.63636363635</v>
      </c>
      <c r="P210" t="str">
        <f t="shared" si="0"/>
        <v>카페24샴푸리바이탈 샴푸 3set201109</v>
      </c>
    </row>
    <row r="211" spans="2:16" x14ac:dyDescent="0.3">
      <c r="B211" s="2">
        <v>44159</v>
      </c>
      <c r="C211" t="str">
        <f t="shared" si="1"/>
        <v>화</v>
      </c>
      <c r="E211" s="6" t="s">
        <v>85</v>
      </c>
      <c r="F211" t="s">
        <v>88</v>
      </c>
      <c r="G211" s="6"/>
      <c r="H211">
        <v>26</v>
      </c>
      <c r="I211" s="6" t="s">
        <v>87</v>
      </c>
      <c r="J211" s="6">
        <v>201109</v>
      </c>
      <c r="L211">
        <f>VLOOKUP($P211,매칭테이블!$G:$J,2,0)*H211</f>
        <v>699400</v>
      </c>
      <c r="M211">
        <f>L211-L211*VLOOKUP($P211,매칭테이블!$G:$J,3,0)</f>
        <v>658485.1</v>
      </c>
      <c r="N211">
        <f>VLOOKUP($P211,매칭테이블!$G:$J,4,0)*H211</f>
        <v>78520</v>
      </c>
      <c r="O211" s="4">
        <f t="shared" ref="O211:O213" si="12">L211/1.1</f>
        <v>635818.18181818177</v>
      </c>
      <c r="P211" t="str">
        <f t="shared" si="0"/>
        <v>카페24샴푸리바이탈 샴푸201109</v>
      </c>
    </row>
    <row r="212" spans="2:16" x14ac:dyDescent="0.3">
      <c r="B212" s="2">
        <v>44159</v>
      </c>
      <c r="C212" t="str">
        <f t="shared" si="1"/>
        <v>화</v>
      </c>
      <c r="E212" s="6" t="s">
        <v>85</v>
      </c>
      <c r="F212" t="s">
        <v>88</v>
      </c>
      <c r="G212" s="6"/>
      <c r="H212">
        <v>14</v>
      </c>
      <c r="I212" s="6" t="s">
        <v>89</v>
      </c>
      <c r="J212" s="6">
        <v>201109</v>
      </c>
      <c r="L212">
        <f>VLOOKUP($P212,매칭테이블!$G:$J,2,0)*H212</f>
        <v>715540</v>
      </c>
      <c r="M212">
        <f>L212-L212*VLOOKUP($P212,매칭테이블!$G:$J,3,0)</f>
        <v>673680.91</v>
      </c>
      <c r="N212">
        <f>VLOOKUP($P212,매칭테이블!$G:$J,4,0)*H212</f>
        <v>84560</v>
      </c>
      <c r="O212" s="4">
        <f t="shared" si="12"/>
        <v>650490.90909090906</v>
      </c>
      <c r="P212" t="str">
        <f t="shared" ref="P212:P231" si="13">F212&amp;E212&amp;I212&amp;J212</f>
        <v>카페24샴푸리바이탈 샴푸 2set201109</v>
      </c>
    </row>
    <row r="213" spans="2:16" x14ac:dyDescent="0.3">
      <c r="B213" s="2">
        <v>44159</v>
      </c>
      <c r="C213" t="str">
        <f t="shared" si="1"/>
        <v>화</v>
      </c>
      <c r="E213" s="6" t="s">
        <v>85</v>
      </c>
      <c r="F213" t="s">
        <v>88</v>
      </c>
      <c r="G213" s="6"/>
      <c r="H213">
        <v>7</v>
      </c>
      <c r="I213" s="6" t="s">
        <v>90</v>
      </c>
      <c r="J213" s="6">
        <v>201109</v>
      </c>
      <c r="L213">
        <f>VLOOKUP($P213,매칭테이블!$G:$J,2,0)*H213</f>
        <v>508410</v>
      </c>
      <c r="M213">
        <f>L213-L213*VLOOKUP($P213,매칭테이블!$G:$J,3,0)</f>
        <v>478668.01500000001</v>
      </c>
      <c r="N213">
        <f>VLOOKUP($P213,매칭테이블!$G:$J,4,0)*H213</f>
        <v>63420</v>
      </c>
      <c r="O213" s="4">
        <f t="shared" si="12"/>
        <v>462190.90909090906</v>
      </c>
      <c r="P213" t="str">
        <f t="shared" si="13"/>
        <v>카페24샴푸리바이탈 샴푸 3set201109</v>
      </c>
    </row>
    <row r="214" spans="2:16" x14ac:dyDescent="0.3">
      <c r="B214" s="2">
        <v>44160</v>
      </c>
      <c r="C214" t="str">
        <f t="shared" si="1"/>
        <v>수</v>
      </c>
      <c r="E214" s="6" t="s">
        <v>85</v>
      </c>
      <c r="F214" t="s">
        <v>88</v>
      </c>
      <c r="G214" s="6"/>
      <c r="H214">
        <v>19</v>
      </c>
      <c r="I214" s="6" t="s">
        <v>87</v>
      </c>
      <c r="J214" s="6">
        <v>201109</v>
      </c>
      <c r="L214">
        <f>VLOOKUP($P214,매칭테이블!$G:$J,2,0)*H214</f>
        <v>511100</v>
      </c>
      <c r="M214">
        <f>L214-L214*VLOOKUP($P214,매칭테이블!$G:$J,3,0)</f>
        <v>481200.65</v>
      </c>
      <c r="N214">
        <f>VLOOKUP($P214,매칭테이블!$G:$J,4,0)*H214</f>
        <v>57380</v>
      </c>
      <c r="O214" s="4">
        <f t="shared" ref="O214:O216" si="14">L214/1.1</f>
        <v>464636.36363636359</v>
      </c>
      <c r="P214" t="str">
        <f t="shared" si="13"/>
        <v>카페24샴푸리바이탈 샴푸201109</v>
      </c>
    </row>
    <row r="215" spans="2:16" x14ac:dyDescent="0.3">
      <c r="B215" s="2">
        <v>44160</v>
      </c>
      <c r="C215" t="str">
        <f t="shared" si="1"/>
        <v>수</v>
      </c>
      <c r="E215" s="6" t="s">
        <v>85</v>
      </c>
      <c r="F215" t="s">
        <v>88</v>
      </c>
      <c r="G215" s="6"/>
      <c r="H215">
        <v>11</v>
      </c>
      <c r="I215" s="6" t="s">
        <v>89</v>
      </c>
      <c r="J215" s="6">
        <v>201109</v>
      </c>
      <c r="L215">
        <f>VLOOKUP($P215,매칭테이블!$G:$J,2,0)*H215</f>
        <v>562210</v>
      </c>
      <c r="M215">
        <f>L215-L215*VLOOKUP($P215,매칭테이블!$G:$J,3,0)</f>
        <v>529320.71499999997</v>
      </c>
      <c r="N215">
        <f>VLOOKUP($P215,매칭테이블!$G:$J,4,0)*H215</f>
        <v>66440</v>
      </c>
      <c r="O215" s="4">
        <f t="shared" si="14"/>
        <v>511099.99999999994</v>
      </c>
      <c r="P215" t="str">
        <f t="shared" si="13"/>
        <v>카페24샴푸리바이탈 샴푸 2set201109</v>
      </c>
    </row>
    <row r="216" spans="2:16" x14ac:dyDescent="0.3">
      <c r="B216" s="2">
        <v>44160</v>
      </c>
      <c r="C216" t="str">
        <f t="shared" si="1"/>
        <v>수</v>
      </c>
      <c r="E216" s="6" t="s">
        <v>85</v>
      </c>
      <c r="F216" t="s">
        <v>88</v>
      </c>
      <c r="G216" s="6"/>
      <c r="H216">
        <v>3</v>
      </c>
      <c r="I216" s="6" t="s">
        <v>90</v>
      </c>
      <c r="J216" s="6">
        <v>201109</v>
      </c>
      <c r="L216">
        <f>VLOOKUP($P216,매칭테이블!$G:$J,2,0)*H216</f>
        <v>217890</v>
      </c>
      <c r="M216">
        <f>L216-L216*VLOOKUP($P216,매칭테이블!$G:$J,3,0)</f>
        <v>205143.435</v>
      </c>
      <c r="N216">
        <f>VLOOKUP($P216,매칭테이블!$G:$J,4,0)*H216</f>
        <v>27180</v>
      </c>
      <c r="O216" s="4">
        <f t="shared" si="14"/>
        <v>198081.81818181818</v>
      </c>
      <c r="P216" t="str">
        <f t="shared" si="13"/>
        <v>카페24샴푸리바이탈 샴푸 3set201109</v>
      </c>
    </row>
    <row r="217" spans="2:16" x14ac:dyDescent="0.3">
      <c r="B217" s="2">
        <v>44161</v>
      </c>
      <c r="C217" t="str">
        <f t="shared" si="1"/>
        <v>목</v>
      </c>
      <c r="E217" s="6" t="s">
        <v>85</v>
      </c>
      <c r="F217" t="s">
        <v>88</v>
      </c>
      <c r="G217" s="6"/>
      <c r="H217">
        <v>14</v>
      </c>
      <c r="I217" s="6" t="s">
        <v>87</v>
      </c>
      <c r="J217" s="6">
        <v>201109</v>
      </c>
      <c r="L217">
        <f>VLOOKUP($P217,매칭테이블!$G:$J,2,0)*H217</f>
        <v>376600</v>
      </c>
      <c r="M217">
        <f>L217-L217*VLOOKUP($P217,매칭테이블!$G:$J,3,0)</f>
        <v>354568.9</v>
      </c>
      <c r="N217">
        <f>VLOOKUP($P217,매칭테이블!$G:$J,4,0)*H217</f>
        <v>42280</v>
      </c>
      <c r="O217" s="4">
        <f t="shared" ref="O217:O219" si="15">L217/1.1</f>
        <v>342363.63636363635</v>
      </c>
      <c r="P217" t="str">
        <f t="shared" si="13"/>
        <v>카페24샴푸리바이탈 샴푸201109</v>
      </c>
    </row>
    <row r="218" spans="2:16" x14ac:dyDescent="0.3">
      <c r="B218" s="2">
        <v>44161</v>
      </c>
      <c r="C218" t="str">
        <f t="shared" si="1"/>
        <v>목</v>
      </c>
      <c r="E218" s="6" t="s">
        <v>85</v>
      </c>
      <c r="F218" t="s">
        <v>88</v>
      </c>
      <c r="G218" s="6"/>
      <c r="H218">
        <v>10</v>
      </c>
      <c r="I218" s="6" t="s">
        <v>89</v>
      </c>
      <c r="J218" s="6">
        <v>201109</v>
      </c>
      <c r="L218">
        <f>VLOOKUP($P218,매칭테이블!$G:$J,2,0)*H218</f>
        <v>511100</v>
      </c>
      <c r="M218">
        <f>L218-L218*VLOOKUP($P218,매칭테이블!$G:$J,3,0)</f>
        <v>481200.65</v>
      </c>
      <c r="N218">
        <f>VLOOKUP($P218,매칭테이블!$G:$J,4,0)*H218</f>
        <v>60400</v>
      </c>
      <c r="O218" s="4">
        <f t="shared" si="15"/>
        <v>464636.36363636359</v>
      </c>
      <c r="P218" t="str">
        <f t="shared" si="13"/>
        <v>카페24샴푸리바이탈 샴푸 2set201109</v>
      </c>
    </row>
    <row r="219" spans="2:16" x14ac:dyDescent="0.3">
      <c r="B219" s="2">
        <v>44161</v>
      </c>
      <c r="C219" t="str">
        <f t="shared" si="1"/>
        <v>목</v>
      </c>
      <c r="E219" s="6" t="s">
        <v>85</v>
      </c>
      <c r="F219" t="s">
        <v>88</v>
      </c>
      <c r="G219" s="6"/>
      <c r="H219">
        <v>5</v>
      </c>
      <c r="I219" s="6" t="s">
        <v>90</v>
      </c>
      <c r="J219" s="6">
        <v>201109</v>
      </c>
      <c r="L219">
        <f>VLOOKUP($P219,매칭테이블!$G:$J,2,0)*H219</f>
        <v>363150</v>
      </c>
      <c r="M219">
        <f>L219-L219*VLOOKUP($P219,매칭테이블!$G:$J,3,0)</f>
        <v>341905.72499999998</v>
      </c>
      <c r="N219">
        <f>VLOOKUP($P219,매칭테이블!$G:$J,4,0)*H219</f>
        <v>45300</v>
      </c>
      <c r="O219" s="4">
        <f t="shared" si="15"/>
        <v>330136.36363636359</v>
      </c>
      <c r="P219" t="str">
        <f t="shared" si="13"/>
        <v>카페24샴푸리바이탈 샴푸 3set201109</v>
      </c>
    </row>
    <row r="220" spans="2:16" x14ac:dyDescent="0.3">
      <c r="B220" s="2">
        <v>44162</v>
      </c>
      <c r="C220" t="str">
        <f t="shared" si="1"/>
        <v>금</v>
      </c>
      <c r="E220" s="6" t="s">
        <v>85</v>
      </c>
      <c r="F220" t="s">
        <v>88</v>
      </c>
      <c r="G220" s="6"/>
      <c r="H220">
        <v>12</v>
      </c>
      <c r="I220" s="6" t="s">
        <v>87</v>
      </c>
      <c r="J220" s="6">
        <v>201109</v>
      </c>
      <c r="L220">
        <f>VLOOKUP($P220,매칭테이블!$G:$J,2,0)*H220</f>
        <v>322800</v>
      </c>
      <c r="M220">
        <f>L220-L220*VLOOKUP($P220,매칭테이블!$G:$J,3,0)</f>
        <v>303916.2</v>
      </c>
      <c r="N220">
        <f>VLOOKUP($P220,매칭테이블!$G:$J,4,0)*H220</f>
        <v>36240</v>
      </c>
      <c r="O220" s="4">
        <f t="shared" ref="O220:O222" si="16">L220/1.1</f>
        <v>293454.54545454541</v>
      </c>
      <c r="P220" t="str">
        <f t="shared" si="13"/>
        <v>카페24샴푸리바이탈 샴푸201109</v>
      </c>
    </row>
    <row r="221" spans="2:16" x14ac:dyDescent="0.3">
      <c r="B221" s="2">
        <v>44162</v>
      </c>
      <c r="C221" t="str">
        <f t="shared" si="1"/>
        <v>금</v>
      </c>
      <c r="E221" s="6" t="s">
        <v>85</v>
      </c>
      <c r="F221" t="s">
        <v>88</v>
      </c>
      <c r="G221" s="6"/>
      <c r="H221">
        <v>8</v>
      </c>
      <c r="I221" s="6" t="s">
        <v>89</v>
      </c>
      <c r="J221" s="6">
        <v>201109</v>
      </c>
      <c r="L221">
        <f>VLOOKUP($P221,매칭테이블!$G:$J,2,0)*H221</f>
        <v>408880</v>
      </c>
      <c r="M221">
        <f>L221-L221*VLOOKUP($P221,매칭테이블!$G:$J,3,0)</f>
        <v>384960.52</v>
      </c>
      <c r="N221">
        <f>VLOOKUP($P221,매칭테이블!$G:$J,4,0)*H221</f>
        <v>48320</v>
      </c>
      <c r="O221" s="4">
        <f t="shared" si="16"/>
        <v>371709.09090909088</v>
      </c>
      <c r="P221" t="str">
        <f t="shared" si="13"/>
        <v>카페24샴푸리바이탈 샴푸 2set201109</v>
      </c>
    </row>
    <row r="222" spans="2:16" x14ac:dyDescent="0.3">
      <c r="B222" s="2">
        <v>44162</v>
      </c>
      <c r="C222" t="str">
        <f t="shared" si="1"/>
        <v>금</v>
      </c>
      <c r="E222" s="6" t="s">
        <v>85</v>
      </c>
      <c r="F222" t="s">
        <v>88</v>
      </c>
      <c r="G222" s="6"/>
      <c r="H222">
        <v>4</v>
      </c>
      <c r="I222" s="6" t="s">
        <v>90</v>
      </c>
      <c r="J222" s="6">
        <v>201109</v>
      </c>
      <c r="L222">
        <f>VLOOKUP($P222,매칭테이블!$G:$J,2,0)*H222</f>
        <v>290520</v>
      </c>
      <c r="M222">
        <f>L222-L222*VLOOKUP($P222,매칭테이블!$G:$J,3,0)</f>
        <v>273524.58</v>
      </c>
      <c r="N222">
        <f>VLOOKUP($P222,매칭테이블!$G:$J,4,0)*H222</f>
        <v>36240</v>
      </c>
      <c r="O222" s="4">
        <f t="shared" si="16"/>
        <v>264109.09090909088</v>
      </c>
      <c r="P222" t="str">
        <f t="shared" si="13"/>
        <v>카페24샴푸리바이탈 샴푸 3set201109</v>
      </c>
    </row>
    <row r="223" spans="2:16" x14ac:dyDescent="0.3">
      <c r="B223" s="2">
        <v>44163</v>
      </c>
      <c r="C223" t="str">
        <f t="shared" si="1"/>
        <v>토</v>
      </c>
      <c r="E223" s="6" t="s">
        <v>85</v>
      </c>
      <c r="F223" t="s">
        <v>88</v>
      </c>
      <c r="G223" s="6"/>
      <c r="H223">
        <v>17</v>
      </c>
      <c r="I223" s="6" t="s">
        <v>87</v>
      </c>
      <c r="J223" s="6">
        <v>201109</v>
      </c>
      <c r="L223">
        <f>VLOOKUP($P223,매칭테이블!$G:$J,2,0)*H223</f>
        <v>457300</v>
      </c>
      <c r="M223">
        <f>L223-L223*VLOOKUP($P223,매칭테이블!$G:$J,3,0)</f>
        <v>430547.95</v>
      </c>
      <c r="N223">
        <f>VLOOKUP($P223,매칭테이블!$G:$J,4,0)*H223</f>
        <v>51340</v>
      </c>
      <c r="O223" s="4">
        <f t="shared" ref="O223:O225" si="17">L223/1.1</f>
        <v>415727.27272727271</v>
      </c>
      <c r="P223" t="str">
        <f t="shared" si="13"/>
        <v>카페24샴푸리바이탈 샴푸201109</v>
      </c>
    </row>
    <row r="224" spans="2:16" x14ac:dyDescent="0.3">
      <c r="B224" s="2">
        <v>44163</v>
      </c>
      <c r="C224" t="str">
        <f t="shared" si="1"/>
        <v>토</v>
      </c>
      <c r="E224" s="6" t="s">
        <v>85</v>
      </c>
      <c r="F224" t="s">
        <v>88</v>
      </c>
      <c r="G224" s="6"/>
      <c r="H224">
        <v>7</v>
      </c>
      <c r="I224" s="6" t="s">
        <v>89</v>
      </c>
      <c r="J224" s="6">
        <v>201109</v>
      </c>
      <c r="L224">
        <f>VLOOKUP($P224,매칭테이블!$G:$J,2,0)*H224</f>
        <v>357770</v>
      </c>
      <c r="M224">
        <f>L224-L224*VLOOKUP($P224,매칭테이블!$G:$J,3,0)</f>
        <v>336840.45500000002</v>
      </c>
      <c r="N224">
        <f>VLOOKUP($P224,매칭테이블!$G:$J,4,0)*H224</f>
        <v>42280</v>
      </c>
      <c r="O224" s="4">
        <f t="shared" si="17"/>
        <v>325245.45454545453</v>
      </c>
      <c r="P224" t="str">
        <f t="shared" si="13"/>
        <v>카페24샴푸리바이탈 샴푸 2set201109</v>
      </c>
    </row>
    <row r="225" spans="2:16" x14ac:dyDescent="0.3">
      <c r="B225" s="2">
        <v>44163</v>
      </c>
      <c r="C225" t="str">
        <f t="shared" si="1"/>
        <v>토</v>
      </c>
      <c r="E225" s="6" t="s">
        <v>85</v>
      </c>
      <c r="F225" t="s">
        <v>88</v>
      </c>
      <c r="G225" s="6"/>
      <c r="H225">
        <v>2</v>
      </c>
      <c r="I225" s="6" t="s">
        <v>90</v>
      </c>
      <c r="J225" s="6">
        <v>201109</v>
      </c>
      <c r="L225">
        <f>VLOOKUP($P225,매칭테이블!$G:$J,2,0)*H225</f>
        <v>145260</v>
      </c>
      <c r="M225">
        <f>L225-L225*VLOOKUP($P225,매칭테이블!$G:$J,3,0)</f>
        <v>136762.29</v>
      </c>
      <c r="N225">
        <f>VLOOKUP($P225,매칭테이블!$G:$J,4,0)*H225</f>
        <v>18120</v>
      </c>
      <c r="O225" s="4">
        <f t="shared" si="17"/>
        <v>132054.54545454544</v>
      </c>
      <c r="P225" t="str">
        <f t="shared" si="13"/>
        <v>카페24샴푸리바이탈 샴푸 3set201109</v>
      </c>
    </row>
    <row r="226" spans="2:16" x14ac:dyDescent="0.3">
      <c r="B226" s="2">
        <v>44164</v>
      </c>
      <c r="C226" t="str">
        <f t="shared" si="1"/>
        <v>일</v>
      </c>
      <c r="E226" s="6" t="s">
        <v>85</v>
      </c>
      <c r="F226" t="s">
        <v>88</v>
      </c>
      <c r="G226" s="6"/>
      <c r="H226">
        <v>21</v>
      </c>
      <c r="I226" s="6" t="s">
        <v>87</v>
      </c>
      <c r="J226" s="6">
        <v>201109</v>
      </c>
      <c r="L226">
        <f>VLOOKUP($P226,매칭테이블!$G:$J,2,0)*H226</f>
        <v>564900</v>
      </c>
      <c r="M226">
        <f>L226-L226*VLOOKUP($P226,매칭테이블!$G:$J,3,0)</f>
        <v>531853.35</v>
      </c>
      <c r="N226">
        <f>VLOOKUP($P226,매칭테이블!$G:$J,4,0)*H226</f>
        <v>63420</v>
      </c>
      <c r="O226" s="4">
        <f t="shared" ref="O226:O228" si="18">L226/1.1</f>
        <v>513545.45454545453</v>
      </c>
      <c r="P226" t="str">
        <f t="shared" si="13"/>
        <v>카페24샴푸리바이탈 샴푸201109</v>
      </c>
    </row>
    <row r="227" spans="2:16" x14ac:dyDescent="0.3">
      <c r="B227" s="2">
        <v>44164</v>
      </c>
      <c r="C227" t="str">
        <f t="shared" si="1"/>
        <v>일</v>
      </c>
      <c r="E227" s="6" t="s">
        <v>85</v>
      </c>
      <c r="F227" t="s">
        <v>88</v>
      </c>
      <c r="G227" s="6"/>
      <c r="H227">
        <v>19</v>
      </c>
      <c r="I227" s="6" t="s">
        <v>89</v>
      </c>
      <c r="J227" s="6">
        <v>201109</v>
      </c>
      <c r="L227">
        <f>VLOOKUP($P227,매칭테이블!$G:$J,2,0)*H227</f>
        <v>971090</v>
      </c>
      <c r="M227">
        <f>L227-L227*VLOOKUP($P227,매칭테이블!$G:$J,3,0)</f>
        <v>914281.23499999999</v>
      </c>
      <c r="N227">
        <f>VLOOKUP($P227,매칭테이블!$G:$J,4,0)*H227</f>
        <v>114760</v>
      </c>
      <c r="O227" s="4">
        <f t="shared" si="18"/>
        <v>882809.09090909082</v>
      </c>
      <c r="P227" t="str">
        <f t="shared" si="13"/>
        <v>카페24샴푸리바이탈 샴푸 2set201109</v>
      </c>
    </row>
    <row r="228" spans="2:16" x14ac:dyDescent="0.3">
      <c r="B228" s="2">
        <v>44164</v>
      </c>
      <c r="C228" t="str">
        <f t="shared" si="1"/>
        <v>일</v>
      </c>
      <c r="E228" s="6" t="s">
        <v>85</v>
      </c>
      <c r="F228" t="s">
        <v>88</v>
      </c>
      <c r="G228" s="6"/>
      <c r="H228">
        <v>5</v>
      </c>
      <c r="I228" s="6" t="s">
        <v>90</v>
      </c>
      <c r="J228" s="6">
        <v>201109</v>
      </c>
      <c r="L228">
        <f>VLOOKUP($P228,매칭테이블!$G:$J,2,0)*H228</f>
        <v>363150</v>
      </c>
      <c r="M228">
        <f>L228-L228*VLOOKUP($P228,매칭테이블!$G:$J,3,0)</f>
        <v>341905.72499999998</v>
      </c>
      <c r="N228">
        <f>VLOOKUP($P228,매칭테이블!$G:$J,4,0)*H228</f>
        <v>45300</v>
      </c>
      <c r="O228" s="4">
        <f t="shared" si="18"/>
        <v>330136.36363636359</v>
      </c>
      <c r="P228" t="str">
        <f t="shared" si="13"/>
        <v>카페24샴푸리바이탈 샴푸 3set201109</v>
      </c>
    </row>
    <row r="229" spans="2:16" x14ac:dyDescent="0.3">
      <c r="B229" s="2">
        <v>44165</v>
      </c>
      <c r="C229" t="str">
        <f t="shared" si="1"/>
        <v>월</v>
      </c>
      <c r="E229" s="6" t="s">
        <v>85</v>
      </c>
      <c r="F229" t="s">
        <v>88</v>
      </c>
      <c r="G229" s="6"/>
      <c r="H229">
        <v>18</v>
      </c>
      <c r="I229" s="6" t="s">
        <v>87</v>
      </c>
      <c r="J229" s="6">
        <v>201109</v>
      </c>
      <c r="L229">
        <f>VLOOKUP($P229,매칭테이블!$G:$J,2,0)*H229</f>
        <v>484200</v>
      </c>
      <c r="M229">
        <f>L229-L229*VLOOKUP($P229,매칭테이블!$G:$J,3,0)</f>
        <v>455874.3</v>
      </c>
      <c r="N229">
        <f>VLOOKUP($P229,매칭테이블!$G:$J,4,0)*H229</f>
        <v>54360</v>
      </c>
      <c r="O229" s="4">
        <f t="shared" ref="O229:O231" si="19">L229/1.1</f>
        <v>440181.81818181812</v>
      </c>
      <c r="P229" t="str">
        <f t="shared" si="13"/>
        <v>카페24샴푸리바이탈 샴푸201109</v>
      </c>
    </row>
    <row r="230" spans="2:16" x14ac:dyDescent="0.3">
      <c r="B230" s="2">
        <v>44165</v>
      </c>
      <c r="C230" t="str">
        <f t="shared" si="1"/>
        <v>월</v>
      </c>
      <c r="E230" s="6" t="s">
        <v>85</v>
      </c>
      <c r="F230" t="s">
        <v>88</v>
      </c>
      <c r="G230" s="6"/>
      <c r="H230">
        <v>15</v>
      </c>
      <c r="I230" s="6" t="s">
        <v>89</v>
      </c>
      <c r="J230" s="6">
        <v>201109</v>
      </c>
      <c r="L230">
        <f>VLOOKUP($P230,매칭테이블!$G:$J,2,0)*H230</f>
        <v>766650</v>
      </c>
      <c r="M230">
        <f>L230-L230*VLOOKUP($P230,매칭테이블!$G:$J,3,0)</f>
        <v>721800.97499999998</v>
      </c>
      <c r="N230">
        <f>VLOOKUP($P230,매칭테이블!$G:$J,4,0)*H230</f>
        <v>90600</v>
      </c>
      <c r="O230" s="4">
        <f t="shared" si="19"/>
        <v>696954.54545454541</v>
      </c>
      <c r="P230" t="str">
        <f t="shared" si="13"/>
        <v>카페24샴푸리바이탈 샴푸 2set201109</v>
      </c>
    </row>
    <row r="231" spans="2:16" x14ac:dyDescent="0.3">
      <c r="B231" s="2">
        <v>44165</v>
      </c>
      <c r="C231" t="str">
        <f t="shared" si="1"/>
        <v>월</v>
      </c>
      <c r="E231" s="6" t="s">
        <v>85</v>
      </c>
      <c r="F231" t="s">
        <v>88</v>
      </c>
      <c r="G231" s="6"/>
      <c r="H231">
        <v>11</v>
      </c>
      <c r="I231" s="6" t="s">
        <v>90</v>
      </c>
      <c r="J231" s="6">
        <v>201109</v>
      </c>
      <c r="L231">
        <f>VLOOKUP($P231,매칭테이블!$G:$J,2,0)*H231</f>
        <v>798930</v>
      </c>
      <c r="M231">
        <f>L231-L231*VLOOKUP($P231,매칭테이블!$G:$J,3,0)</f>
        <v>752192.59499999997</v>
      </c>
      <c r="N231">
        <f>VLOOKUP($P231,매칭테이블!$G:$J,4,0)*H231</f>
        <v>99660</v>
      </c>
      <c r="O231" s="4">
        <f t="shared" si="19"/>
        <v>726299.99999999988</v>
      </c>
      <c r="P231" t="str">
        <f t="shared" si="13"/>
        <v>카페24샴푸리바이탈 샴푸 3set201109</v>
      </c>
    </row>
    <row r="232" spans="2:16" x14ac:dyDescent="0.3">
      <c r="B232" s="2">
        <v>44166</v>
      </c>
      <c r="C232" t="str">
        <f t="shared" si="1"/>
        <v>화</v>
      </c>
      <c r="E232" s="17" t="str">
        <f>INDEX(매칭테이블!C:C,MATCH(RD!G232,매칭테이블!D:D,0))</f>
        <v>샴푸</v>
      </c>
      <c r="F232" t="s">
        <v>91</v>
      </c>
      <c r="G232" s="6" t="s">
        <v>92</v>
      </c>
      <c r="H232">
        <v>29</v>
      </c>
      <c r="I232" s="17" t="str">
        <f>VLOOKUP(G232,매칭테이블!D:E,2,0)</f>
        <v>리바이탈 샴푸</v>
      </c>
      <c r="J232">
        <v>201210</v>
      </c>
      <c r="L232" s="19">
        <f>VLOOKUP($P232,매칭테이블!$G:$J,2,0)*H232</f>
        <v>780100</v>
      </c>
      <c r="M232" s="19">
        <f>L232-L232*VLOOKUP($P232,매칭테이블!$G:$J,3,0)</f>
        <v>734464.15</v>
      </c>
      <c r="N232" s="19">
        <f>VLOOKUP($P232,매칭테이블!$G:$J,4,0)*H232</f>
        <v>87580</v>
      </c>
      <c r="O232" s="20">
        <f t="shared" ref="O232" si="20">L232/1.1</f>
        <v>709181.81818181812</v>
      </c>
      <c r="P232" s="19" t="str">
        <f t="shared" ref="P232:P295" si="21">F232&amp;E232&amp;G232&amp;J232</f>
        <v>카페24샴푸HAIR RÉ:COVERY 15 Revital Shampoo [라베나 리커버리 15 리바이탈 샴푸]제품선택=헤어 리커버리 15 리바이탈 샴푸 - 500ml201210</v>
      </c>
    </row>
    <row r="233" spans="2:16" x14ac:dyDescent="0.3">
      <c r="B233" s="2">
        <v>44166</v>
      </c>
      <c r="C233" t="str">
        <f t="shared" ref="C233:C234" si="22">TEXT(B233,"aaa")</f>
        <v>화</v>
      </c>
      <c r="E233" s="17" t="str">
        <f>INDEX(매칭테이블!C:C,MATCH(RD!G233,매칭테이블!D:D,0))</f>
        <v>샴푸</v>
      </c>
      <c r="F233" t="s">
        <v>91</v>
      </c>
      <c r="G233" s="6" t="s">
        <v>93</v>
      </c>
      <c r="H233">
        <v>15</v>
      </c>
      <c r="I233" s="17" t="str">
        <f>VLOOKUP(G233,매칭테이블!D:E,2,0)</f>
        <v>리바이탈 샴푸</v>
      </c>
      <c r="J233">
        <v>201210</v>
      </c>
      <c r="L233" s="19">
        <f>VLOOKUP($P233,매칭테이블!$G:$J,2,0)*H233</f>
        <v>766650</v>
      </c>
      <c r="M233" s="19">
        <f>L233-L233*VLOOKUP($P233,매칭테이블!$G:$J,3,0)</f>
        <v>721800.97499999998</v>
      </c>
      <c r="N233" s="19">
        <f>VLOOKUP($P233,매칭테이블!$G:$J,4,0)*H233</f>
        <v>90600</v>
      </c>
      <c r="O233" s="20">
        <f t="shared" ref="O233:O234" si="23">L233/1.1</f>
        <v>696954.54545454541</v>
      </c>
      <c r="P233" s="19" t="str">
        <f t="shared" si="21"/>
        <v>카페24샴푸HAIR RÉ:COVERY 15 Revital Shampoo [라베나 리커버리 15 리바이탈 샴푸]제품선택=리바이탈 샴푸 2개 세트 5%추가할인201210</v>
      </c>
    </row>
    <row r="234" spans="2:16" x14ac:dyDescent="0.3">
      <c r="B234" s="2">
        <v>44166</v>
      </c>
      <c r="C234" t="str">
        <f t="shared" si="22"/>
        <v>화</v>
      </c>
      <c r="E234" s="17" t="str">
        <f>INDEX(매칭테이블!C:C,MATCH(RD!G234,매칭테이블!D:D,0))</f>
        <v>샴푸</v>
      </c>
      <c r="F234" t="s">
        <v>91</v>
      </c>
      <c r="G234" s="6" t="s">
        <v>94</v>
      </c>
      <c r="H234">
        <v>7</v>
      </c>
      <c r="I234" s="17" t="str">
        <f>VLOOKUP(G234,매칭테이블!D:E,2,0)</f>
        <v>리바이탈 샴푸 3set</v>
      </c>
      <c r="J234">
        <v>201210</v>
      </c>
      <c r="L234" s="19">
        <f>VLOOKUP($P234,매칭테이블!$G:$J,2,0)*H234</f>
        <v>508410</v>
      </c>
      <c r="M234" s="19">
        <f>L234-L234*VLOOKUP($P234,매칭테이블!$G:$J,3,0)</f>
        <v>478668.01500000001</v>
      </c>
      <c r="N234" s="19">
        <f>VLOOKUP($P234,매칭테이블!$G:$J,4,0)*H234</f>
        <v>63420</v>
      </c>
      <c r="O234" s="20">
        <f t="shared" si="23"/>
        <v>462190.90909090906</v>
      </c>
      <c r="P234" s="19" t="str">
        <f t="shared" si="21"/>
        <v>카페24샴푸HAIR RÉ:COVERY 15 Revital Shampoo [라베나 리커버리 15 리바이탈 샴푸]제품선택=리바이탈 샴푸 3개 세트 10% 추가할인201210</v>
      </c>
    </row>
    <row r="235" spans="2:16" x14ac:dyDescent="0.3">
      <c r="B235" s="2">
        <v>44167</v>
      </c>
      <c r="C235" t="str">
        <f t="shared" ref="C235" si="24">TEXT(B235,"aaa")</f>
        <v>수</v>
      </c>
      <c r="E235" s="17" t="str">
        <f>INDEX(매칭테이블!C:C,MATCH(RD!G235,매칭테이블!D:D,0))</f>
        <v>샴푸</v>
      </c>
      <c r="F235" t="s">
        <v>91</v>
      </c>
      <c r="G235" s="6" t="s">
        <v>92</v>
      </c>
      <c r="H235">
        <v>29</v>
      </c>
      <c r="I235" s="17" t="str">
        <f>VLOOKUP(G235,매칭테이블!D:E,2,0)</f>
        <v>리바이탈 샴푸</v>
      </c>
      <c r="J235">
        <v>201210</v>
      </c>
      <c r="L235" s="19">
        <f>VLOOKUP($P235,매칭테이블!$G:$J,2,0)*H235</f>
        <v>780100</v>
      </c>
      <c r="M235" s="19">
        <f>L235-L235*VLOOKUP($P235,매칭테이블!$G:$J,3,0)</f>
        <v>734464.15</v>
      </c>
      <c r="N235" s="19">
        <f>VLOOKUP($P235,매칭테이블!$G:$J,4,0)*H235</f>
        <v>87580</v>
      </c>
      <c r="O235" s="20">
        <f t="shared" ref="O235:O237" si="25">L235/1.1</f>
        <v>709181.81818181812</v>
      </c>
      <c r="P235" s="19" t="str">
        <f t="shared" si="21"/>
        <v>카페24샴푸HAIR RÉ:COVERY 15 Revital Shampoo [라베나 리커버리 15 리바이탈 샴푸]제품선택=헤어 리커버리 15 리바이탈 샴푸 - 500ml201210</v>
      </c>
    </row>
    <row r="236" spans="2:16" x14ac:dyDescent="0.3">
      <c r="B236" s="2">
        <v>44167</v>
      </c>
      <c r="C236" t="str">
        <f t="shared" ref="C236:C238" si="26">TEXT(B236,"aaa")</f>
        <v>수</v>
      </c>
      <c r="E236" s="17" t="str">
        <f>INDEX(매칭테이블!C:C,MATCH(RD!G236,매칭테이블!D:D,0))</f>
        <v>샴푸</v>
      </c>
      <c r="F236" t="s">
        <v>91</v>
      </c>
      <c r="G236" s="6" t="s">
        <v>93</v>
      </c>
      <c r="H236">
        <v>10</v>
      </c>
      <c r="I236" s="17" t="str">
        <f>VLOOKUP(G236,매칭테이블!D:E,2,0)</f>
        <v>리바이탈 샴푸</v>
      </c>
      <c r="J236">
        <v>201210</v>
      </c>
      <c r="L236" s="19">
        <f>VLOOKUP($P236,매칭테이블!$G:$J,2,0)*H236</f>
        <v>511100</v>
      </c>
      <c r="M236" s="19">
        <f>L236-L236*VLOOKUP($P236,매칭테이블!$G:$J,3,0)</f>
        <v>481200.65</v>
      </c>
      <c r="N236" s="19">
        <f>VLOOKUP($P236,매칭테이블!$G:$J,4,0)*H236</f>
        <v>60400</v>
      </c>
      <c r="O236" s="20">
        <f t="shared" si="25"/>
        <v>464636.36363636359</v>
      </c>
      <c r="P236" s="19" t="str">
        <f t="shared" si="21"/>
        <v>카페24샴푸HAIR RÉ:COVERY 15 Revital Shampoo [라베나 리커버리 15 리바이탈 샴푸]제품선택=리바이탈 샴푸 2개 세트 5%추가할인201210</v>
      </c>
    </row>
    <row r="237" spans="2:16" x14ac:dyDescent="0.3">
      <c r="B237" s="2">
        <v>44167</v>
      </c>
      <c r="C237" t="str">
        <f t="shared" si="26"/>
        <v>수</v>
      </c>
      <c r="E237" s="17" t="str">
        <f>INDEX(매칭테이블!C:C,MATCH(RD!G237,매칭테이블!D:D,0))</f>
        <v>샴푸</v>
      </c>
      <c r="F237" t="s">
        <v>91</v>
      </c>
      <c r="G237" s="6" t="s">
        <v>94</v>
      </c>
      <c r="H237">
        <v>5</v>
      </c>
      <c r="I237" s="17" t="str">
        <f>VLOOKUP(G237,매칭테이블!D:E,2,0)</f>
        <v>리바이탈 샴푸 3set</v>
      </c>
      <c r="J237">
        <v>201210</v>
      </c>
      <c r="L237" s="19">
        <f>VLOOKUP($P237,매칭테이블!$G:$J,2,0)*H237</f>
        <v>363150</v>
      </c>
      <c r="M237" s="19">
        <f>L237-L237*VLOOKUP($P237,매칭테이블!$G:$J,3,0)</f>
        <v>341905.72499999998</v>
      </c>
      <c r="N237" s="19">
        <f>VLOOKUP($P237,매칭테이블!$G:$J,4,0)*H237</f>
        <v>45300</v>
      </c>
      <c r="O237" s="20">
        <f t="shared" si="25"/>
        <v>330136.36363636359</v>
      </c>
      <c r="P237" s="19" t="str">
        <f t="shared" si="21"/>
        <v>카페24샴푸HAIR RÉ:COVERY 15 Revital Shampoo [라베나 리커버리 15 리바이탈 샴푸]제품선택=리바이탈 샴푸 3개 세트 10% 추가할인201210</v>
      </c>
    </row>
    <row r="238" spans="2:16" x14ac:dyDescent="0.3">
      <c r="B238" s="2">
        <v>44168</v>
      </c>
      <c r="C238" t="str">
        <f t="shared" si="26"/>
        <v>목</v>
      </c>
      <c r="E238" s="17" t="str">
        <f>INDEX(매칭테이블!C:C,MATCH(RD!G238,매칭테이블!D:D,0))</f>
        <v>샴푸</v>
      </c>
      <c r="F238" t="s">
        <v>91</v>
      </c>
      <c r="G238" s="6" t="s">
        <v>92</v>
      </c>
      <c r="H238">
        <v>23</v>
      </c>
      <c r="I238" s="17" t="str">
        <f>VLOOKUP(G238,매칭테이블!D:E,2,0)</f>
        <v>리바이탈 샴푸</v>
      </c>
      <c r="J238">
        <v>201210</v>
      </c>
      <c r="L238" s="19">
        <f>VLOOKUP($P238,매칭테이블!$G:$J,2,0)*H238</f>
        <v>618700</v>
      </c>
      <c r="M238" s="19">
        <f>L238-L238*VLOOKUP($P238,매칭테이블!$G:$J,3,0)</f>
        <v>582506.05000000005</v>
      </c>
      <c r="N238" s="19">
        <f>VLOOKUP($P238,매칭테이블!$G:$J,4,0)*H238</f>
        <v>69460</v>
      </c>
      <c r="O238" s="20">
        <f t="shared" ref="O238:O240" si="27">L238/1.1</f>
        <v>562454.54545454541</v>
      </c>
      <c r="P238" s="19" t="str">
        <f t="shared" si="21"/>
        <v>카페24샴푸HAIR RÉ:COVERY 15 Revital Shampoo [라베나 리커버리 15 리바이탈 샴푸]제품선택=헤어 리커버리 15 리바이탈 샴푸 - 500ml201210</v>
      </c>
    </row>
    <row r="239" spans="2:16" x14ac:dyDescent="0.3">
      <c r="B239" s="2">
        <v>44168</v>
      </c>
      <c r="C239" t="str">
        <f t="shared" ref="C239:C240" si="28">TEXT(B239,"aaa")</f>
        <v>목</v>
      </c>
      <c r="E239" s="17" t="str">
        <f>INDEX(매칭테이블!C:C,MATCH(RD!G239,매칭테이블!D:D,0))</f>
        <v>샴푸</v>
      </c>
      <c r="F239" t="s">
        <v>91</v>
      </c>
      <c r="G239" s="6" t="s">
        <v>93</v>
      </c>
      <c r="H239">
        <v>10</v>
      </c>
      <c r="I239" s="17" t="str">
        <f>VLOOKUP(G239,매칭테이블!D:E,2,0)</f>
        <v>리바이탈 샴푸</v>
      </c>
      <c r="J239">
        <v>201210</v>
      </c>
      <c r="L239" s="19">
        <f>VLOOKUP($P239,매칭테이블!$G:$J,2,0)*H239</f>
        <v>511100</v>
      </c>
      <c r="M239" s="19">
        <f>L239-L239*VLOOKUP($P239,매칭테이블!$G:$J,3,0)</f>
        <v>481200.65</v>
      </c>
      <c r="N239" s="19">
        <f>VLOOKUP($P239,매칭테이블!$G:$J,4,0)*H239</f>
        <v>60400</v>
      </c>
      <c r="O239" s="20">
        <f t="shared" si="27"/>
        <v>464636.36363636359</v>
      </c>
      <c r="P239" s="19" t="str">
        <f t="shared" si="21"/>
        <v>카페24샴푸HAIR RÉ:COVERY 15 Revital Shampoo [라베나 리커버리 15 리바이탈 샴푸]제품선택=리바이탈 샴푸 2개 세트 5%추가할인201210</v>
      </c>
    </row>
    <row r="240" spans="2:16" x14ac:dyDescent="0.3">
      <c r="B240" s="2">
        <v>44168</v>
      </c>
      <c r="C240" t="str">
        <f t="shared" si="28"/>
        <v>목</v>
      </c>
      <c r="E240" s="17" t="str">
        <f>INDEX(매칭테이블!C:C,MATCH(RD!G240,매칭테이블!D:D,0))</f>
        <v>샴푸</v>
      </c>
      <c r="F240" t="s">
        <v>91</v>
      </c>
      <c r="G240" s="6" t="s">
        <v>94</v>
      </c>
      <c r="H240">
        <v>12</v>
      </c>
      <c r="I240" s="17" t="str">
        <f>VLOOKUP(G240,매칭테이블!D:E,2,0)</f>
        <v>리바이탈 샴푸 3set</v>
      </c>
      <c r="J240">
        <v>201210</v>
      </c>
      <c r="L240" s="19">
        <f>VLOOKUP($P240,매칭테이블!$G:$J,2,0)*H240</f>
        <v>871560</v>
      </c>
      <c r="M240" s="19">
        <f>L240-L240*VLOOKUP($P240,매칭테이블!$G:$J,3,0)</f>
        <v>820573.74</v>
      </c>
      <c r="N240" s="19">
        <f>VLOOKUP($P240,매칭테이블!$G:$J,4,0)*H240</f>
        <v>108720</v>
      </c>
      <c r="O240" s="20">
        <f t="shared" si="27"/>
        <v>792327.27272727271</v>
      </c>
      <c r="P240" s="19" t="str">
        <f t="shared" si="21"/>
        <v>카페24샴푸HAIR RÉ:COVERY 15 Revital Shampoo [라베나 리커버리 15 리바이탈 샴푸]제품선택=리바이탈 샴푸 3개 세트 10% 추가할인201210</v>
      </c>
    </row>
    <row r="241" spans="2:16" x14ac:dyDescent="0.3">
      <c r="B241" s="2">
        <v>44169</v>
      </c>
      <c r="C241" t="str">
        <f t="shared" ref="C241" si="29">TEXT(B241,"aaa")</f>
        <v>금</v>
      </c>
      <c r="E241" s="17" t="str">
        <f>INDEX(매칭테이블!C:C,MATCH(RD!G241,매칭테이블!D:D,0))</f>
        <v>샴푸</v>
      </c>
      <c r="F241" t="s">
        <v>95</v>
      </c>
      <c r="G241" s="6" t="s">
        <v>92</v>
      </c>
      <c r="H241">
        <v>1</v>
      </c>
      <c r="I241" s="17" t="str">
        <f>VLOOKUP(G241,매칭테이블!D:E,2,0)</f>
        <v>리바이탈 샴푸</v>
      </c>
      <c r="J241">
        <v>201210</v>
      </c>
      <c r="L241" s="19">
        <f>VLOOKUP($P241,매칭테이블!$G:$J,2,0)*H241</f>
        <v>0</v>
      </c>
      <c r="M241" s="19">
        <f>L241-L241*VLOOKUP($P241,매칭테이블!$G:$J,3,0)</f>
        <v>0</v>
      </c>
      <c r="N241" s="19">
        <f>VLOOKUP($P241,매칭테이블!$G:$J,4,0)*H241</f>
        <v>3020</v>
      </c>
      <c r="O241" s="20">
        <f t="shared" ref="O241:O244" si="30">L241/1.1</f>
        <v>0</v>
      </c>
      <c r="P241" s="19" t="str">
        <f t="shared" si="21"/>
        <v>라베나 CS샴푸HAIR RÉ:COVERY 15 Revital Shampoo [라베나 리커버리 15 리바이탈 샴푸]제품선택=헤어 리커버리 15 리바이탈 샴푸 - 500ml201210</v>
      </c>
    </row>
    <row r="242" spans="2:16" x14ac:dyDescent="0.3">
      <c r="B242" s="2">
        <v>44169</v>
      </c>
      <c r="C242" t="str">
        <f t="shared" ref="C242:C245" si="31">TEXT(B242,"aaa")</f>
        <v>금</v>
      </c>
      <c r="E242" s="17" t="str">
        <f>INDEX(매칭테이블!C:C,MATCH(RD!G242,매칭테이블!D:D,0))</f>
        <v>샴푸</v>
      </c>
      <c r="F242" t="s">
        <v>91</v>
      </c>
      <c r="G242" s="6" t="s">
        <v>92</v>
      </c>
      <c r="H242">
        <v>22</v>
      </c>
      <c r="I242" s="17" t="str">
        <f>VLOOKUP(G242,매칭테이블!D:E,2,0)</f>
        <v>리바이탈 샴푸</v>
      </c>
      <c r="J242">
        <v>201210</v>
      </c>
      <c r="L242" s="19">
        <f>VLOOKUP($P242,매칭테이블!$G:$J,2,0)*H242</f>
        <v>591800</v>
      </c>
      <c r="M242" s="19">
        <f>L242-L242*VLOOKUP($P242,매칭테이블!$G:$J,3,0)</f>
        <v>557179.69999999995</v>
      </c>
      <c r="N242" s="19">
        <f>VLOOKUP($P242,매칭테이블!$G:$J,4,0)*H242</f>
        <v>66440</v>
      </c>
      <c r="O242" s="20">
        <f t="shared" si="30"/>
        <v>538000</v>
      </c>
      <c r="P242" s="19" t="str">
        <f t="shared" si="21"/>
        <v>카페24샴푸HAIR RÉ:COVERY 15 Revital Shampoo [라베나 리커버리 15 리바이탈 샴푸]제품선택=헤어 리커버리 15 리바이탈 샴푸 - 500ml201210</v>
      </c>
    </row>
    <row r="243" spans="2:16" x14ac:dyDescent="0.3">
      <c r="B243" s="2">
        <v>44169</v>
      </c>
      <c r="C243" t="str">
        <f t="shared" si="31"/>
        <v>금</v>
      </c>
      <c r="E243" s="17" t="str">
        <f>INDEX(매칭테이블!C:C,MATCH(RD!G243,매칭테이블!D:D,0))</f>
        <v>샴푸</v>
      </c>
      <c r="F243" t="s">
        <v>91</v>
      </c>
      <c r="G243" s="6" t="s">
        <v>93</v>
      </c>
      <c r="H243">
        <v>8</v>
      </c>
      <c r="I243" s="17" t="str">
        <f>VLOOKUP(G243,매칭테이블!D:E,2,0)</f>
        <v>리바이탈 샴푸</v>
      </c>
      <c r="J243">
        <v>201210</v>
      </c>
      <c r="L243" s="19">
        <f>VLOOKUP($P243,매칭테이블!$G:$J,2,0)*H243</f>
        <v>408880</v>
      </c>
      <c r="M243" s="19">
        <f>L243-L243*VLOOKUP($P243,매칭테이블!$G:$J,3,0)</f>
        <v>384960.52</v>
      </c>
      <c r="N243" s="19">
        <f>VLOOKUP($P243,매칭테이블!$G:$J,4,0)*H243</f>
        <v>48320</v>
      </c>
      <c r="O243" s="20">
        <f t="shared" si="30"/>
        <v>371709.09090909088</v>
      </c>
      <c r="P243" s="19" t="str">
        <f t="shared" si="21"/>
        <v>카페24샴푸HAIR RÉ:COVERY 15 Revital Shampoo [라베나 리커버리 15 리바이탈 샴푸]제품선택=리바이탈 샴푸 2개 세트 5%추가할인201210</v>
      </c>
    </row>
    <row r="244" spans="2:16" x14ac:dyDescent="0.3">
      <c r="B244" s="2">
        <v>44169</v>
      </c>
      <c r="C244" t="str">
        <f t="shared" si="31"/>
        <v>금</v>
      </c>
      <c r="E244" s="17" t="str">
        <f>INDEX(매칭테이블!C:C,MATCH(RD!G244,매칭테이블!D:D,0))</f>
        <v>샴푸</v>
      </c>
      <c r="F244" t="s">
        <v>91</v>
      </c>
      <c r="G244" s="6" t="s">
        <v>94</v>
      </c>
      <c r="H244">
        <v>6</v>
      </c>
      <c r="I244" s="17" t="str">
        <f>VLOOKUP(G244,매칭테이블!D:E,2,0)</f>
        <v>리바이탈 샴푸 3set</v>
      </c>
      <c r="J244">
        <v>201210</v>
      </c>
      <c r="L244" s="19">
        <f>VLOOKUP($P244,매칭테이블!$G:$J,2,0)*H244</f>
        <v>435780</v>
      </c>
      <c r="M244" s="19">
        <f>L244-L244*VLOOKUP($P244,매칭테이블!$G:$J,3,0)</f>
        <v>410286.87</v>
      </c>
      <c r="N244" s="19">
        <f>VLOOKUP($P244,매칭테이블!$G:$J,4,0)*H244</f>
        <v>54360</v>
      </c>
      <c r="O244" s="20">
        <f t="shared" si="30"/>
        <v>396163.63636363635</v>
      </c>
      <c r="P244" s="19" t="str">
        <f t="shared" si="21"/>
        <v>카페24샴푸HAIR RÉ:COVERY 15 Revital Shampoo [라베나 리커버리 15 리바이탈 샴푸]제품선택=리바이탈 샴푸 3개 세트 10% 추가할인201210</v>
      </c>
    </row>
    <row r="245" spans="2:16" x14ac:dyDescent="0.3">
      <c r="B245" s="2">
        <v>44170</v>
      </c>
      <c r="C245" t="str">
        <f t="shared" si="31"/>
        <v>토</v>
      </c>
      <c r="E245" s="17" t="str">
        <f>INDEX(매칭테이블!C:C,MATCH(RD!G245,매칭테이블!D:D,0))</f>
        <v>샴푸</v>
      </c>
      <c r="F245" t="s">
        <v>95</v>
      </c>
      <c r="G245" s="6" t="s">
        <v>93</v>
      </c>
      <c r="H245">
        <v>1</v>
      </c>
      <c r="I245" s="17" t="str">
        <f>VLOOKUP(G245,매칭테이블!D:E,2,0)</f>
        <v>리바이탈 샴푸</v>
      </c>
      <c r="J245">
        <v>201210</v>
      </c>
      <c r="L245" s="19">
        <f>VLOOKUP($P245,매칭테이블!$G:$J,2,0)*H245</f>
        <v>0</v>
      </c>
      <c r="M245" s="19">
        <f>L245-L245*VLOOKUP($P245,매칭테이블!$G:$J,3,0)</f>
        <v>0</v>
      </c>
      <c r="N245" s="19">
        <f>VLOOKUP($P245,매칭테이블!$G:$J,4,0)*H245</f>
        <v>6040</v>
      </c>
      <c r="O245" s="20">
        <f t="shared" ref="O245:O248" si="32">L245/1.1</f>
        <v>0</v>
      </c>
      <c r="P245" s="19" t="str">
        <f t="shared" si="21"/>
        <v>라베나 CS샴푸HAIR RÉ:COVERY 15 Revital Shampoo [라베나 리커버리 15 리바이탈 샴푸]제품선택=리바이탈 샴푸 2개 세트 5%추가할인201210</v>
      </c>
    </row>
    <row r="246" spans="2:16" x14ac:dyDescent="0.3">
      <c r="B246" s="2">
        <v>44170</v>
      </c>
      <c r="C246" t="str">
        <f t="shared" ref="C246:C249" si="33">TEXT(B246,"aaa")</f>
        <v>토</v>
      </c>
      <c r="E246" s="17" t="str">
        <f>INDEX(매칭테이블!C:C,MATCH(RD!G246,매칭테이블!D:D,0))</f>
        <v>샴푸</v>
      </c>
      <c r="F246" t="s">
        <v>91</v>
      </c>
      <c r="G246" s="6" t="s">
        <v>96</v>
      </c>
      <c r="H246">
        <v>25</v>
      </c>
      <c r="I246" s="17" t="str">
        <f>VLOOKUP(G246,매칭테이블!D:E,2,0)</f>
        <v>리바이탈 샴푸</v>
      </c>
      <c r="J246">
        <v>201210</v>
      </c>
      <c r="L246" s="19">
        <f>VLOOKUP($P246,매칭테이블!$G:$J,2,0)*H246</f>
        <v>672500</v>
      </c>
      <c r="M246" s="19">
        <f>L246-L246*VLOOKUP($P246,매칭테이블!$G:$J,3,0)</f>
        <v>633158.75</v>
      </c>
      <c r="N246" s="19">
        <f>VLOOKUP($P246,매칭테이블!$G:$J,4,0)*H246</f>
        <v>75500</v>
      </c>
      <c r="O246" s="20">
        <f t="shared" si="32"/>
        <v>611363.63636363635</v>
      </c>
      <c r="P246" s="19" t="str">
        <f t="shared" si="21"/>
        <v>카페24샴푸HAIR RÉ:COVERY 15 Revital Shampoo [라베나 리커버리 15 리바이탈 샴푸]제품선택=헤어 리커버리 15 리바이탈 샴푸 - 500ml201210</v>
      </c>
    </row>
    <row r="247" spans="2:16" x14ac:dyDescent="0.3">
      <c r="B247" s="2">
        <v>44170</v>
      </c>
      <c r="C247" t="str">
        <f t="shared" si="33"/>
        <v>토</v>
      </c>
      <c r="E247" s="17" t="str">
        <f>INDEX(매칭테이블!C:C,MATCH(RD!G247,매칭테이블!D:D,0))</f>
        <v>샴푸</v>
      </c>
      <c r="F247" t="s">
        <v>91</v>
      </c>
      <c r="G247" s="6" t="s">
        <v>93</v>
      </c>
      <c r="H247">
        <v>17</v>
      </c>
      <c r="I247" s="17" t="str">
        <f>VLOOKUP(G247,매칭테이블!D:E,2,0)</f>
        <v>리바이탈 샴푸</v>
      </c>
      <c r="J247">
        <v>201210</v>
      </c>
      <c r="L247" s="19">
        <f>VLOOKUP($P247,매칭테이블!$G:$J,2,0)*H247</f>
        <v>868870</v>
      </c>
      <c r="M247" s="19">
        <f>L247-L247*VLOOKUP($P247,매칭테이블!$G:$J,3,0)</f>
        <v>818041.10499999998</v>
      </c>
      <c r="N247" s="19">
        <f>VLOOKUP($P247,매칭테이블!$G:$J,4,0)*H247</f>
        <v>102680</v>
      </c>
      <c r="O247" s="20">
        <f t="shared" si="32"/>
        <v>789881.81818181812</v>
      </c>
      <c r="P247" s="19" t="str">
        <f t="shared" si="21"/>
        <v>카페24샴푸HAIR RÉ:COVERY 15 Revital Shampoo [라베나 리커버리 15 리바이탈 샴푸]제품선택=리바이탈 샴푸 2개 세트 5%추가할인201210</v>
      </c>
    </row>
    <row r="248" spans="2:16" x14ac:dyDescent="0.3">
      <c r="B248" s="2">
        <v>44170</v>
      </c>
      <c r="C248" t="str">
        <f t="shared" si="33"/>
        <v>토</v>
      </c>
      <c r="E248" s="17" t="str">
        <f>INDEX(매칭테이블!C:C,MATCH(RD!G248,매칭테이블!D:D,0))</f>
        <v>샴푸</v>
      </c>
      <c r="F248" t="s">
        <v>91</v>
      </c>
      <c r="G248" s="6" t="s">
        <v>94</v>
      </c>
      <c r="H248">
        <v>14</v>
      </c>
      <c r="I248" s="17" t="str">
        <f>VLOOKUP(G248,매칭테이블!D:E,2,0)</f>
        <v>리바이탈 샴푸 3set</v>
      </c>
      <c r="J248">
        <v>201210</v>
      </c>
      <c r="L248" s="19">
        <f>VLOOKUP($P248,매칭테이블!$G:$J,2,0)*H248</f>
        <v>1016820</v>
      </c>
      <c r="M248" s="19">
        <f>L248-L248*VLOOKUP($P248,매칭테이블!$G:$J,3,0)</f>
        <v>957336.03</v>
      </c>
      <c r="N248" s="19">
        <f>VLOOKUP($P248,매칭테이블!$G:$J,4,0)*H248</f>
        <v>126840</v>
      </c>
      <c r="O248" s="20">
        <f t="shared" si="32"/>
        <v>924381.81818181812</v>
      </c>
      <c r="P248" s="19" t="str">
        <f t="shared" si="21"/>
        <v>카페24샴푸HAIR RÉ:COVERY 15 Revital Shampoo [라베나 리커버리 15 리바이탈 샴푸]제품선택=리바이탈 샴푸 3개 세트 10% 추가할인201210</v>
      </c>
    </row>
    <row r="249" spans="2:16" x14ac:dyDescent="0.3">
      <c r="B249" s="2">
        <v>44171</v>
      </c>
      <c r="C249" t="str">
        <f t="shared" si="33"/>
        <v>일</v>
      </c>
      <c r="E249" s="17" t="str">
        <f>INDEX(매칭테이블!C:C,MATCH(RD!G249,매칭테이블!D:D,0))</f>
        <v>샴푸</v>
      </c>
      <c r="F249" t="s">
        <v>91</v>
      </c>
      <c r="G249" s="6" t="s">
        <v>92</v>
      </c>
      <c r="H249">
        <v>33</v>
      </c>
      <c r="I249" s="17" t="str">
        <f>VLOOKUP(G249,매칭테이블!D:E,2,0)</f>
        <v>리바이탈 샴푸</v>
      </c>
      <c r="J249">
        <v>201210</v>
      </c>
      <c r="L249" s="19">
        <f>VLOOKUP($P249,매칭테이블!$G:$J,2,0)*H249</f>
        <v>887700</v>
      </c>
      <c r="M249" s="19">
        <f>L249-L249*VLOOKUP($P249,매칭테이블!$G:$J,3,0)</f>
        <v>835769.55</v>
      </c>
      <c r="N249" s="19">
        <f>VLOOKUP($P249,매칭테이블!$G:$J,4,0)*H249</f>
        <v>99660</v>
      </c>
      <c r="O249" s="20">
        <f t="shared" ref="O249:O251" si="34">L249/1.1</f>
        <v>806999.99999999988</v>
      </c>
      <c r="P249" s="19" t="str">
        <f t="shared" si="21"/>
        <v>카페24샴푸HAIR RÉ:COVERY 15 Revital Shampoo [라베나 리커버리 15 리바이탈 샴푸]제품선택=헤어 리커버리 15 리바이탈 샴푸 - 500ml201210</v>
      </c>
    </row>
    <row r="250" spans="2:16" x14ac:dyDescent="0.3">
      <c r="B250" s="2">
        <v>44171</v>
      </c>
      <c r="C250" t="str">
        <f t="shared" ref="C250:C252" si="35">TEXT(B250,"aaa")</f>
        <v>일</v>
      </c>
      <c r="E250" s="17" t="str">
        <f>INDEX(매칭테이블!C:C,MATCH(RD!G250,매칭테이블!D:D,0))</f>
        <v>샴푸</v>
      </c>
      <c r="F250" t="s">
        <v>91</v>
      </c>
      <c r="G250" s="6" t="s">
        <v>93</v>
      </c>
      <c r="H250">
        <v>14</v>
      </c>
      <c r="I250" s="17" t="str">
        <f>VLOOKUP(G250,매칭테이블!D:E,2,0)</f>
        <v>리바이탈 샴푸</v>
      </c>
      <c r="J250">
        <v>201210</v>
      </c>
      <c r="L250" s="19">
        <f>VLOOKUP($P250,매칭테이블!$G:$J,2,0)*H250</f>
        <v>715540</v>
      </c>
      <c r="M250" s="19">
        <f>L250-L250*VLOOKUP($P250,매칭테이블!$G:$J,3,0)</f>
        <v>673680.91</v>
      </c>
      <c r="N250" s="19">
        <f>VLOOKUP($P250,매칭테이블!$G:$J,4,0)*H250</f>
        <v>84560</v>
      </c>
      <c r="O250" s="20">
        <f t="shared" si="34"/>
        <v>650490.90909090906</v>
      </c>
      <c r="P250" s="19" t="str">
        <f t="shared" si="21"/>
        <v>카페24샴푸HAIR RÉ:COVERY 15 Revital Shampoo [라베나 리커버리 15 리바이탈 샴푸]제품선택=리바이탈 샴푸 2개 세트 5%추가할인201210</v>
      </c>
    </row>
    <row r="251" spans="2:16" x14ac:dyDescent="0.3">
      <c r="B251" s="2">
        <v>44171</v>
      </c>
      <c r="C251" t="str">
        <f t="shared" si="35"/>
        <v>일</v>
      </c>
      <c r="E251" s="17" t="str">
        <f>INDEX(매칭테이블!C:C,MATCH(RD!G251,매칭테이블!D:D,0))</f>
        <v>샴푸</v>
      </c>
      <c r="F251" t="s">
        <v>91</v>
      </c>
      <c r="G251" s="6" t="s">
        <v>94</v>
      </c>
      <c r="H251">
        <v>10</v>
      </c>
      <c r="I251" s="17" t="str">
        <f>VLOOKUP(G251,매칭테이블!D:E,2,0)</f>
        <v>리바이탈 샴푸 3set</v>
      </c>
      <c r="J251">
        <v>201210</v>
      </c>
      <c r="L251" s="19">
        <f>VLOOKUP($P251,매칭테이블!$G:$J,2,0)*H251</f>
        <v>726300</v>
      </c>
      <c r="M251" s="19">
        <f>L251-L251*VLOOKUP($P251,매칭테이블!$G:$J,3,0)</f>
        <v>683811.45</v>
      </c>
      <c r="N251" s="19">
        <f>VLOOKUP($P251,매칭테이블!$G:$J,4,0)*H251</f>
        <v>90600</v>
      </c>
      <c r="O251" s="20">
        <f t="shared" si="34"/>
        <v>660272.72727272718</v>
      </c>
      <c r="P251" s="19" t="str">
        <f t="shared" si="21"/>
        <v>카페24샴푸HAIR RÉ:COVERY 15 Revital Shampoo [라베나 리커버리 15 리바이탈 샴푸]제품선택=리바이탈 샴푸 3개 세트 10% 추가할인201210</v>
      </c>
    </row>
    <row r="252" spans="2:16" x14ac:dyDescent="0.3">
      <c r="B252" s="2">
        <v>44172</v>
      </c>
      <c r="C252" t="str">
        <f t="shared" si="35"/>
        <v>월</v>
      </c>
      <c r="E252" s="17" t="str">
        <f>INDEX(매칭테이블!C:C,MATCH(RD!G252,매칭테이블!D:D,0))</f>
        <v>샴푸</v>
      </c>
      <c r="F252" t="s">
        <v>95</v>
      </c>
      <c r="G252" s="6" t="s">
        <v>92</v>
      </c>
      <c r="H252">
        <v>1</v>
      </c>
      <c r="I252" s="17" t="str">
        <f>VLOOKUP(G252,매칭테이블!D:E,2,0)</f>
        <v>리바이탈 샴푸</v>
      </c>
      <c r="J252">
        <v>201210</v>
      </c>
      <c r="L252" s="19">
        <f>VLOOKUP($P252,매칭테이블!$G:$J,2,0)*H252</f>
        <v>0</v>
      </c>
      <c r="M252" s="19">
        <f>L252-L252*VLOOKUP($P252,매칭테이블!$G:$J,3,0)</f>
        <v>0</v>
      </c>
      <c r="N252" s="19">
        <f>VLOOKUP($P252,매칭테이블!$G:$J,4,0)*H252</f>
        <v>3020</v>
      </c>
      <c r="O252" s="20">
        <f t="shared" ref="O252:O256" si="36">L252/1.1</f>
        <v>0</v>
      </c>
      <c r="P252" s="19" t="str">
        <f t="shared" si="21"/>
        <v>라베나 CS샴푸HAIR RÉ:COVERY 15 Revital Shampoo [라베나 리커버리 15 리바이탈 샴푸]제품선택=헤어 리커버리 15 리바이탈 샴푸 - 500ml201210</v>
      </c>
    </row>
    <row r="253" spans="2:16" x14ac:dyDescent="0.3">
      <c r="B253" s="2">
        <v>44172</v>
      </c>
      <c r="C253" t="str">
        <f t="shared" ref="C253:C256" si="37">TEXT(B253,"aaa")</f>
        <v>월</v>
      </c>
      <c r="E253" s="17" t="str">
        <f>INDEX(매칭테이블!C:C,MATCH(RD!G253,매칭테이블!D:D,0))</f>
        <v>트리트먼트</v>
      </c>
      <c r="F253" t="s">
        <v>95</v>
      </c>
      <c r="G253" s="6" t="s">
        <v>97</v>
      </c>
      <c r="H253">
        <v>90</v>
      </c>
      <c r="I253" s="17" t="str">
        <f>VLOOKUP(G253,매칭테이블!D:E,2,0)</f>
        <v>트리트먼트</v>
      </c>
      <c r="J253">
        <v>201210</v>
      </c>
      <c r="L253" s="19">
        <f>VLOOKUP($P253,매칭테이블!$G:$J,2,0)*H253</f>
        <v>0</v>
      </c>
      <c r="M253" s="19">
        <f>L253-L253*VLOOKUP($P253,매칭테이블!$G:$J,3,0)</f>
        <v>0</v>
      </c>
      <c r="N253" s="19">
        <f>VLOOKUP($P253,매칭테이블!$G:$J,4,0)*H253</f>
        <v>143730</v>
      </c>
      <c r="O253" s="20">
        <f t="shared" si="36"/>
        <v>0</v>
      </c>
      <c r="P253" s="19" t="str">
        <f t="shared" si="21"/>
        <v>라베나 CS트리트먼트헤어 리커버리 15 헤어팩 트리트먼트201210</v>
      </c>
    </row>
    <row r="254" spans="2:16" x14ac:dyDescent="0.3">
      <c r="B254" s="2">
        <v>44172</v>
      </c>
      <c r="C254" t="str">
        <f t="shared" si="37"/>
        <v>월</v>
      </c>
      <c r="E254" s="17" t="str">
        <f>INDEX(매칭테이블!C:C,MATCH(RD!G254,매칭테이블!D:D,0))</f>
        <v>샴푸</v>
      </c>
      <c r="F254" t="s">
        <v>91</v>
      </c>
      <c r="G254" s="6" t="s">
        <v>92</v>
      </c>
      <c r="H254">
        <v>30</v>
      </c>
      <c r="I254" s="17" t="str">
        <f>VLOOKUP(G254,매칭테이블!D:E,2,0)</f>
        <v>리바이탈 샴푸</v>
      </c>
      <c r="J254">
        <v>201210</v>
      </c>
      <c r="L254" s="19">
        <f>VLOOKUP($P254,매칭테이블!$G:$J,2,0)*H254</f>
        <v>807000</v>
      </c>
      <c r="M254" s="19">
        <f>L254-L254*VLOOKUP($P254,매칭테이블!$G:$J,3,0)</f>
        <v>759790.5</v>
      </c>
      <c r="N254" s="19">
        <f>VLOOKUP($P254,매칭테이블!$G:$J,4,0)*H254</f>
        <v>90600</v>
      </c>
      <c r="O254" s="20">
        <f t="shared" si="36"/>
        <v>733636.36363636353</v>
      </c>
      <c r="P254" s="19" t="str">
        <f t="shared" si="21"/>
        <v>카페24샴푸HAIR RÉ:COVERY 15 Revital Shampoo [라베나 리커버리 15 리바이탈 샴푸]제품선택=헤어 리커버리 15 리바이탈 샴푸 - 500ml201210</v>
      </c>
    </row>
    <row r="255" spans="2:16" x14ac:dyDescent="0.3">
      <c r="B255" s="2">
        <v>44172</v>
      </c>
      <c r="C255" t="str">
        <f t="shared" si="37"/>
        <v>월</v>
      </c>
      <c r="E255" s="17" t="str">
        <f>INDEX(매칭테이블!C:C,MATCH(RD!G255,매칭테이블!D:D,0))</f>
        <v>샴푸</v>
      </c>
      <c r="F255" t="s">
        <v>91</v>
      </c>
      <c r="G255" s="6" t="s">
        <v>93</v>
      </c>
      <c r="H255">
        <v>9</v>
      </c>
      <c r="I255" s="17" t="str">
        <f>VLOOKUP(G255,매칭테이블!D:E,2,0)</f>
        <v>리바이탈 샴푸</v>
      </c>
      <c r="J255">
        <v>201210</v>
      </c>
      <c r="L255" s="19">
        <f>VLOOKUP($P255,매칭테이블!$G:$J,2,0)*H255</f>
        <v>459990</v>
      </c>
      <c r="M255" s="19">
        <f>L255-L255*VLOOKUP($P255,매칭테이블!$G:$J,3,0)</f>
        <v>433080.58500000002</v>
      </c>
      <c r="N255" s="19">
        <f>VLOOKUP($P255,매칭테이블!$G:$J,4,0)*H255</f>
        <v>54360</v>
      </c>
      <c r="O255" s="20">
        <f t="shared" si="36"/>
        <v>418172.72727272724</v>
      </c>
      <c r="P255" s="19" t="str">
        <f t="shared" si="21"/>
        <v>카페24샴푸HAIR RÉ:COVERY 15 Revital Shampoo [라베나 리커버리 15 리바이탈 샴푸]제품선택=리바이탈 샴푸 2개 세트 5%추가할인201210</v>
      </c>
    </row>
    <row r="256" spans="2:16" x14ac:dyDescent="0.3">
      <c r="B256" s="2">
        <v>44172</v>
      </c>
      <c r="C256" t="str">
        <f t="shared" si="37"/>
        <v>월</v>
      </c>
      <c r="E256" s="17" t="str">
        <f>INDEX(매칭테이블!C:C,MATCH(RD!G256,매칭테이블!D:D,0))</f>
        <v>샴푸</v>
      </c>
      <c r="F256" t="s">
        <v>91</v>
      </c>
      <c r="G256" s="6" t="s">
        <v>94</v>
      </c>
      <c r="H256">
        <v>5</v>
      </c>
      <c r="I256" s="17" t="str">
        <f>VLOOKUP(G256,매칭테이블!D:E,2,0)</f>
        <v>리바이탈 샴푸 3set</v>
      </c>
      <c r="J256">
        <v>201210</v>
      </c>
      <c r="L256" s="19">
        <f>VLOOKUP($P256,매칭테이블!$G:$J,2,0)*H256</f>
        <v>363150</v>
      </c>
      <c r="M256" s="19">
        <f>L256-L256*VLOOKUP($P256,매칭테이블!$G:$J,3,0)</f>
        <v>341905.72499999998</v>
      </c>
      <c r="N256" s="19">
        <f>VLOOKUP($P256,매칭테이블!$G:$J,4,0)*H256</f>
        <v>45300</v>
      </c>
      <c r="O256" s="20">
        <f t="shared" si="36"/>
        <v>330136.36363636359</v>
      </c>
      <c r="P256" s="19" t="str">
        <f t="shared" si="21"/>
        <v>카페24샴푸HAIR RÉ:COVERY 15 Revital Shampoo [라베나 리커버리 15 리바이탈 샴푸]제품선택=리바이탈 샴푸 3개 세트 10% 추가할인201210</v>
      </c>
    </row>
    <row r="257" spans="2:16" x14ac:dyDescent="0.3">
      <c r="B257" s="2">
        <v>44173</v>
      </c>
      <c r="C257" t="str">
        <f t="shared" ref="C257" si="38">TEXT(B257,"aaa")</f>
        <v>화</v>
      </c>
      <c r="E257" s="17" t="str">
        <f>INDEX(매칭테이블!C:C,MATCH(RD!G257,매칭테이블!D:D,0))</f>
        <v>트리트먼트</v>
      </c>
      <c r="F257" t="s">
        <v>91</v>
      </c>
      <c r="G257" s="6" t="s">
        <v>98</v>
      </c>
      <c r="H257">
        <v>5</v>
      </c>
      <c r="I257" s="17" t="str">
        <f>VLOOKUP(G257,매칭테이블!D:E,2,0)</f>
        <v>트리트먼트</v>
      </c>
      <c r="J257">
        <v>201210</v>
      </c>
      <c r="L257" s="19">
        <f>VLOOKUP($P257,매칭테이블!$G:$J,2,0)*H257</f>
        <v>110550</v>
      </c>
      <c r="M257" s="19">
        <f>L257-L257*VLOOKUP($P257,매칭테이블!$G:$J,3,0)</f>
        <v>104082.825</v>
      </c>
      <c r="N257" s="19">
        <f>VLOOKUP($P257,매칭테이블!$G:$J,4,0)*H257</f>
        <v>7985</v>
      </c>
      <c r="O257" s="20">
        <f t="shared" ref="O257:O269" si="39">L257/1.1</f>
        <v>100499.99999999999</v>
      </c>
      <c r="P257" s="19" t="str">
        <f t="shared" si="21"/>
        <v>카페24트리트먼트(플친전용)HAIR RÉ:COVERY 15 Hairpack Treatment [헤어 리커버리 15 헤어팩 트리트먼트]제품선택=헤어 리커버리 15 헤어팩 트리트먼트201210</v>
      </c>
    </row>
    <row r="258" spans="2:16" x14ac:dyDescent="0.3">
      <c r="B258" s="2">
        <v>44173</v>
      </c>
      <c r="C258" t="str">
        <f t="shared" ref="C258:C269" si="40">TEXT(B258,"aaa")</f>
        <v>화</v>
      </c>
      <c r="E258" s="17" t="str">
        <f>INDEX(매칭테이블!C:C,MATCH(RD!G258,매칭테이블!D:D,0))</f>
        <v>트리트먼트</v>
      </c>
      <c r="F258" t="s">
        <v>91</v>
      </c>
      <c r="G258" s="6" t="s">
        <v>99</v>
      </c>
      <c r="H258">
        <v>3</v>
      </c>
      <c r="I258" s="17" t="str">
        <f>VLOOKUP(G258,매칭테이블!D:E,2,0)</f>
        <v>트리트먼트 2set</v>
      </c>
      <c r="J258">
        <v>201210</v>
      </c>
      <c r="L258" s="19">
        <f>VLOOKUP($P258,매칭테이블!$G:$J,2,0)*H258</f>
        <v>132660</v>
      </c>
      <c r="M258" s="19">
        <f>L258-L258*VLOOKUP($P258,매칭테이블!$G:$J,3,0)</f>
        <v>124899.39</v>
      </c>
      <c r="N258" s="19">
        <f>VLOOKUP($P258,매칭테이블!$G:$J,4,0)*H258</f>
        <v>9582</v>
      </c>
      <c r="O258" s="20">
        <f t="shared" si="39"/>
        <v>120599.99999999999</v>
      </c>
      <c r="P258" s="19" t="str">
        <f t="shared" si="21"/>
        <v>카페24트리트먼트(플친전용)HAIR RÉ:COVERY 15 Hairpack Treatment [헤어 리커버리 15 헤어팩 트리트먼트]제품선택=헤어팩 트리트먼트 2개 세트201210</v>
      </c>
    </row>
    <row r="259" spans="2:16" x14ac:dyDescent="0.3">
      <c r="B259" s="2">
        <v>44173</v>
      </c>
      <c r="C259" t="str">
        <f t="shared" si="40"/>
        <v>화</v>
      </c>
      <c r="E259" s="17" t="str">
        <f>INDEX(매칭테이블!C:C,MATCH(RD!G259,매칭테이블!D:D,0))</f>
        <v>트리트먼트</v>
      </c>
      <c r="F259" t="s">
        <v>91</v>
      </c>
      <c r="G259" s="6" t="s">
        <v>100</v>
      </c>
      <c r="H259">
        <v>1</v>
      </c>
      <c r="I259" s="17" t="str">
        <f>VLOOKUP(G259,매칭테이블!D:E,2,0)</f>
        <v>트리트먼트 3set</v>
      </c>
      <c r="J259">
        <v>201210</v>
      </c>
      <c r="L259" s="19">
        <f>VLOOKUP($P259,매칭테이블!$G:$J,2,0)*H259</f>
        <v>66330</v>
      </c>
      <c r="M259" s="19">
        <f>L259-L259*VLOOKUP($P259,매칭테이블!$G:$J,3,0)</f>
        <v>62449.695</v>
      </c>
      <c r="N259" s="19">
        <f>VLOOKUP($P259,매칭테이블!$G:$J,4,0)*H259</f>
        <v>4791</v>
      </c>
      <c r="O259" s="20">
        <f t="shared" si="39"/>
        <v>60299.999999999993</v>
      </c>
      <c r="P259" s="19" t="str">
        <f t="shared" si="21"/>
        <v>카페24트리트먼트(플친전용)HAIR RÉ:COVERY 15 Hairpack Treatment [헤어 리커버리 15 헤어팩 트리트먼트]제품선택=헤어팩 트리트먼트 3개 세트201210</v>
      </c>
    </row>
    <row r="260" spans="2:16" x14ac:dyDescent="0.3">
      <c r="B260" s="2">
        <v>44173</v>
      </c>
      <c r="C260" t="str">
        <f t="shared" si="40"/>
        <v>화</v>
      </c>
      <c r="E260" s="17" t="str">
        <f>INDEX(매칭테이블!C:C,MATCH(RD!G260,매칭테이블!D:D,0))</f>
        <v>트리트먼트</v>
      </c>
      <c r="F260" t="s">
        <v>91</v>
      </c>
      <c r="G260" s="6" t="s">
        <v>101</v>
      </c>
      <c r="H260">
        <v>3</v>
      </c>
      <c r="I260" s="17" t="str">
        <f>VLOOKUP(G260,매칭테이블!D:E,2,0)</f>
        <v>트리트먼트+뉴트리셔스밤</v>
      </c>
      <c r="J260">
        <v>201210</v>
      </c>
      <c r="L260" s="19">
        <f>VLOOKUP($P260,매칭테이블!$G:$J,2,0)*H260</f>
        <v>129198</v>
      </c>
      <c r="M260" s="19">
        <f>L260-L260*VLOOKUP($P260,매칭테이블!$G:$J,3,0)</f>
        <v>121639.917</v>
      </c>
      <c r="N260" s="19">
        <f>VLOOKUP($P260,매칭테이블!$G:$J,4,0)*H260</f>
        <v>9531</v>
      </c>
      <c r="O260" s="20">
        <f t="shared" si="39"/>
        <v>117452.72727272726</v>
      </c>
      <c r="P260" s="19" t="str">
        <f t="shared" si="21"/>
        <v>카페24트리트먼트(플친전용)HAIR RÉ:COVERY 15 Hairpack Treatment [헤어 리커버리 15 헤어팩 트리트먼트]제품선택=헤어팩 트리트먼트 1개 + 뉴트리셔스 밤 1개 세트201210</v>
      </c>
    </row>
    <row r="261" spans="2:16" x14ac:dyDescent="0.3">
      <c r="B261" s="2">
        <v>44173</v>
      </c>
      <c r="C261" t="str">
        <f t="shared" si="40"/>
        <v>화</v>
      </c>
      <c r="E261" s="17" t="str">
        <f>INDEX(매칭테이블!C:C,MATCH(RD!G261,매칭테이블!D:D,0))</f>
        <v>뉴트리셔스밤</v>
      </c>
      <c r="F261" t="s">
        <v>91</v>
      </c>
      <c r="G261" s="6" t="s">
        <v>102</v>
      </c>
      <c r="H261">
        <v>2</v>
      </c>
      <c r="I261" s="17" t="str">
        <f>VLOOKUP(G261,매칭테이블!D:E,2,0)</f>
        <v>뉴트리셔스밤</v>
      </c>
      <c r="J261">
        <v>201210</v>
      </c>
      <c r="L261" s="19">
        <f>VLOOKUP($P261,매칭테이블!$G:$J,2,0)*H261</f>
        <v>41912</v>
      </c>
      <c r="M261" s="19">
        <f>L261-L261*VLOOKUP($P261,매칭테이블!$G:$J,3,0)</f>
        <v>39460.148000000001</v>
      </c>
      <c r="N261" s="19">
        <f>VLOOKUP($P261,매칭테이블!$G:$J,4,0)*H261</f>
        <v>3160</v>
      </c>
      <c r="O261" s="20">
        <f t="shared" si="39"/>
        <v>38101.818181818177</v>
      </c>
      <c r="P261" s="19" t="str">
        <f t="shared" si="21"/>
        <v>카페24뉴트리셔스밤(플친전용)HAIR RÉ:COVERY 15 Nutritious Balm [헤어 리커버리 15 뉴트리셔스 밤]제품선택=헤어 리커버리 15 뉴트리셔스 밤201210</v>
      </c>
    </row>
    <row r="262" spans="2:16" x14ac:dyDescent="0.3">
      <c r="B262" s="2">
        <v>44173</v>
      </c>
      <c r="C262" t="str">
        <f t="shared" si="40"/>
        <v>화</v>
      </c>
      <c r="E262" s="17" t="str">
        <f>INDEX(매칭테이블!C:C,MATCH(RD!G262,매칭테이블!D:D,0))</f>
        <v>뉴트리셔스밤</v>
      </c>
      <c r="F262" t="s">
        <v>91</v>
      </c>
      <c r="G262" s="6" t="s">
        <v>103</v>
      </c>
      <c r="H262">
        <v>1</v>
      </c>
      <c r="I262" s="17" t="str">
        <f>VLOOKUP(G262,매칭테이블!D:E,2,0)</f>
        <v>뉴트리셔스밤 3set</v>
      </c>
      <c r="J262">
        <v>201210</v>
      </c>
      <c r="L262" s="19">
        <f>VLOOKUP($P262,매칭테이블!$G:$J,2,0)*H262</f>
        <v>62868</v>
      </c>
      <c r="M262" s="19">
        <f>L262-L262*VLOOKUP($P262,매칭테이블!$G:$J,3,0)</f>
        <v>59190.222000000002</v>
      </c>
      <c r="N262" s="19">
        <f>VLOOKUP($P262,매칭테이블!$G:$J,4,0)*H262</f>
        <v>4740</v>
      </c>
      <c r="O262" s="20">
        <f t="shared" si="39"/>
        <v>57152.727272727265</v>
      </c>
      <c r="P262" s="19" t="str">
        <f t="shared" si="21"/>
        <v>카페24뉴트리셔스밤(플친전용)HAIR RÉ:COVERY 15 Nutritious Balm [헤어 리커버리 15 뉴트리셔스 밤]제품선택=뉴트리셔스 밤 3개 세트201210</v>
      </c>
    </row>
    <row r="263" spans="2:16" x14ac:dyDescent="0.3">
      <c r="B263" s="2">
        <v>44173</v>
      </c>
      <c r="C263" t="str">
        <f t="shared" si="40"/>
        <v>화</v>
      </c>
      <c r="E263" s="17" t="str">
        <f>INDEX(매칭테이블!C:C,MATCH(RD!G263,매칭테이블!D:D,0))</f>
        <v>트리트먼트</v>
      </c>
      <c r="F263" t="s">
        <v>91</v>
      </c>
      <c r="G263" s="6" t="s">
        <v>104</v>
      </c>
      <c r="H263">
        <v>5</v>
      </c>
      <c r="I263" s="17" t="str">
        <f>VLOOKUP(G263,매칭테이블!D:E,2,0)</f>
        <v>트리트먼트</v>
      </c>
      <c r="J263">
        <v>201210</v>
      </c>
      <c r="L263" s="19">
        <f>VLOOKUP($P263,매칭테이블!$G:$J,2,0)*H263</f>
        <v>130000</v>
      </c>
      <c r="M263" s="19">
        <f>L263-L263*VLOOKUP($P263,매칭테이블!$G:$J,3,0)</f>
        <v>122395</v>
      </c>
      <c r="N263" s="19">
        <f>VLOOKUP($P263,매칭테이블!$G:$J,4,0)*H263</f>
        <v>7985</v>
      </c>
      <c r="O263" s="20">
        <f t="shared" si="39"/>
        <v>118181.81818181818</v>
      </c>
      <c r="P263" s="19" t="str">
        <f t="shared" si="21"/>
        <v>카페24트리트먼트HAIR RÉ:COVERY 15 Hairpack Treatment [헤어 리커버리 15 헤어팩 트리트먼트]제품선택=헤어 리커버리 15 헤어팩 트리트먼트201210</v>
      </c>
    </row>
    <row r="264" spans="2:16" x14ac:dyDescent="0.3">
      <c r="B264" s="2">
        <v>44173</v>
      </c>
      <c r="C264" t="str">
        <f t="shared" si="40"/>
        <v>화</v>
      </c>
      <c r="E264" s="17" t="str">
        <f>INDEX(매칭테이블!C:C,MATCH(RD!G264,매칭테이블!D:D,0))</f>
        <v>트리트먼트</v>
      </c>
      <c r="F264" t="s">
        <v>91</v>
      </c>
      <c r="G264" s="6" t="s">
        <v>105</v>
      </c>
      <c r="H264">
        <v>1</v>
      </c>
      <c r="I264" s="17" t="str">
        <f>VLOOKUP(G264,매칭테이블!D:E,2,0)</f>
        <v>트리트먼트+뉴트리셔스밤</v>
      </c>
      <c r="J264">
        <v>201210</v>
      </c>
      <c r="L264" s="19">
        <f>VLOOKUP($P264,매칭테이블!$G:$J,2,0)*H264</f>
        <v>48355</v>
      </c>
      <c r="M264" s="19">
        <f>L264-L264*VLOOKUP($P264,매칭테이블!$G:$J,3,0)</f>
        <v>45526.232499999998</v>
      </c>
      <c r="N264" s="19">
        <f>VLOOKUP($P264,매칭테이블!$G:$J,4,0)*H264</f>
        <v>3177</v>
      </c>
      <c r="O264" s="20">
        <f t="shared" si="39"/>
        <v>43959.090909090904</v>
      </c>
      <c r="P264" s="19" t="str">
        <f t="shared" si="21"/>
        <v>카페24트리트먼트HAIR RÉ:COVERY 15 Hairpack Treatment [헤어 리커버리 15 헤어팩 트리트먼트]제품선택=헤어팩 트리트먼트 1개 + 뉴트리셔스밤 1개 세트 5% 추가할인201210</v>
      </c>
    </row>
    <row r="265" spans="2:16" x14ac:dyDescent="0.3">
      <c r="B265" s="2">
        <v>44173</v>
      </c>
      <c r="C265" t="str">
        <f t="shared" si="40"/>
        <v>화</v>
      </c>
      <c r="E265" s="17" t="str">
        <f>INDEX(매칭테이블!C:C,MATCH(RD!G265,매칭테이블!D:D,0))</f>
        <v>뉴트리셔스밤</v>
      </c>
      <c r="F265" t="s">
        <v>91</v>
      </c>
      <c r="G265" s="6" t="s">
        <v>106</v>
      </c>
      <c r="H265">
        <v>2</v>
      </c>
      <c r="I265" s="17" t="str">
        <f>VLOOKUP(G265,매칭테이블!D:E,2,0)</f>
        <v>뉴트리셔스밤</v>
      </c>
      <c r="J265">
        <v>201210</v>
      </c>
      <c r="L265" s="19">
        <f>VLOOKUP($P265,매칭테이블!$G:$J,2,0)*H265</f>
        <v>49800</v>
      </c>
      <c r="M265" s="19">
        <f>L265-L265*VLOOKUP($P265,매칭테이블!$G:$J,3,0)</f>
        <v>46886.7</v>
      </c>
      <c r="N265" s="19">
        <f>VLOOKUP($P265,매칭테이블!$G:$J,4,0)*H265</f>
        <v>3160</v>
      </c>
      <c r="O265" s="20">
        <f t="shared" si="39"/>
        <v>45272.727272727272</v>
      </c>
      <c r="P265" s="19" t="str">
        <f t="shared" si="21"/>
        <v>카페24뉴트리셔스밤HAIR RÉ:COVERY 15 Nutritious Balm [헤어 리커버리 15 뉴트리셔스 밤]제품선택=헤어 리커버리 15 뉴트리셔스 밤201210</v>
      </c>
    </row>
    <row r="266" spans="2:16" x14ac:dyDescent="0.3">
      <c r="B266" s="2">
        <v>44173</v>
      </c>
      <c r="C266" t="str">
        <f t="shared" si="40"/>
        <v>화</v>
      </c>
      <c r="E266" s="17" t="str">
        <f>INDEX(매칭테이블!C:C,MATCH(RD!G266,매칭테이블!D:D,0))</f>
        <v>샴푸</v>
      </c>
      <c r="F266" t="s">
        <v>91</v>
      </c>
      <c r="G266" s="6" t="s">
        <v>92</v>
      </c>
      <c r="H266">
        <v>27</v>
      </c>
      <c r="I266" s="17" t="str">
        <f>VLOOKUP(G266,매칭테이블!D:E,2,0)</f>
        <v>리바이탈 샴푸</v>
      </c>
      <c r="J266">
        <v>201210</v>
      </c>
      <c r="L266" s="19">
        <f>VLOOKUP($P266,매칭테이블!$G:$J,2,0)*H266</f>
        <v>726300</v>
      </c>
      <c r="M266" s="19">
        <f>L266-L266*VLOOKUP($P266,매칭테이블!$G:$J,3,0)</f>
        <v>683811.45</v>
      </c>
      <c r="N266" s="19">
        <f>VLOOKUP($P266,매칭테이블!$G:$J,4,0)*H266</f>
        <v>81540</v>
      </c>
      <c r="O266" s="20">
        <f t="shared" si="39"/>
        <v>660272.72727272718</v>
      </c>
      <c r="P266" s="19" t="str">
        <f t="shared" si="21"/>
        <v>카페24샴푸HAIR RÉ:COVERY 15 Revital Shampoo [라베나 리커버리 15 리바이탈 샴푸]제품선택=헤어 리커버리 15 리바이탈 샴푸 - 500ml201210</v>
      </c>
    </row>
    <row r="267" spans="2:16" x14ac:dyDescent="0.3">
      <c r="B267" s="2">
        <v>44173</v>
      </c>
      <c r="C267" t="str">
        <f t="shared" si="40"/>
        <v>화</v>
      </c>
      <c r="E267" s="17" t="str">
        <f>INDEX(매칭테이블!C:C,MATCH(RD!G267,매칭테이블!D:D,0))</f>
        <v>샴푸</v>
      </c>
      <c r="F267" t="s">
        <v>91</v>
      </c>
      <c r="G267" s="6" t="s">
        <v>93</v>
      </c>
      <c r="H267">
        <v>12</v>
      </c>
      <c r="I267" s="17" t="str">
        <f>VLOOKUP(G267,매칭테이블!D:E,2,0)</f>
        <v>리바이탈 샴푸</v>
      </c>
      <c r="J267">
        <v>201210</v>
      </c>
      <c r="L267" s="19">
        <f>VLOOKUP($P267,매칭테이블!$G:$J,2,0)*H267</f>
        <v>613320</v>
      </c>
      <c r="M267" s="19">
        <f>L267-L267*VLOOKUP($P267,매칭테이블!$G:$J,3,0)</f>
        <v>577440.78</v>
      </c>
      <c r="N267" s="19">
        <f>VLOOKUP($P267,매칭테이블!$G:$J,4,0)*H267</f>
        <v>72480</v>
      </c>
      <c r="O267" s="20">
        <f t="shared" si="39"/>
        <v>557563.63636363635</v>
      </c>
      <c r="P267" s="19" t="str">
        <f t="shared" si="21"/>
        <v>카페24샴푸HAIR RÉ:COVERY 15 Revital Shampoo [라베나 리커버리 15 리바이탈 샴푸]제품선택=리바이탈 샴푸 2개 세트 5%추가할인201210</v>
      </c>
    </row>
    <row r="268" spans="2:16" x14ac:dyDescent="0.3">
      <c r="B268" s="2">
        <v>44173</v>
      </c>
      <c r="C268" t="str">
        <f t="shared" si="40"/>
        <v>화</v>
      </c>
      <c r="E268" s="17" t="str">
        <f>INDEX(매칭테이블!C:C,MATCH(RD!G268,매칭테이블!D:D,0))</f>
        <v>샴푸</v>
      </c>
      <c r="F268" t="s">
        <v>91</v>
      </c>
      <c r="G268" s="6" t="s">
        <v>94</v>
      </c>
      <c r="H268">
        <v>13</v>
      </c>
      <c r="I268" s="17" t="str">
        <f>VLOOKUP(G268,매칭테이블!D:E,2,0)</f>
        <v>리바이탈 샴푸 3set</v>
      </c>
      <c r="J268">
        <v>201210</v>
      </c>
      <c r="L268" s="19">
        <f>VLOOKUP($P268,매칭테이블!$G:$J,2,0)*H268</f>
        <v>944190</v>
      </c>
      <c r="M268" s="19">
        <f>L268-L268*VLOOKUP($P268,매칭테이블!$G:$J,3,0)</f>
        <v>888954.88500000001</v>
      </c>
      <c r="N268" s="19">
        <f>VLOOKUP($P268,매칭테이블!$G:$J,4,0)*H268</f>
        <v>117780</v>
      </c>
      <c r="O268" s="20">
        <f t="shared" si="39"/>
        <v>858354.54545454541</v>
      </c>
      <c r="P268" s="19" t="str">
        <f t="shared" si="21"/>
        <v>카페24샴푸HAIR RÉ:COVERY 15 Revital Shampoo [라베나 리커버리 15 리바이탈 샴푸]제품선택=리바이탈 샴푸 3개 세트 10% 추가할인201210</v>
      </c>
    </row>
    <row r="269" spans="2:16" x14ac:dyDescent="0.3">
      <c r="B269" s="2">
        <v>44173</v>
      </c>
      <c r="C269" t="str">
        <f t="shared" si="40"/>
        <v>화</v>
      </c>
      <c r="E269" s="17" t="str">
        <f>INDEX(매칭테이블!C:C,MATCH(RD!G269,매칭테이블!D:D,0))</f>
        <v>뉴트리셔스밤</v>
      </c>
      <c r="F269" t="s">
        <v>91</v>
      </c>
      <c r="G269" s="6" t="s">
        <v>107</v>
      </c>
      <c r="H269">
        <v>1</v>
      </c>
      <c r="I269" s="17" t="str">
        <f>VLOOKUP(G269,매칭테이블!D:E,2,0)</f>
        <v>뉴트리셔스밤</v>
      </c>
      <c r="J269">
        <v>201210</v>
      </c>
      <c r="L269" s="19">
        <f>VLOOKUP($P269,매칭테이블!$G:$J,2,0)*H269</f>
        <v>24900</v>
      </c>
      <c r="M269" s="19">
        <f>L269-L269*VLOOKUP($P269,매칭테이블!$G:$J,3,0)</f>
        <v>23443.35</v>
      </c>
      <c r="N269" s="19">
        <f>VLOOKUP($P269,매칭테이블!$G:$J,4,0)*H269</f>
        <v>1580</v>
      </c>
      <c r="O269" s="20">
        <f t="shared" si="39"/>
        <v>22636.363636363636</v>
      </c>
      <c r="P269" s="19" t="str">
        <f t="shared" si="21"/>
        <v>카페24뉴트리셔스밤LAVENA HAIR RÉ:COVERY 15 Nutritious Balm [헤어 리커버리 15 뉴트리셔스 밤]제품선택=헤어 리커버리 15 뉴트리셔스 밤201210</v>
      </c>
    </row>
    <row r="270" spans="2:16" x14ac:dyDescent="0.3">
      <c r="B270" s="2">
        <v>44174</v>
      </c>
      <c r="C270" s="19" t="str">
        <f t="shared" ref="C270" si="41">TEXT(B270,"aaa")</f>
        <v>수</v>
      </c>
      <c r="E270" s="17" t="str">
        <f>INDEX(매칭테이블!C:C,MATCH(RD!G270,매칭테이블!D:D,0))</f>
        <v>트리트먼트</v>
      </c>
      <c r="F270" t="s">
        <v>95</v>
      </c>
      <c r="G270" s="6" t="s">
        <v>97</v>
      </c>
      <c r="H270">
        <v>1</v>
      </c>
      <c r="I270" s="17" t="str">
        <f>VLOOKUP(G270,매칭테이블!D:E,2,0)</f>
        <v>트리트먼트</v>
      </c>
      <c r="J270">
        <v>201210</v>
      </c>
      <c r="L270" s="19">
        <f>VLOOKUP($P270,매칭테이블!$G:$J,2,0)*H270</f>
        <v>0</v>
      </c>
      <c r="M270" s="19">
        <f>L270-L270*VLOOKUP($P270,매칭테이블!$G:$J,3,0)</f>
        <v>0</v>
      </c>
      <c r="N270" s="19">
        <f>VLOOKUP($P270,매칭테이블!$G:$J,4,0)*H270</f>
        <v>1597</v>
      </c>
      <c r="O270" s="20">
        <f t="shared" ref="O270" si="42">L270/1.1</f>
        <v>0</v>
      </c>
      <c r="P270" s="19" t="str">
        <f t="shared" si="21"/>
        <v>라베나 CS트리트먼트헤어 리커버리 15 헤어팩 트리트먼트201210</v>
      </c>
    </row>
    <row r="271" spans="2:16" x14ac:dyDescent="0.3">
      <c r="B271" s="2">
        <v>44174</v>
      </c>
      <c r="C271" s="19" t="str">
        <f t="shared" ref="C271:C281" si="43">TEXT(B271,"aaa")</f>
        <v>수</v>
      </c>
      <c r="E271" s="17" t="str">
        <f>INDEX(매칭테이블!C:C,MATCH(RD!G271,매칭테이블!D:D,0))</f>
        <v>트리트먼트</v>
      </c>
      <c r="F271" t="s">
        <v>91</v>
      </c>
      <c r="G271" s="6" t="s">
        <v>98</v>
      </c>
      <c r="H271">
        <v>3</v>
      </c>
      <c r="I271" s="17" t="str">
        <f>VLOOKUP(G271,매칭테이블!D:E,2,0)</f>
        <v>트리트먼트</v>
      </c>
      <c r="J271">
        <v>201210</v>
      </c>
      <c r="L271" s="19">
        <f>VLOOKUP($P271,매칭테이블!$G:$J,2,0)*H271</f>
        <v>66330</v>
      </c>
      <c r="M271" s="19">
        <f>L271-L271*VLOOKUP($P271,매칭테이블!$G:$J,3,0)</f>
        <v>62449.695</v>
      </c>
      <c r="N271" s="19">
        <f>VLOOKUP($P271,매칭테이블!$G:$J,4,0)*H271</f>
        <v>4791</v>
      </c>
      <c r="O271" s="20">
        <f t="shared" ref="O271:O281" si="44">L271/1.1</f>
        <v>60299.999999999993</v>
      </c>
      <c r="P271" s="19" t="str">
        <f t="shared" si="21"/>
        <v>카페24트리트먼트(플친전용)HAIR RÉ:COVERY 15 Hairpack Treatment [헤어 리커버리 15 헤어팩 트리트먼트]제품선택=헤어 리커버리 15 헤어팩 트리트먼트201210</v>
      </c>
    </row>
    <row r="272" spans="2:16" x14ac:dyDescent="0.3">
      <c r="B272" s="2">
        <v>44174</v>
      </c>
      <c r="C272" s="19" t="str">
        <f t="shared" si="43"/>
        <v>수</v>
      </c>
      <c r="E272" s="17" t="str">
        <f>INDEX(매칭테이블!C:C,MATCH(RD!G272,매칭테이블!D:D,0))</f>
        <v>트리트먼트</v>
      </c>
      <c r="F272" t="s">
        <v>91</v>
      </c>
      <c r="G272" s="6" t="s">
        <v>100</v>
      </c>
      <c r="H272">
        <v>1</v>
      </c>
      <c r="I272" s="17" t="str">
        <f>VLOOKUP(G272,매칭테이블!D:E,2,0)</f>
        <v>트리트먼트 3set</v>
      </c>
      <c r="J272">
        <v>201210</v>
      </c>
      <c r="L272" s="19">
        <f>VLOOKUP($P272,매칭테이블!$G:$J,2,0)*H272</f>
        <v>66330</v>
      </c>
      <c r="M272" s="19">
        <f>L272-L272*VLOOKUP($P272,매칭테이블!$G:$J,3,0)</f>
        <v>62449.695</v>
      </c>
      <c r="N272" s="19">
        <f>VLOOKUP($P272,매칭테이블!$G:$J,4,0)*H272</f>
        <v>4791</v>
      </c>
      <c r="O272" s="20">
        <f t="shared" si="44"/>
        <v>60299.999999999993</v>
      </c>
      <c r="P272" s="19" t="str">
        <f t="shared" si="21"/>
        <v>카페24트리트먼트(플친전용)HAIR RÉ:COVERY 15 Hairpack Treatment [헤어 리커버리 15 헤어팩 트리트먼트]제품선택=헤어팩 트리트먼트 3개 세트201210</v>
      </c>
    </row>
    <row r="273" spans="2:16" x14ac:dyDescent="0.3">
      <c r="B273" s="2">
        <v>44174</v>
      </c>
      <c r="C273" s="19" t="str">
        <f t="shared" si="43"/>
        <v>수</v>
      </c>
      <c r="E273" s="17" t="str">
        <f>INDEX(매칭테이블!C:C,MATCH(RD!G273,매칭테이블!D:D,0))</f>
        <v>트리트먼트</v>
      </c>
      <c r="F273" t="s">
        <v>91</v>
      </c>
      <c r="G273" s="6" t="s">
        <v>101</v>
      </c>
      <c r="H273">
        <v>1</v>
      </c>
      <c r="I273" s="17" t="str">
        <f>VLOOKUP(G273,매칭테이블!D:E,2,0)</f>
        <v>트리트먼트+뉴트리셔스밤</v>
      </c>
      <c r="J273">
        <v>201210</v>
      </c>
      <c r="L273" s="19">
        <f>VLOOKUP($P273,매칭테이블!$G:$J,2,0)*H273</f>
        <v>43066</v>
      </c>
      <c r="M273" s="19">
        <f>L273-L273*VLOOKUP($P273,매칭테이블!$G:$J,3,0)</f>
        <v>40546.639000000003</v>
      </c>
      <c r="N273" s="19">
        <f>VLOOKUP($P273,매칭테이블!$G:$J,4,0)*H273</f>
        <v>3177</v>
      </c>
      <c r="O273" s="20">
        <f t="shared" si="44"/>
        <v>39150.909090909088</v>
      </c>
      <c r="P273" s="19" t="str">
        <f t="shared" si="21"/>
        <v>카페24트리트먼트(플친전용)HAIR RÉ:COVERY 15 Hairpack Treatment [헤어 리커버리 15 헤어팩 트리트먼트]제품선택=헤어팩 트리트먼트 1개 + 뉴트리셔스 밤 1개 세트201210</v>
      </c>
    </row>
    <row r="274" spans="2:16" x14ac:dyDescent="0.3">
      <c r="B274" s="2">
        <v>44174</v>
      </c>
      <c r="C274" s="19" t="str">
        <f t="shared" si="43"/>
        <v>수</v>
      </c>
      <c r="E274" s="17" t="str">
        <f>INDEX(매칭테이블!C:C,MATCH(RD!G274,매칭테이블!D:D,0))</f>
        <v>뉴트리셔스밤</v>
      </c>
      <c r="F274" t="s">
        <v>91</v>
      </c>
      <c r="G274" s="6" t="s">
        <v>102</v>
      </c>
      <c r="H274">
        <v>1</v>
      </c>
      <c r="I274" s="17" t="str">
        <f>VLOOKUP(G274,매칭테이블!D:E,2,0)</f>
        <v>뉴트리셔스밤</v>
      </c>
      <c r="J274">
        <v>201210</v>
      </c>
      <c r="L274" s="19">
        <f>VLOOKUP($P274,매칭테이블!$G:$J,2,0)*H274</f>
        <v>20956</v>
      </c>
      <c r="M274" s="19">
        <f>L274-L274*VLOOKUP($P274,매칭테이블!$G:$J,3,0)</f>
        <v>19730.074000000001</v>
      </c>
      <c r="N274" s="19">
        <f>VLOOKUP($P274,매칭테이블!$G:$J,4,0)*H274</f>
        <v>1580</v>
      </c>
      <c r="O274" s="20">
        <f t="shared" si="44"/>
        <v>19050.909090909088</v>
      </c>
      <c r="P274" s="19" t="str">
        <f t="shared" si="21"/>
        <v>카페24뉴트리셔스밤(플친전용)HAIR RÉ:COVERY 15 Nutritious Balm [헤어 리커버리 15 뉴트리셔스 밤]제품선택=헤어 리커버리 15 뉴트리셔스 밤201210</v>
      </c>
    </row>
    <row r="275" spans="2:16" x14ac:dyDescent="0.3">
      <c r="B275" s="2">
        <v>44174</v>
      </c>
      <c r="C275" s="19" t="str">
        <f t="shared" si="43"/>
        <v>수</v>
      </c>
      <c r="E275" s="17" t="str">
        <f>INDEX(매칭테이블!C:C,MATCH(RD!G275,매칭테이블!D:D,0))</f>
        <v>트리트먼트</v>
      </c>
      <c r="F275" t="s">
        <v>91</v>
      </c>
      <c r="G275" s="6" t="s">
        <v>104</v>
      </c>
      <c r="H275">
        <v>5</v>
      </c>
      <c r="I275" s="17" t="str">
        <f>VLOOKUP(G275,매칭테이블!D:E,2,0)</f>
        <v>트리트먼트</v>
      </c>
      <c r="J275">
        <v>201210</v>
      </c>
      <c r="L275" s="19">
        <f>VLOOKUP($P275,매칭테이블!$G:$J,2,0)*H275</f>
        <v>130000</v>
      </c>
      <c r="M275" s="19">
        <f>L275-L275*VLOOKUP($P275,매칭테이블!$G:$J,3,0)</f>
        <v>122395</v>
      </c>
      <c r="N275" s="19">
        <f>VLOOKUP($P275,매칭테이블!$G:$J,4,0)*H275</f>
        <v>7985</v>
      </c>
      <c r="O275" s="20">
        <f t="shared" si="44"/>
        <v>118181.81818181818</v>
      </c>
      <c r="P275" s="19" t="str">
        <f t="shared" si="21"/>
        <v>카페24트리트먼트HAIR RÉ:COVERY 15 Hairpack Treatment [헤어 리커버리 15 헤어팩 트리트먼트]제품선택=헤어 리커버리 15 헤어팩 트리트먼트201210</v>
      </c>
    </row>
    <row r="276" spans="2:16" x14ac:dyDescent="0.3">
      <c r="B276" s="2">
        <v>44174</v>
      </c>
      <c r="C276" s="19" t="str">
        <f t="shared" si="43"/>
        <v>수</v>
      </c>
      <c r="E276" s="17" t="str">
        <f>INDEX(매칭테이블!C:C,MATCH(RD!G276,매칭테이블!D:D,0))</f>
        <v>트리트먼트</v>
      </c>
      <c r="F276" t="s">
        <v>91</v>
      </c>
      <c r="G276" s="6" t="s">
        <v>108</v>
      </c>
      <c r="H276">
        <v>1</v>
      </c>
      <c r="I276" s="17" t="str">
        <f>VLOOKUP(G276,매칭테이블!D:E,2,0)</f>
        <v>트리트먼트 3set</v>
      </c>
      <c r="J276">
        <v>201210</v>
      </c>
      <c r="L276" s="19">
        <f>VLOOKUP($P276,매칭테이블!$G:$J,2,0)*H276</f>
        <v>70200</v>
      </c>
      <c r="M276" s="19">
        <f>L276-L276*VLOOKUP($P276,매칭테이블!$G:$J,3,0)</f>
        <v>66093.3</v>
      </c>
      <c r="N276" s="19">
        <f>VLOOKUP($P276,매칭테이블!$G:$J,4,0)*H276</f>
        <v>4791</v>
      </c>
      <c r="O276" s="20">
        <f t="shared" si="44"/>
        <v>63818.181818181816</v>
      </c>
      <c r="P276" s="19" t="str">
        <f t="shared" si="21"/>
        <v>카페24트리트먼트HAIR RÉ:COVERY 15 Hairpack Treatment [헤어 리커버리 15 헤어팩 트리트먼트]제품선택=헤어팩 트리트먼트 3개 세트 10% 추가할인201210</v>
      </c>
    </row>
    <row r="277" spans="2:16" x14ac:dyDescent="0.3">
      <c r="B277" s="2">
        <v>44174</v>
      </c>
      <c r="C277" s="19" t="str">
        <f t="shared" si="43"/>
        <v>수</v>
      </c>
      <c r="E277" s="17" t="str">
        <f>INDEX(매칭테이블!C:C,MATCH(RD!G277,매칭테이블!D:D,0))</f>
        <v>뉴트리셔스밤</v>
      </c>
      <c r="F277" t="s">
        <v>91</v>
      </c>
      <c r="G277" s="6" t="s">
        <v>106</v>
      </c>
      <c r="H277">
        <v>3</v>
      </c>
      <c r="I277" s="17" t="str">
        <f>VLOOKUP(G277,매칭테이블!D:E,2,0)</f>
        <v>뉴트리셔스밤</v>
      </c>
      <c r="J277">
        <v>201210</v>
      </c>
      <c r="L277" s="19">
        <f>VLOOKUP($P277,매칭테이블!$G:$J,2,0)*H277</f>
        <v>74700</v>
      </c>
      <c r="M277" s="19">
        <f>L277-L277*VLOOKUP($P277,매칭테이블!$G:$J,3,0)</f>
        <v>70330.05</v>
      </c>
      <c r="N277" s="19">
        <f>VLOOKUP($P277,매칭테이블!$G:$J,4,0)*H277</f>
        <v>4740</v>
      </c>
      <c r="O277" s="20">
        <f t="shared" si="44"/>
        <v>67909.090909090897</v>
      </c>
      <c r="P277" s="19" t="str">
        <f t="shared" si="21"/>
        <v>카페24뉴트리셔스밤HAIR RÉ:COVERY 15 Nutritious Balm [헤어 리커버리 15 뉴트리셔스 밤]제품선택=헤어 리커버리 15 뉴트리셔스 밤201210</v>
      </c>
    </row>
    <row r="278" spans="2:16" x14ac:dyDescent="0.3">
      <c r="B278" s="2">
        <v>44174</v>
      </c>
      <c r="C278" s="19" t="str">
        <f t="shared" si="43"/>
        <v>수</v>
      </c>
      <c r="E278" s="17" t="str">
        <f>INDEX(매칭테이블!C:C,MATCH(RD!G278,매칭테이블!D:D,0))</f>
        <v>뉴트리셔스밤</v>
      </c>
      <c r="F278" t="s">
        <v>91</v>
      </c>
      <c r="G278" s="6" t="s">
        <v>109</v>
      </c>
      <c r="H278">
        <v>1</v>
      </c>
      <c r="I278" s="17" t="str">
        <f>VLOOKUP(G278,매칭테이블!D:E,2,0)</f>
        <v>뉴트리셔스밤 2set</v>
      </c>
      <c r="J278">
        <v>201210</v>
      </c>
      <c r="L278" s="19">
        <f>VLOOKUP($P278,매칭테이블!$G:$J,2,0)*H278</f>
        <v>47310</v>
      </c>
      <c r="M278" s="19">
        <f>L278-L278*VLOOKUP($P278,매칭테이블!$G:$J,3,0)</f>
        <v>44542.364999999998</v>
      </c>
      <c r="N278" s="19">
        <f>VLOOKUP($P278,매칭테이블!$G:$J,4,0)*H278</f>
        <v>3160</v>
      </c>
      <c r="O278" s="20">
        <f t="shared" si="44"/>
        <v>43009.090909090904</v>
      </c>
      <c r="P278" s="19" t="str">
        <f t="shared" si="21"/>
        <v>카페24뉴트리셔스밤HAIR RÉ:COVERY 15 Nutritious Balm [헤어 리커버리 15 뉴트리셔스 밤]제품선택=뉴트리셔스 밤 2개 세트 5% 추가할인201210</v>
      </c>
    </row>
    <row r="279" spans="2:16" x14ac:dyDescent="0.3">
      <c r="B279" s="2">
        <v>44174</v>
      </c>
      <c r="C279" s="19" t="str">
        <f t="shared" si="43"/>
        <v>수</v>
      </c>
      <c r="E279" s="17" t="str">
        <f>INDEX(매칭테이블!C:C,MATCH(RD!G279,매칭테이블!D:D,0))</f>
        <v>샴푸</v>
      </c>
      <c r="F279" t="s">
        <v>91</v>
      </c>
      <c r="G279" s="6" t="s">
        <v>92</v>
      </c>
      <c r="H279">
        <v>27</v>
      </c>
      <c r="I279" s="17" t="str">
        <f>VLOOKUP(G279,매칭테이블!D:E,2,0)</f>
        <v>리바이탈 샴푸</v>
      </c>
      <c r="J279">
        <v>201210</v>
      </c>
      <c r="L279" s="19">
        <f>VLOOKUP($P279,매칭테이블!$G:$J,2,0)*H279</f>
        <v>726300</v>
      </c>
      <c r="M279" s="19">
        <f>L279-L279*VLOOKUP($P279,매칭테이블!$G:$J,3,0)</f>
        <v>683811.45</v>
      </c>
      <c r="N279" s="19">
        <f>VLOOKUP($P279,매칭테이블!$G:$J,4,0)*H279</f>
        <v>81540</v>
      </c>
      <c r="O279" s="20">
        <f t="shared" si="44"/>
        <v>660272.72727272718</v>
      </c>
      <c r="P279" s="19" t="str">
        <f t="shared" si="21"/>
        <v>카페24샴푸HAIR RÉ:COVERY 15 Revital Shampoo [라베나 리커버리 15 리바이탈 샴푸]제품선택=헤어 리커버리 15 리바이탈 샴푸 - 500ml201210</v>
      </c>
    </row>
    <row r="280" spans="2:16" x14ac:dyDescent="0.3">
      <c r="B280" s="2">
        <v>44174</v>
      </c>
      <c r="C280" s="19" t="str">
        <f t="shared" si="43"/>
        <v>수</v>
      </c>
      <c r="E280" s="17" t="str">
        <f>INDEX(매칭테이블!C:C,MATCH(RD!G280,매칭테이블!D:D,0))</f>
        <v>샴푸</v>
      </c>
      <c r="F280" t="s">
        <v>91</v>
      </c>
      <c r="G280" s="6" t="s">
        <v>93</v>
      </c>
      <c r="H280">
        <v>7</v>
      </c>
      <c r="I280" s="17" t="str">
        <f>VLOOKUP(G280,매칭테이블!D:E,2,0)</f>
        <v>리바이탈 샴푸</v>
      </c>
      <c r="J280">
        <v>201210</v>
      </c>
      <c r="L280" s="19">
        <f>VLOOKUP($P280,매칭테이블!$G:$J,2,0)*H280</f>
        <v>357770</v>
      </c>
      <c r="M280" s="19">
        <f>L280-L280*VLOOKUP($P280,매칭테이블!$G:$J,3,0)</f>
        <v>336840.45500000002</v>
      </c>
      <c r="N280" s="19">
        <f>VLOOKUP($P280,매칭테이블!$G:$J,4,0)*H280</f>
        <v>42280</v>
      </c>
      <c r="O280" s="20">
        <f t="shared" si="44"/>
        <v>325245.45454545453</v>
      </c>
      <c r="P280" s="19" t="str">
        <f t="shared" si="21"/>
        <v>카페24샴푸HAIR RÉ:COVERY 15 Revital Shampoo [라베나 리커버리 15 리바이탈 샴푸]제품선택=리바이탈 샴푸 2개 세트 5%추가할인201210</v>
      </c>
    </row>
    <row r="281" spans="2:16" x14ac:dyDescent="0.3">
      <c r="B281" s="2">
        <v>44174</v>
      </c>
      <c r="C281" s="19" t="str">
        <f t="shared" si="43"/>
        <v>수</v>
      </c>
      <c r="E281" s="17" t="str">
        <f>INDEX(매칭테이블!C:C,MATCH(RD!G281,매칭테이블!D:D,0))</f>
        <v>샴푸</v>
      </c>
      <c r="F281" t="s">
        <v>91</v>
      </c>
      <c r="G281" s="6" t="s">
        <v>94</v>
      </c>
      <c r="H281">
        <v>8</v>
      </c>
      <c r="I281" s="17" t="str">
        <f>VLOOKUP(G281,매칭테이블!D:E,2,0)</f>
        <v>리바이탈 샴푸 3set</v>
      </c>
      <c r="J281">
        <v>201210</v>
      </c>
      <c r="L281" s="19">
        <f>VLOOKUP($P281,매칭테이블!$G:$J,2,0)*H281</f>
        <v>581040</v>
      </c>
      <c r="M281" s="19">
        <f>L281-L281*VLOOKUP($P281,매칭테이블!$G:$J,3,0)</f>
        <v>547049.16</v>
      </c>
      <c r="N281" s="19">
        <f>VLOOKUP($P281,매칭테이블!$G:$J,4,0)*H281</f>
        <v>72480</v>
      </c>
      <c r="O281" s="20">
        <f t="shared" si="44"/>
        <v>528218.18181818177</v>
      </c>
      <c r="P281" s="19" t="str">
        <f t="shared" si="21"/>
        <v>카페24샴푸HAIR RÉ:COVERY 15 Revital Shampoo [라베나 리커버리 15 리바이탈 샴푸]제품선택=리바이탈 샴푸 3개 세트 10% 추가할인201210</v>
      </c>
    </row>
    <row r="282" spans="2:16" x14ac:dyDescent="0.3">
      <c r="B282" s="2">
        <v>44175</v>
      </c>
      <c r="C282" s="19" t="str">
        <f t="shared" ref="C282:C289" si="45">TEXT(B282,"aaa")</f>
        <v>목</v>
      </c>
      <c r="E282" s="17" t="str">
        <f>INDEX(매칭테이블!C:C,MATCH(RD!G282,매칭테이블!D:D,0))</f>
        <v>트리트먼트</v>
      </c>
      <c r="F282" t="s">
        <v>88</v>
      </c>
      <c r="G282" t="s">
        <v>101</v>
      </c>
      <c r="H282">
        <v>1</v>
      </c>
      <c r="I282" s="17" t="str">
        <f>VLOOKUP(G282,매칭테이블!D:E,2,0)</f>
        <v>트리트먼트+뉴트리셔스밤</v>
      </c>
      <c r="J282">
        <v>201210</v>
      </c>
      <c r="L282" s="19">
        <f>VLOOKUP($P282,매칭테이블!$G:$J,2,0)*H282</f>
        <v>43066</v>
      </c>
      <c r="M282" s="19">
        <f>L282-L282*VLOOKUP($P282,매칭테이블!$G:$J,3,0)</f>
        <v>40546.639000000003</v>
      </c>
      <c r="N282" s="19">
        <f>VLOOKUP($P282,매칭테이블!$G:$J,4,0)*H282</f>
        <v>3177</v>
      </c>
      <c r="O282" s="20">
        <f t="shared" ref="O282:O289" si="46">L282/1.1</f>
        <v>39150.909090909088</v>
      </c>
      <c r="P282" s="19" t="str">
        <f t="shared" si="21"/>
        <v>카페24트리트먼트(플친전용)HAIR RÉ:COVERY 15 Hairpack Treatment [헤어 리커버리 15 헤어팩 트리트먼트]제품선택=헤어팩 트리트먼트 1개 + 뉴트리셔스 밤 1개 세트201210</v>
      </c>
    </row>
    <row r="283" spans="2:16" x14ac:dyDescent="0.3">
      <c r="B283" s="2">
        <v>44175</v>
      </c>
      <c r="C283" s="19" t="str">
        <f t="shared" si="45"/>
        <v>목</v>
      </c>
      <c r="E283" s="17" t="str">
        <f>INDEX(매칭테이블!C:C,MATCH(RD!G283,매칭테이블!D:D,0))</f>
        <v>뉴트리셔스밤</v>
      </c>
      <c r="F283" t="s">
        <v>88</v>
      </c>
      <c r="G283" t="s">
        <v>102</v>
      </c>
      <c r="H283">
        <v>1</v>
      </c>
      <c r="I283" s="17" t="str">
        <f>VLOOKUP(G283,매칭테이블!D:E,2,0)</f>
        <v>뉴트리셔스밤</v>
      </c>
      <c r="J283">
        <v>201210</v>
      </c>
      <c r="L283" s="19">
        <f>VLOOKUP($P283,매칭테이블!$G:$J,2,0)*H283</f>
        <v>20956</v>
      </c>
      <c r="M283" s="19">
        <f>L283-L283*VLOOKUP($P283,매칭테이블!$G:$J,3,0)</f>
        <v>19730.074000000001</v>
      </c>
      <c r="N283" s="19">
        <f>VLOOKUP($P283,매칭테이블!$G:$J,4,0)*H283</f>
        <v>1580</v>
      </c>
      <c r="O283" s="20">
        <f t="shared" si="46"/>
        <v>19050.909090909088</v>
      </c>
      <c r="P283" s="19" t="str">
        <f t="shared" si="21"/>
        <v>카페24뉴트리셔스밤(플친전용)HAIR RÉ:COVERY 15 Nutritious Balm [헤어 리커버리 15 뉴트리셔스 밤]제품선택=헤어 리커버리 15 뉴트리셔스 밤201210</v>
      </c>
    </row>
    <row r="284" spans="2:16" x14ac:dyDescent="0.3">
      <c r="B284" s="2">
        <v>44175</v>
      </c>
      <c r="C284" s="19" t="str">
        <f t="shared" si="45"/>
        <v>목</v>
      </c>
      <c r="E284" s="17" t="str">
        <f>INDEX(매칭테이블!C:C,MATCH(RD!G284,매칭테이블!D:D,0))</f>
        <v>트리트먼트</v>
      </c>
      <c r="F284" t="s">
        <v>88</v>
      </c>
      <c r="G284" t="s">
        <v>104</v>
      </c>
      <c r="H284">
        <v>4</v>
      </c>
      <c r="I284" s="17" t="str">
        <f>VLOOKUP(G284,매칭테이블!D:E,2,0)</f>
        <v>트리트먼트</v>
      </c>
      <c r="J284">
        <v>201210</v>
      </c>
      <c r="L284" s="19">
        <f>VLOOKUP($P284,매칭테이블!$G:$J,2,0)*H284</f>
        <v>104000</v>
      </c>
      <c r="M284" s="19">
        <f>L284-L284*VLOOKUP($P284,매칭테이블!$G:$J,3,0)</f>
        <v>97916</v>
      </c>
      <c r="N284" s="19">
        <f>VLOOKUP($P284,매칭테이블!$G:$J,4,0)*H284</f>
        <v>6388</v>
      </c>
      <c r="O284" s="20">
        <f t="shared" si="46"/>
        <v>94545.454545454544</v>
      </c>
      <c r="P284" s="19" t="str">
        <f t="shared" si="21"/>
        <v>카페24트리트먼트HAIR RÉ:COVERY 15 Hairpack Treatment [헤어 리커버리 15 헤어팩 트리트먼트]제품선택=헤어 리커버리 15 헤어팩 트리트먼트201210</v>
      </c>
    </row>
    <row r="285" spans="2:16" x14ac:dyDescent="0.3">
      <c r="B285" s="2">
        <v>44175</v>
      </c>
      <c r="C285" s="19" t="str">
        <f t="shared" si="45"/>
        <v>목</v>
      </c>
      <c r="E285" s="17" t="str">
        <f>INDEX(매칭테이블!C:C,MATCH(RD!G285,매칭테이블!D:D,0))</f>
        <v>뉴트리셔스밤</v>
      </c>
      <c r="F285" t="s">
        <v>88</v>
      </c>
      <c r="G285" t="s">
        <v>106</v>
      </c>
      <c r="H285">
        <v>4</v>
      </c>
      <c r="I285" s="17" t="str">
        <f>VLOOKUP(G285,매칭테이블!D:E,2,0)</f>
        <v>뉴트리셔스밤</v>
      </c>
      <c r="J285">
        <v>201210</v>
      </c>
      <c r="L285" s="19">
        <f>VLOOKUP($P285,매칭테이블!$G:$J,2,0)*H285</f>
        <v>99600</v>
      </c>
      <c r="M285" s="19">
        <f>L285-L285*VLOOKUP($P285,매칭테이블!$G:$J,3,0)</f>
        <v>93773.4</v>
      </c>
      <c r="N285" s="19">
        <f>VLOOKUP($P285,매칭테이블!$G:$J,4,0)*H285</f>
        <v>6320</v>
      </c>
      <c r="O285" s="20">
        <f t="shared" si="46"/>
        <v>90545.454545454544</v>
      </c>
      <c r="P285" s="19" t="str">
        <f t="shared" si="21"/>
        <v>카페24뉴트리셔스밤HAIR RÉ:COVERY 15 Nutritious Balm [헤어 리커버리 15 뉴트리셔스 밤]제품선택=헤어 리커버리 15 뉴트리셔스 밤201210</v>
      </c>
    </row>
    <row r="286" spans="2:16" x14ac:dyDescent="0.3">
      <c r="B286" s="2">
        <v>44175</v>
      </c>
      <c r="C286" s="19" t="str">
        <f t="shared" si="45"/>
        <v>목</v>
      </c>
      <c r="E286" s="17" t="str">
        <f>INDEX(매칭테이블!C:C,MATCH(RD!G286,매칭테이블!D:D,0))</f>
        <v>뉴트리셔스밤</v>
      </c>
      <c r="F286" t="s">
        <v>88</v>
      </c>
      <c r="G286" t="s">
        <v>110</v>
      </c>
      <c r="H286">
        <v>1</v>
      </c>
      <c r="I286" s="17" t="str">
        <f>VLOOKUP(G286,매칭테이블!D:E,2,0)</f>
        <v>트리트먼트+뉴트리셔스밤</v>
      </c>
      <c r="J286">
        <v>201210</v>
      </c>
      <c r="L286" s="19">
        <f>VLOOKUP($P286,매칭테이블!$G:$J,2,0)*H286</f>
        <v>48355</v>
      </c>
      <c r="M286" s="19">
        <f>L286-L286*VLOOKUP($P286,매칭테이블!$G:$J,3,0)</f>
        <v>45526.232499999998</v>
      </c>
      <c r="N286" s="19">
        <f>VLOOKUP($P286,매칭테이블!$G:$J,4,0)*H286</f>
        <v>3177</v>
      </c>
      <c r="O286" s="20">
        <f t="shared" si="46"/>
        <v>43959.090909090904</v>
      </c>
      <c r="P286" s="19" t="str">
        <f t="shared" si="21"/>
        <v>카페24뉴트리셔스밤HAIR RÉ:COVERY 15 Nutritious Balm [헤어 리커버리 15 뉴트리셔스 밤]제품선택=뉴트리셔스밤 1개 + 헤어팩 트리트먼트 1개 세트 5%추가할인201210</v>
      </c>
    </row>
    <row r="287" spans="2:16" x14ac:dyDescent="0.3">
      <c r="B287" s="2">
        <v>44175</v>
      </c>
      <c r="C287" s="19" t="str">
        <f t="shared" si="45"/>
        <v>목</v>
      </c>
      <c r="E287" s="17" t="str">
        <f>INDEX(매칭테이블!C:C,MATCH(RD!G287,매칭테이블!D:D,0))</f>
        <v>샴푸</v>
      </c>
      <c r="F287" t="s">
        <v>88</v>
      </c>
      <c r="G287" t="s">
        <v>92</v>
      </c>
      <c r="H287">
        <v>20</v>
      </c>
      <c r="I287" s="17" t="str">
        <f>VLOOKUP(G287,매칭테이블!D:E,2,0)</f>
        <v>리바이탈 샴푸</v>
      </c>
      <c r="J287">
        <v>201210</v>
      </c>
      <c r="L287" s="19">
        <f>VLOOKUP($P287,매칭테이블!$G:$J,2,0)*H287</f>
        <v>538000</v>
      </c>
      <c r="M287" s="19">
        <f>L287-L287*VLOOKUP($P287,매칭테이블!$G:$J,3,0)</f>
        <v>506527</v>
      </c>
      <c r="N287" s="19">
        <f>VLOOKUP($P287,매칭테이블!$G:$J,4,0)*H287</f>
        <v>60400</v>
      </c>
      <c r="O287" s="20">
        <f t="shared" si="46"/>
        <v>489090.90909090906</v>
      </c>
      <c r="P287" s="19" t="str">
        <f t="shared" si="21"/>
        <v>카페24샴푸HAIR RÉ:COVERY 15 Revital Shampoo [라베나 리커버리 15 리바이탈 샴푸]제품선택=헤어 리커버리 15 리바이탈 샴푸 - 500ml201210</v>
      </c>
    </row>
    <row r="288" spans="2:16" x14ac:dyDescent="0.3">
      <c r="B288" s="2">
        <v>44175</v>
      </c>
      <c r="C288" s="19" t="str">
        <f t="shared" si="45"/>
        <v>목</v>
      </c>
      <c r="E288" s="17" t="str">
        <f>INDEX(매칭테이블!C:C,MATCH(RD!G288,매칭테이블!D:D,0))</f>
        <v>샴푸</v>
      </c>
      <c r="F288" t="s">
        <v>88</v>
      </c>
      <c r="G288" t="s">
        <v>93</v>
      </c>
      <c r="H288">
        <v>7</v>
      </c>
      <c r="I288" s="17" t="str">
        <f>VLOOKUP(G288,매칭테이블!D:E,2,0)</f>
        <v>리바이탈 샴푸</v>
      </c>
      <c r="J288">
        <v>201210</v>
      </c>
      <c r="L288" s="19">
        <f>VLOOKUP($P288,매칭테이블!$G:$J,2,0)*H288</f>
        <v>357770</v>
      </c>
      <c r="M288" s="19">
        <f>L288-L288*VLOOKUP($P288,매칭테이블!$G:$J,3,0)</f>
        <v>336840.45500000002</v>
      </c>
      <c r="N288" s="19">
        <f>VLOOKUP($P288,매칭테이블!$G:$J,4,0)*H288</f>
        <v>42280</v>
      </c>
      <c r="O288" s="20">
        <f t="shared" si="46"/>
        <v>325245.45454545453</v>
      </c>
      <c r="P288" s="19" t="str">
        <f t="shared" si="21"/>
        <v>카페24샴푸HAIR RÉ:COVERY 15 Revital Shampoo [라베나 리커버리 15 리바이탈 샴푸]제품선택=리바이탈 샴푸 2개 세트 5%추가할인201210</v>
      </c>
    </row>
    <row r="289" spans="2:16" x14ac:dyDescent="0.3">
      <c r="B289" s="2">
        <v>44175</v>
      </c>
      <c r="C289" s="19" t="str">
        <f t="shared" si="45"/>
        <v>목</v>
      </c>
      <c r="E289" s="17" t="str">
        <f>INDEX(매칭테이블!C:C,MATCH(RD!G289,매칭테이블!D:D,0))</f>
        <v>샴푸</v>
      </c>
      <c r="F289" t="s">
        <v>88</v>
      </c>
      <c r="G289" t="s">
        <v>94</v>
      </c>
      <c r="H289">
        <v>11</v>
      </c>
      <c r="I289" s="17" t="str">
        <f>VLOOKUP(G289,매칭테이블!D:E,2,0)</f>
        <v>리바이탈 샴푸 3set</v>
      </c>
      <c r="J289">
        <v>201210</v>
      </c>
      <c r="L289" s="19">
        <f>VLOOKUP($P289,매칭테이블!$G:$J,2,0)*H289</f>
        <v>798930</v>
      </c>
      <c r="M289" s="19">
        <f>L289-L289*VLOOKUP($P289,매칭테이블!$G:$J,3,0)</f>
        <v>752192.59499999997</v>
      </c>
      <c r="N289" s="19">
        <f>VLOOKUP($P289,매칭테이블!$G:$J,4,0)*H289</f>
        <v>99660</v>
      </c>
      <c r="O289" s="20">
        <f t="shared" si="46"/>
        <v>726299.99999999988</v>
      </c>
      <c r="P289" s="19" t="str">
        <f t="shared" si="21"/>
        <v>카페24샴푸HAIR RÉ:COVERY 15 Revital Shampoo [라베나 리커버리 15 리바이탈 샴푸]제품선택=리바이탈 샴푸 3개 세트 10% 추가할인201210</v>
      </c>
    </row>
    <row r="290" spans="2:16" x14ac:dyDescent="0.3">
      <c r="B290" s="2">
        <v>44176</v>
      </c>
      <c r="C290" s="19" t="str">
        <f t="shared" ref="C290" si="47">TEXT(B290,"aaa")</f>
        <v>금</v>
      </c>
      <c r="E290" s="17" t="str">
        <f>INDEX(매칭테이블!C:C,MATCH(RD!G290,매칭테이블!D:D,0))</f>
        <v>트리트먼트</v>
      </c>
      <c r="F290" t="s">
        <v>91</v>
      </c>
      <c r="G290" t="s">
        <v>98</v>
      </c>
      <c r="H290">
        <v>2</v>
      </c>
      <c r="I290" s="17" t="str">
        <f>VLOOKUP(G290,매칭테이블!D:E,2,0)</f>
        <v>트리트먼트</v>
      </c>
      <c r="J290">
        <v>201210</v>
      </c>
      <c r="L290" s="19">
        <f>VLOOKUP($P290,매칭테이블!$G:$J,2,0)*H290</f>
        <v>44220</v>
      </c>
      <c r="M290" s="19">
        <f>L290-L290*VLOOKUP($P290,매칭테이블!$G:$J,3,0)</f>
        <v>41633.129999999997</v>
      </c>
      <c r="N290" s="19">
        <f>VLOOKUP($P290,매칭테이블!$G:$J,4,0)*H290</f>
        <v>3194</v>
      </c>
      <c r="O290" s="20">
        <f t="shared" ref="O290" si="48">L290/1.1</f>
        <v>40200</v>
      </c>
      <c r="P290" s="19" t="str">
        <f t="shared" si="21"/>
        <v>카페24트리트먼트(플친전용)HAIR RÉ:COVERY 15 Hairpack Treatment [헤어 리커버리 15 헤어팩 트리트먼트]제품선택=헤어 리커버리 15 헤어팩 트리트먼트201210</v>
      </c>
    </row>
    <row r="291" spans="2:16" x14ac:dyDescent="0.3">
      <c r="B291" s="2">
        <v>44176</v>
      </c>
      <c r="C291" s="19" t="str">
        <f t="shared" ref="C291:C318" si="49">TEXT(B291,"aaa")</f>
        <v>금</v>
      </c>
      <c r="E291" s="17" t="str">
        <f>INDEX(매칭테이블!C:C,MATCH(RD!G291,매칭테이블!D:D,0))</f>
        <v>트리트먼트</v>
      </c>
      <c r="F291" t="s">
        <v>91</v>
      </c>
      <c r="G291" t="s">
        <v>101</v>
      </c>
      <c r="H291">
        <v>1</v>
      </c>
      <c r="I291" s="17" t="str">
        <f>VLOOKUP(G291,매칭테이블!D:E,2,0)</f>
        <v>트리트먼트+뉴트리셔스밤</v>
      </c>
      <c r="J291">
        <v>201210</v>
      </c>
      <c r="L291" s="19">
        <f>VLOOKUP($P291,매칭테이블!$G:$J,2,0)*H291</f>
        <v>43066</v>
      </c>
      <c r="M291" s="19">
        <f>L291-L291*VLOOKUP($P291,매칭테이블!$G:$J,3,0)</f>
        <v>40546.639000000003</v>
      </c>
      <c r="N291" s="19">
        <f>VLOOKUP($P291,매칭테이블!$G:$J,4,0)*H291</f>
        <v>3177</v>
      </c>
      <c r="O291" s="20">
        <f t="shared" ref="O291:O317" si="50">L291/1.1</f>
        <v>39150.909090909088</v>
      </c>
      <c r="P291" s="19" t="str">
        <f t="shared" si="21"/>
        <v>카페24트리트먼트(플친전용)HAIR RÉ:COVERY 15 Hairpack Treatment [헤어 리커버리 15 헤어팩 트리트먼트]제품선택=헤어팩 트리트먼트 1개 + 뉴트리셔스 밤 1개 세트201210</v>
      </c>
    </row>
    <row r="292" spans="2:16" x14ac:dyDescent="0.3">
      <c r="B292" s="2">
        <v>44176</v>
      </c>
      <c r="C292" s="19" t="str">
        <f t="shared" si="49"/>
        <v>금</v>
      </c>
      <c r="E292" s="17" t="str">
        <f>INDEX(매칭테이블!C:C,MATCH(RD!G292,매칭테이블!D:D,0))</f>
        <v>뉴트리셔스밤</v>
      </c>
      <c r="F292" t="s">
        <v>91</v>
      </c>
      <c r="G292" t="s">
        <v>102</v>
      </c>
      <c r="H292">
        <v>2</v>
      </c>
      <c r="I292" s="17" t="str">
        <f>VLOOKUP(G292,매칭테이블!D:E,2,0)</f>
        <v>뉴트리셔스밤</v>
      </c>
      <c r="J292">
        <v>201210</v>
      </c>
      <c r="L292" s="19">
        <f>VLOOKUP($P292,매칭테이블!$G:$J,2,0)*H292</f>
        <v>41912</v>
      </c>
      <c r="M292" s="19">
        <f>L292-L292*VLOOKUP($P292,매칭테이블!$G:$J,3,0)</f>
        <v>39460.148000000001</v>
      </c>
      <c r="N292" s="19">
        <f>VLOOKUP($P292,매칭테이블!$G:$J,4,0)*H292</f>
        <v>3160</v>
      </c>
      <c r="O292" s="20">
        <f t="shared" si="50"/>
        <v>38101.818181818177</v>
      </c>
      <c r="P292" s="19" t="str">
        <f t="shared" si="21"/>
        <v>카페24뉴트리셔스밤(플친전용)HAIR RÉ:COVERY 15 Nutritious Balm [헤어 리커버리 15 뉴트리셔스 밤]제품선택=헤어 리커버리 15 뉴트리셔스 밤201210</v>
      </c>
    </row>
    <row r="293" spans="2:16" x14ac:dyDescent="0.3">
      <c r="B293" s="2">
        <v>44176</v>
      </c>
      <c r="C293" s="19" t="str">
        <f t="shared" si="49"/>
        <v>금</v>
      </c>
      <c r="E293" s="17" t="str">
        <f>INDEX(매칭테이블!C:C,MATCH(RD!G293,매칭테이블!D:D,0))</f>
        <v>뉴트리셔스밤</v>
      </c>
      <c r="F293" t="s">
        <v>91</v>
      </c>
      <c r="G293" t="s">
        <v>111</v>
      </c>
      <c r="H293">
        <v>1</v>
      </c>
      <c r="I293" s="17" t="str">
        <f>VLOOKUP(G293,매칭테이블!D:E,2,0)</f>
        <v>트리트먼트+뉴트리셔스밤</v>
      </c>
      <c r="J293">
        <v>201210</v>
      </c>
      <c r="L293" s="19">
        <f>VLOOKUP($P293,매칭테이블!$G:$J,2,0)*H293</f>
        <v>43066</v>
      </c>
      <c r="M293" s="19">
        <f>L293-L293*VLOOKUP($P293,매칭테이블!$G:$J,3,0)</f>
        <v>40546.639000000003</v>
      </c>
      <c r="N293" s="19">
        <f>VLOOKUP($P293,매칭테이블!$G:$J,4,0)*H293</f>
        <v>3177</v>
      </c>
      <c r="O293" s="20">
        <f t="shared" si="50"/>
        <v>39150.909090909088</v>
      </c>
      <c r="P293" s="19" t="str">
        <f t="shared" si="21"/>
        <v>카페24뉴트리셔스밤(플친전용)HAIR RÉ:COVERY 15 Nutritious Balm [헤어 리커버리 15 뉴트리셔스 밤]제품선택=뉴트리셔스밤 1개 + 헤어팩 트리트먼트 1개 세트201210</v>
      </c>
    </row>
    <row r="294" spans="2:16" x14ac:dyDescent="0.3">
      <c r="B294" s="2">
        <v>44176</v>
      </c>
      <c r="C294" s="19" t="str">
        <f t="shared" si="49"/>
        <v>금</v>
      </c>
      <c r="E294" s="17" t="str">
        <f>INDEX(매칭테이블!C:C,MATCH(RD!G294,매칭테이블!D:D,0))</f>
        <v>트리트먼트</v>
      </c>
      <c r="F294" t="s">
        <v>91</v>
      </c>
      <c r="G294" t="s">
        <v>104</v>
      </c>
      <c r="H294">
        <v>7</v>
      </c>
      <c r="I294" s="17" t="str">
        <f>VLOOKUP(G294,매칭테이블!D:E,2,0)</f>
        <v>트리트먼트</v>
      </c>
      <c r="J294">
        <v>201210</v>
      </c>
      <c r="L294" s="19">
        <f>VLOOKUP($P294,매칭테이블!$G:$J,2,0)*H294</f>
        <v>182000</v>
      </c>
      <c r="M294" s="19">
        <f>L294-L294*VLOOKUP($P294,매칭테이블!$G:$J,3,0)</f>
        <v>171353</v>
      </c>
      <c r="N294" s="19">
        <f>VLOOKUP($P294,매칭테이블!$G:$J,4,0)*H294</f>
        <v>11179</v>
      </c>
      <c r="O294" s="20">
        <f t="shared" si="50"/>
        <v>165454.54545454544</v>
      </c>
      <c r="P294" s="19" t="str">
        <f t="shared" si="21"/>
        <v>카페24트리트먼트HAIR RÉ:COVERY 15 Hairpack Treatment [헤어 리커버리 15 헤어팩 트리트먼트]제품선택=헤어 리커버리 15 헤어팩 트리트먼트201210</v>
      </c>
    </row>
    <row r="295" spans="2:16" x14ac:dyDescent="0.3">
      <c r="B295" s="2">
        <v>44176</v>
      </c>
      <c r="C295" s="19" t="str">
        <f t="shared" si="49"/>
        <v>금</v>
      </c>
      <c r="E295" s="17" t="str">
        <f>INDEX(매칭테이블!C:C,MATCH(RD!G295,매칭테이블!D:D,0))</f>
        <v>트리트먼트</v>
      </c>
      <c r="F295" t="s">
        <v>91</v>
      </c>
      <c r="G295" t="s">
        <v>108</v>
      </c>
      <c r="H295">
        <v>2</v>
      </c>
      <c r="I295" s="17" t="str">
        <f>VLOOKUP(G295,매칭테이블!D:E,2,0)</f>
        <v>트리트먼트 3set</v>
      </c>
      <c r="J295">
        <v>201210</v>
      </c>
      <c r="L295" s="19">
        <f>VLOOKUP($P295,매칭테이블!$G:$J,2,0)*H295</f>
        <v>140400</v>
      </c>
      <c r="M295" s="19">
        <f>L295-L295*VLOOKUP($P295,매칭테이블!$G:$J,3,0)</f>
        <v>132186.6</v>
      </c>
      <c r="N295" s="19">
        <f>VLOOKUP($P295,매칭테이블!$G:$J,4,0)*H295</f>
        <v>9582</v>
      </c>
      <c r="O295" s="20">
        <f t="shared" si="50"/>
        <v>127636.36363636363</v>
      </c>
      <c r="P295" s="19" t="str">
        <f t="shared" si="21"/>
        <v>카페24트리트먼트HAIR RÉ:COVERY 15 Hairpack Treatment [헤어 리커버리 15 헤어팩 트리트먼트]제품선택=헤어팩 트리트먼트 3개 세트 10% 추가할인201210</v>
      </c>
    </row>
    <row r="296" spans="2:16" x14ac:dyDescent="0.3">
      <c r="B296" s="2">
        <v>44176</v>
      </c>
      <c r="C296" s="19" t="str">
        <f t="shared" si="49"/>
        <v>금</v>
      </c>
      <c r="E296" s="17" t="str">
        <f>INDEX(매칭테이블!C:C,MATCH(RD!G296,매칭테이블!D:D,0))</f>
        <v>뉴트리셔스밤</v>
      </c>
      <c r="F296" t="s">
        <v>91</v>
      </c>
      <c r="G296" t="s">
        <v>106</v>
      </c>
      <c r="H296">
        <v>2</v>
      </c>
      <c r="I296" s="17" t="str">
        <f>VLOOKUP(G296,매칭테이블!D:E,2,0)</f>
        <v>뉴트리셔스밤</v>
      </c>
      <c r="J296">
        <v>201210</v>
      </c>
      <c r="L296" s="19">
        <f>VLOOKUP($P296,매칭테이블!$G:$J,2,0)*H296</f>
        <v>49800</v>
      </c>
      <c r="M296" s="19">
        <f>L296-L296*VLOOKUP($P296,매칭테이블!$G:$J,3,0)</f>
        <v>46886.7</v>
      </c>
      <c r="N296" s="19">
        <f>VLOOKUP($P296,매칭테이블!$G:$J,4,0)*H296</f>
        <v>3160</v>
      </c>
      <c r="O296" s="20">
        <f t="shared" si="50"/>
        <v>45272.727272727272</v>
      </c>
      <c r="P296" s="19" t="str">
        <f t="shared" ref="P296:P359" si="51">F296&amp;E296&amp;G296&amp;J296</f>
        <v>카페24뉴트리셔스밤HAIR RÉ:COVERY 15 Nutritious Balm [헤어 리커버리 15 뉴트리셔스 밤]제품선택=헤어 리커버리 15 뉴트리셔스 밤201210</v>
      </c>
    </row>
    <row r="297" spans="2:16" x14ac:dyDescent="0.3">
      <c r="B297" s="2">
        <v>44176</v>
      </c>
      <c r="C297" s="19" t="str">
        <f t="shared" si="49"/>
        <v>금</v>
      </c>
      <c r="E297" s="17" t="str">
        <f>INDEX(매칭테이블!C:C,MATCH(RD!G297,매칭테이블!D:D,0))</f>
        <v>뉴트리셔스밤</v>
      </c>
      <c r="F297" t="s">
        <v>91</v>
      </c>
      <c r="G297" t="s">
        <v>112</v>
      </c>
      <c r="H297">
        <v>2</v>
      </c>
      <c r="I297" s="17" t="str">
        <f>VLOOKUP(G297,매칭테이블!D:E,2,0)</f>
        <v>뉴트리셔스밤 3set</v>
      </c>
      <c r="J297">
        <v>201210</v>
      </c>
      <c r="L297" s="19">
        <f>VLOOKUP($P297,매칭테이블!$G:$J,2,0)*H297</f>
        <v>134460</v>
      </c>
      <c r="M297" s="19">
        <f>L297-L297*VLOOKUP($P297,매칭테이블!$G:$J,3,0)</f>
        <v>126594.09</v>
      </c>
      <c r="N297" s="19">
        <f>VLOOKUP($P297,매칭테이블!$G:$J,4,0)*H297</f>
        <v>9480</v>
      </c>
      <c r="O297" s="20">
        <f t="shared" si="50"/>
        <v>122236.36363636363</v>
      </c>
      <c r="P297" s="19" t="str">
        <f t="shared" si="51"/>
        <v>카페24뉴트리셔스밤HAIR RÉ:COVERY 15 Nutritious Balm [헤어 리커버리 15 뉴트리셔스 밤]제품선택=뉴트리셔스 밤 3개 세트 10% 추가할인201210</v>
      </c>
    </row>
    <row r="298" spans="2:16" x14ac:dyDescent="0.3">
      <c r="B298" s="2">
        <v>44176</v>
      </c>
      <c r="C298" s="19" t="str">
        <f t="shared" si="49"/>
        <v>금</v>
      </c>
      <c r="E298" s="17" t="str">
        <f>INDEX(매칭테이블!C:C,MATCH(RD!G298,매칭테이블!D:D,0))</f>
        <v>뉴트리셔스밤</v>
      </c>
      <c r="F298" t="s">
        <v>91</v>
      </c>
      <c r="G298" t="s">
        <v>110</v>
      </c>
      <c r="H298">
        <v>1</v>
      </c>
      <c r="I298" s="17" t="str">
        <f>VLOOKUP(G298,매칭테이블!D:E,2,0)</f>
        <v>트리트먼트+뉴트리셔스밤</v>
      </c>
      <c r="J298">
        <v>201210</v>
      </c>
      <c r="L298" s="19">
        <f>VLOOKUP($P298,매칭테이블!$G:$J,2,0)*H298</f>
        <v>48355</v>
      </c>
      <c r="M298" s="19">
        <f>L298-L298*VLOOKUP($P298,매칭테이블!$G:$J,3,0)</f>
        <v>45526.232499999998</v>
      </c>
      <c r="N298" s="19">
        <f>VLOOKUP($P298,매칭테이블!$G:$J,4,0)*H298</f>
        <v>3177</v>
      </c>
      <c r="O298" s="20">
        <f t="shared" si="50"/>
        <v>43959.090909090904</v>
      </c>
      <c r="P298" s="19" t="str">
        <f t="shared" si="51"/>
        <v>카페24뉴트리셔스밤HAIR RÉ:COVERY 15 Nutritious Balm [헤어 리커버리 15 뉴트리셔스 밤]제품선택=뉴트리셔스밤 1개 + 헤어팩 트리트먼트 1개 세트 5%추가할인201210</v>
      </c>
    </row>
    <row r="299" spans="2:16" x14ac:dyDescent="0.3">
      <c r="B299" s="2">
        <v>44176</v>
      </c>
      <c r="C299" s="19" t="str">
        <f t="shared" si="49"/>
        <v>금</v>
      </c>
      <c r="E299" s="17" t="str">
        <f>INDEX(매칭테이블!C:C,MATCH(RD!G299,매칭테이블!D:D,0))</f>
        <v>샴푸</v>
      </c>
      <c r="F299" t="s">
        <v>91</v>
      </c>
      <c r="G299" t="s">
        <v>92</v>
      </c>
      <c r="H299">
        <v>21</v>
      </c>
      <c r="I299" s="17" t="str">
        <f>VLOOKUP(G299,매칭테이블!D:E,2,0)</f>
        <v>리바이탈 샴푸</v>
      </c>
      <c r="J299">
        <v>201210</v>
      </c>
      <c r="L299" s="19">
        <f>VLOOKUP($P299,매칭테이블!$G:$J,2,0)*H299</f>
        <v>564900</v>
      </c>
      <c r="M299" s="19">
        <f>L299-L299*VLOOKUP($P299,매칭테이블!$G:$J,3,0)</f>
        <v>531853.35</v>
      </c>
      <c r="N299" s="19">
        <f>VLOOKUP($P299,매칭테이블!$G:$J,4,0)*H299</f>
        <v>63420</v>
      </c>
      <c r="O299" s="20">
        <f t="shared" si="50"/>
        <v>513545.45454545453</v>
      </c>
      <c r="P299" s="19" t="str">
        <f t="shared" si="51"/>
        <v>카페24샴푸HAIR RÉ:COVERY 15 Revital Shampoo [라베나 리커버리 15 리바이탈 샴푸]제품선택=헤어 리커버리 15 리바이탈 샴푸 - 500ml201210</v>
      </c>
    </row>
    <row r="300" spans="2:16" x14ac:dyDescent="0.3">
      <c r="B300" s="2">
        <v>44176</v>
      </c>
      <c r="C300" s="19" t="str">
        <f t="shared" si="49"/>
        <v>금</v>
      </c>
      <c r="E300" s="17" t="str">
        <f>INDEX(매칭테이블!C:C,MATCH(RD!G300,매칭테이블!D:D,0))</f>
        <v>샴푸</v>
      </c>
      <c r="F300" t="s">
        <v>91</v>
      </c>
      <c r="G300" t="s">
        <v>93</v>
      </c>
      <c r="H300">
        <v>7</v>
      </c>
      <c r="I300" s="17" t="str">
        <f>VLOOKUP(G300,매칭테이블!D:E,2,0)</f>
        <v>리바이탈 샴푸</v>
      </c>
      <c r="J300">
        <v>201210</v>
      </c>
      <c r="L300" s="19">
        <f>VLOOKUP($P300,매칭테이블!$G:$J,2,0)*H300</f>
        <v>357770</v>
      </c>
      <c r="M300" s="19">
        <f>L300-L300*VLOOKUP($P300,매칭테이블!$G:$J,3,0)</f>
        <v>336840.45500000002</v>
      </c>
      <c r="N300" s="19">
        <f>VLOOKUP($P300,매칭테이블!$G:$J,4,0)*H300</f>
        <v>42280</v>
      </c>
      <c r="O300" s="20">
        <f t="shared" si="50"/>
        <v>325245.45454545453</v>
      </c>
      <c r="P300" s="19" t="str">
        <f t="shared" si="51"/>
        <v>카페24샴푸HAIR RÉ:COVERY 15 Revital Shampoo [라베나 리커버리 15 리바이탈 샴푸]제품선택=리바이탈 샴푸 2개 세트 5%추가할인201210</v>
      </c>
    </row>
    <row r="301" spans="2:16" x14ac:dyDescent="0.3">
      <c r="B301" s="2">
        <v>44176</v>
      </c>
      <c r="C301" s="19" t="str">
        <f t="shared" si="49"/>
        <v>금</v>
      </c>
      <c r="E301" s="17" t="str">
        <f>INDEX(매칭테이블!C:C,MATCH(RD!G301,매칭테이블!D:D,0))</f>
        <v>샴푸</v>
      </c>
      <c r="F301" t="s">
        <v>91</v>
      </c>
      <c r="G301" t="s">
        <v>94</v>
      </c>
      <c r="H301">
        <v>12</v>
      </c>
      <c r="I301" s="17" t="str">
        <f>VLOOKUP(G301,매칭테이블!D:E,2,0)</f>
        <v>리바이탈 샴푸 3set</v>
      </c>
      <c r="J301">
        <v>201210</v>
      </c>
      <c r="L301" s="19">
        <f>VLOOKUP($P301,매칭테이블!$G:$J,2,0)*H301</f>
        <v>871560</v>
      </c>
      <c r="M301" s="19">
        <f>L301-L301*VLOOKUP($P301,매칭테이블!$G:$J,3,0)</f>
        <v>820573.74</v>
      </c>
      <c r="N301" s="19">
        <f>VLOOKUP($P301,매칭테이블!$G:$J,4,0)*H301</f>
        <v>108720</v>
      </c>
      <c r="O301" s="20">
        <f t="shared" si="50"/>
        <v>792327.27272727271</v>
      </c>
      <c r="P301" s="19" t="str">
        <f t="shared" si="51"/>
        <v>카페24샴푸HAIR RÉ:COVERY 15 Revital Shampoo [라베나 리커버리 15 리바이탈 샴푸]제품선택=리바이탈 샴푸 3개 세트 10% 추가할인201210</v>
      </c>
    </row>
    <row r="302" spans="2:16" x14ac:dyDescent="0.3">
      <c r="B302" s="2">
        <v>44177</v>
      </c>
      <c r="C302" s="19" t="str">
        <f t="shared" si="49"/>
        <v>토</v>
      </c>
      <c r="E302" s="17" t="str">
        <f>INDEX(매칭테이블!C:C,MATCH(RD!G302,매칭테이블!D:D,0))</f>
        <v>트리트먼트</v>
      </c>
      <c r="F302" t="s">
        <v>91</v>
      </c>
      <c r="G302" t="s">
        <v>104</v>
      </c>
      <c r="H302">
        <v>7</v>
      </c>
      <c r="I302" s="17" t="str">
        <f>VLOOKUP(G302,매칭테이블!D:E,2,0)</f>
        <v>트리트먼트</v>
      </c>
      <c r="J302">
        <v>201210</v>
      </c>
      <c r="L302" s="19">
        <f>VLOOKUP($P302,매칭테이블!$G:$J,2,0)*H302</f>
        <v>182000</v>
      </c>
      <c r="M302" s="19">
        <f>L302-L302*VLOOKUP($P302,매칭테이블!$G:$J,3,0)</f>
        <v>171353</v>
      </c>
      <c r="N302" s="19">
        <f>VLOOKUP($P302,매칭테이블!$G:$J,4,0)*H302</f>
        <v>11179</v>
      </c>
      <c r="O302" s="20">
        <f t="shared" si="50"/>
        <v>165454.54545454544</v>
      </c>
      <c r="P302" s="19" t="str">
        <f t="shared" si="51"/>
        <v>카페24트리트먼트HAIR RÉ:COVERY 15 Hairpack Treatment [헤어 리커버리 15 헤어팩 트리트먼트]제품선택=헤어 리커버리 15 헤어팩 트리트먼트201210</v>
      </c>
    </row>
    <row r="303" spans="2:16" x14ac:dyDescent="0.3">
      <c r="B303" s="2">
        <v>44177</v>
      </c>
      <c r="C303" s="19" t="str">
        <f t="shared" si="49"/>
        <v>토</v>
      </c>
      <c r="E303" s="17" t="str">
        <f>INDEX(매칭테이블!C:C,MATCH(RD!G303,매칭테이블!D:D,0))</f>
        <v>트리트먼트</v>
      </c>
      <c r="F303" t="s">
        <v>91</v>
      </c>
      <c r="G303" t="s">
        <v>113</v>
      </c>
      <c r="H303">
        <v>1</v>
      </c>
      <c r="I303" s="17" t="str">
        <f>VLOOKUP(G303,매칭테이블!D:E,2,0)</f>
        <v>트리트먼트 2set</v>
      </c>
      <c r="J303">
        <v>201210</v>
      </c>
      <c r="L303" s="19">
        <f>VLOOKUP($P303,매칭테이블!$G:$J,2,0)*H303</f>
        <v>49400</v>
      </c>
      <c r="M303" s="19">
        <f>L303-L303*VLOOKUP($P303,매칭테이블!$G:$J,3,0)</f>
        <v>46510.1</v>
      </c>
      <c r="N303" s="19">
        <f>VLOOKUP($P303,매칭테이블!$G:$J,4,0)*H303</f>
        <v>3194</v>
      </c>
      <c r="O303" s="20">
        <f t="shared" si="50"/>
        <v>44909.090909090904</v>
      </c>
      <c r="P303" s="19" t="str">
        <f t="shared" si="51"/>
        <v>카페24트리트먼트HAIR RÉ:COVERY 15 Hairpack Treatment [헤어 리커버리 15 헤어팩 트리트먼트]제품선택=헤어팩 트리트먼트 2개 세트 5% 추가할인201210</v>
      </c>
    </row>
    <row r="304" spans="2:16" x14ac:dyDescent="0.3">
      <c r="B304" s="2">
        <v>44177</v>
      </c>
      <c r="C304" s="19" t="str">
        <f t="shared" si="49"/>
        <v>토</v>
      </c>
      <c r="E304" s="17" t="str">
        <f>INDEX(매칭테이블!C:C,MATCH(RD!G304,매칭테이블!D:D,0))</f>
        <v>트리트먼트</v>
      </c>
      <c r="F304" t="s">
        <v>91</v>
      </c>
      <c r="G304" t="s">
        <v>108</v>
      </c>
      <c r="H304">
        <v>1</v>
      </c>
      <c r="I304" s="17" t="str">
        <f>VLOOKUP(G304,매칭테이블!D:E,2,0)</f>
        <v>트리트먼트 3set</v>
      </c>
      <c r="J304">
        <v>201210</v>
      </c>
      <c r="L304" s="19">
        <f>VLOOKUP($P304,매칭테이블!$G:$J,2,0)*H304</f>
        <v>70200</v>
      </c>
      <c r="M304" s="19">
        <f>L304-L304*VLOOKUP($P304,매칭테이블!$G:$J,3,0)</f>
        <v>66093.3</v>
      </c>
      <c r="N304" s="19">
        <f>VLOOKUP($P304,매칭테이블!$G:$J,4,0)*H304</f>
        <v>4791</v>
      </c>
      <c r="O304" s="20">
        <f t="shared" si="50"/>
        <v>63818.181818181816</v>
      </c>
      <c r="P304" s="19" t="str">
        <f t="shared" si="51"/>
        <v>카페24트리트먼트HAIR RÉ:COVERY 15 Hairpack Treatment [헤어 리커버리 15 헤어팩 트리트먼트]제품선택=헤어팩 트리트먼트 3개 세트 10% 추가할인201210</v>
      </c>
    </row>
    <row r="305" spans="2:16" x14ac:dyDescent="0.3">
      <c r="B305" s="2">
        <v>44177</v>
      </c>
      <c r="C305" s="19" t="str">
        <f t="shared" si="49"/>
        <v>토</v>
      </c>
      <c r="E305" s="17" t="str">
        <f>INDEX(매칭테이블!C:C,MATCH(RD!G305,매칭테이블!D:D,0))</f>
        <v>트리트먼트</v>
      </c>
      <c r="F305" t="s">
        <v>91</v>
      </c>
      <c r="G305" t="s">
        <v>105</v>
      </c>
      <c r="H305">
        <v>2</v>
      </c>
      <c r="I305" s="17" t="str">
        <f>VLOOKUP(G305,매칭테이블!D:E,2,0)</f>
        <v>트리트먼트+뉴트리셔스밤</v>
      </c>
      <c r="J305">
        <v>201210</v>
      </c>
      <c r="L305" s="19">
        <f>VLOOKUP($P305,매칭테이블!$G:$J,2,0)*H305</f>
        <v>96710</v>
      </c>
      <c r="M305" s="19">
        <f>L305-L305*VLOOKUP($P305,매칭테이블!$G:$J,3,0)</f>
        <v>91052.464999999997</v>
      </c>
      <c r="N305" s="19">
        <f>VLOOKUP($P305,매칭테이블!$G:$J,4,0)*H305</f>
        <v>6354</v>
      </c>
      <c r="O305" s="20">
        <f t="shared" si="50"/>
        <v>87918.181818181809</v>
      </c>
      <c r="P305" s="19" t="str">
        <f t="shared" si="51"/>
        <v>카페24트리트먼트HAIR RÉ:COVERY 15 Hairpack Treatment [헤어 리커버리 15 헤어팩 트리트먼트]제품선택=헤어팩 트리트먼트 1개 + 뉴트리셔스밤 1개 세트 5% 추가할인201210</v>
      </c>
    </row>
    <row r="306" spans="2:16" x14ac:dyDescent="0.3">
      <c r="B306" s="2">
        <v>44177</v>
      </c>
      <c r="C306" s="19" t="str">
        <f t="shared" si="49"/>
        <v>토</v>
      </c>
      <c r="E306" s="17" t="str">
        <f>INDEX(매칭테이블!C:C,MATCH(RD!G306,매칭테이블!D:D,0))</f>
        <v>뉴트리셔스밤</v>
      </c>
      <c r="F306" t="s">
        <v>91</v>
      </c>
      <c r="G306" t="s">
        <v>106</v>
      </c>
      <c r="H306">
        <v>4</v>
      </c>
      <c r="I306" s="17" t="str">
        <f>VLOOKUP(G306,매칭테이블!D:E,2,0)</f>
        <v>뉴트리셔스밤</v>
      </c>
      <c r="J306">
        <v>201210</v>
      </c>
      <c r="L306" s="19">
        <f>VLOOKUP($P306,매칭테이블!$G:$J,2,0)*H306</f>
        <v>99600</v>
      </c>
      <c r="M306" s="19">
        <f>L306-L306*VLOOKUP($P306,매칭테이블!$G:$J,3,0)</f>
        <v>93773.4</v>
      </c>
      <c r="N306" s="19">
        <f>VLOOKUP($P306,매칭테이블!$G:$J,4,0)*H306</f>
        <v>6320</v>
      </c>
      <c r="O306" s="20">
        <f t="shared" si="50"/>
        <v>90545.454545454544</v>
      </c>
      <c r="P306" s="19" t="str">
        <f t="shared" si="51"/>
        <v>카페24뉴트리셔스밤HAIR RÉ:COVERY 15 Nutritious Balm [헤어 리커버리 15 뉴트리셔스 밤]제품선택=헤어 리커버리 15 뉴트리셔스 밤201210</v>
      </c>
    </row>
    <row r="307" spans="2:16" x14ac:dyDescent="0.3">
      <c r="B307" s="2">
        <v>44177</v>
      </c>
      <c r="C307" s="19" t="str">
        <f t="shared" si="49"/>
        <v>토</v>
      </c>
      <c r="E307" s="17" t="str">
        <f>INDEX(매칭테이블!C:C,MATCH(RD!G307,매칭테이블!D:D,0))</f>
        <v>뉴트리셔스밤</v>
      </c>
      <c r="F307" t="s">
        <v>91</v>
      </c>
      <c r="G307" t="s">
        <v>110</v>
      </c>
      <c r="H307">
        <v>1</v>
      </c>
      <c r="I307" s="17" t="str">
        <f>VLOOKUP(G307,매칭테이블!D:E,2,0)</f>
        <v>트리트먼트+뉴트리셔스밤</v>
      </c>
      <c r="J307">
        <v>201210</v>
      </c>
      <c r="L307" s="19">
        <f>VLOOKUP($P307,매칭테이블!$G:$J,2,0)*H307</f>
        <v>48355</v>
      </c>
      <c r="M307" s="19">
        <f>L307-L307*VLOOKUP($P307,매칭테이블!$G:$J,3,0)</f>
        <v>45526.232499999998</v>
      </c>
      <c r="N307" s="19">
        <f>VLOOKUP($P307,매칭테이블!$G:$J,4,0)*H307</f>
        <v>3177</v>
      </c>
      <c r="O307" s="20">
        <f t="shared" si="50"/>
        <v>43959.090909090904</v>
      </c>
      <c r="P307" s="19" t="str">
        <f t="shared" si="51"/>
        <v>카페24뉴트리셔스밤HAIR RÉ:COVERY 15 Nutritious Balm [헤어 리커버리 15 뉴트리셔스 밤]제품선택=뉴트리셔스밤 1개 + 헤어팩 트리트먼트 1개 세트 5%추가할인201210</v>
      </c>
    </row>
    <row r="308" spans="2:16" x14ac:dyDescent="0.3">
      <c r="B308" s="2">
        <v>44177</v>
      </c>
      <c r="C308" s="19" t="str">
        <f t="shared" si="49"/>
        <v>토</v>
      </c>
      <c r="E308" s="17" t="str">
        <f>INDEX(매칭테이블!C:C,MATCH(RD!G308,매칭테이블!D:D,0))</f>
        <v>샴푸</v>
      </c>
      <c r="F308" t="s">
        <v>91</v>
      </c>
      <c r="G308" t="s">
        <v>92</v>
      </c>
      <c r="H308">
        <v>15</v>
      </c>
      <c r="I308" s="17" t="str">
        <f>VLOOKUP(G308,매칭테이블!D:E,2,0)</f>
        <v>리바이탈 샴푸</v>
      </c>
      <c r="J308">
        <v>201210</v>
      </c>
      <c r="L308" s="19">
        <f>VLOOKUP($P308,매칭테이블!$G:$J,2,0)*H308</f>
        <v>403500</v>
      </c>
      <c r="M308" s="19">
        <f>L308-L308*VLOOKUP($P308,매칭테이블!$G:$J,3,0)</f>
        <v>379895.25</v>
      </c>
      <c r="N308" s="19">
        <f>VLOOKUP($P308,매칭테이블!$G:$J,4,0)*H308</f>
        <v>45300</v>
      </c>
      <c r="O308" s="20">
        <f t="shared" si="50"/>
        <v>366818.18181818177</v>
      </c>
      <c r="P308" s="19" t="str">
        <f t="shared" si="51"/>
        <v>카페24샴푸HAIR RÉ:COVERY 15 Revital Shampoo [라베나 리커버리 15 리바이탈 샴푸]제품선택=헤어 리커버리 15 리바이탈 샴푸 - 500ml201210</v>
      </c>
    </row>
    <row r="309" spans="2:16" x14ac:dyDescent="0.3">
      <c r="B309" s="2">
        <v>44177</v>
      </c>
      <c r="C309" s="19" t="str">
        <f t="shared" si="49"/>
        <v>토</v>
      </c>
      <c r="E309" s="17" t="str">
        <f>INDEX(매칭테이블!C:C,MATCH(RD!G309,매칭테이블!D:D,0))</f>
        <v>샴푸</v>
      </c>
      <c r="F309" t="s">
        <v>91</v>
      </c>
      <c r="G309" t="s">
        <v>93</v>
      </c>
      <c r="H309">
        <v>10</v>
      </c>
      <c r="I309" s="17" t="str">
        <f>VLOOKUP(G309,매칭테이블!D:E,2,0)</f>
        <v>리바이탈 샴푸</v>
      </c>
      <c r="J309">
        <v>201210</v>
      </c>
      <c r="L309" s="19">
        <f>VLOOKUP($P309,매칭테이블!$G:$J,2,0)*H309</f>
        <v>511100</v>
      </c>
      <c r="M309" s="19">
        <f>L309-L309*VLOOKUP($P309,매칭테이블!$G:$J,3,0)</f>
        <v>481200.65</v>
      </c>
      <c r="N309" s="19">
        <f>VLOOKUP($P309,매칭테이블!$G:$J,4,0)*H309</f>
        <v>60400</v>
      </c>
      <c r="O309" s="20">
        <f t="shared" si="50"/>
        <v>464636.36363636359</v>
      </c>
      <c r="P309" s="19" t="str">
        <f t="shared" si="51"/>
        <v>카페24샴푸HAIR RÉ:COVERY 15 Revital Shampoo [라베나 리커버리 15 리바이탈 샴푸]제품선택=리바이탈 샴푸 2개 세트 5%추가할인201210</v>
      </c>
    </row>
    <row r="310" spans="2:16" x14ac:dyDescent="0.3">
      <c r="B310" s="2">
        <v>44177</v>
      </c>
      <c r="C310" s="19" t="str">
        <f t="shared" si="49"/>
        <v>토</v>
      </c>
      <c r="E310" s="17" t="str">
        <f>INDEX(매칭테이블!C:C,MATCH(RD!G310,매칭테이블!D:D,0))</f>
        <v>샴푸</v>
      </c>
      <c r="F310" t="s">
        <v>91</v>
      </c>
      <c r="G310" t="s">
        <v>94</v>
      </c>
      <c r="H310">
        <v>2</v>
      </c>
      <c r="I310" s="17" t="str">
        <f>VLOOKUP(G310,매칭테이블!D:E,2,0)</f>
        <v>리바이탈 샴푸 3set</v>
      </c>
      <c r="J310">
        <v>201210</v>
      </c>
      <c r="L310" s="19">
        <f>VLOOKUP($P310,매칭테이블!$G:$J,2,0)*H310</f>
        <v>145260</v>
      </c>
      <c r="M310" s="19">
        <f>L310-L310*VLOOKUP($P310,매칭테이블!$G:$J,3,0)</f>
        <v>136762.29</v>
      </c>
      <c r="N310" s="19">
        <f>VLOOKUP($P310,매칭테이블!$G:$J,4,0)*H310</f>
        <v>18120</v>
      </c>
      <c r="O310" s="20">
        <f t="shared" si="50"/>
        <v>132054.54545454544</v>
      </c>
      <c r="P310" s="19" t="str">
        <f t="shared" si="51"/>
        <v>카페24샴푸HAIR RÉ:COVERY 15 Revital Shampoo [라베나 리커버리 15 리바이탈 샴푸]제품선택=리바이탈 샴푸 3개 세트 10% 추가할인201210</v>
      </c>
    </row>
    <row r="311" spans="2:16" x14ac:dyDescent="0.3">
      <c r="B311" s="2">
        <v>44178</v>
      </c>
      <c r="C311" s="19" t="str">
        <f t="shared" si="49"/>
        <v>일</v>
      </c>
      <c r="E311" s="17" t="str">
        <f>INDEX(매칭테이블!C:C,MATCH(RD!G311,매칭테이블!D:D,0))</f>
        <v>트리트먼트</v>
      </c>
      <c r="F311" t="s">
        <v>91</v>
      </c>
      <c r="G311" t="s">
        <v>104</v>
      </c>
      <c r="H311">
        <v>3</v>
      </c>
      <c r="I311" s="17" t="str">
        <f>VLOOKUP(G311,매칭테이블!D:E,2,0)</f>
        <v>트리트먼트</v>
      </c>
      <c r="J311">
        <v>201210</v>
      </c>
      <c r="L311" s="19">
        <f>VLOOKUP($P311,매칭테이블!$G:$J,2,0)*H311</f>
        <v>78000</v>
      </c>
      <c r="M311" s="19">
        <f>L311-L311*VLOOKUP($P311,매칭테이블!$G:$J,3,0)</f>
        <v>73437</v>
      </c>
      <c r="N311" s="19">
        <f>VLOOKUP($P311,매칭테이블!$G:$J,4,0)*H311</f>
        <v>4791</v>
      </c>
      <c r="O311" s="20">
        <f t="shared" si="50"/>
        <v>70909.090909090897</v>
      </c>
      <c r="P311" s="19" t="str">
        <f t="shared" si="51"/>
        <v>카페24트리트먼트HAIR RÉ:COVERY 15 Hairpack Treatment [헤어 리커버리 15 헤어팩 트리트먼트]제품선택=헤어 리커버리 15 헤어팩 트리트먼트201210</v>
      </c>
    </row>
    <row r="312" spans="2:16" x14ac:dyDescent="0.3">
      <c r="B312" s="2">
        <v>44178</v>
      </c>
      <c r="C312" s="19" t="str">
        <f t="shared" si="49"/>
        <v>일</v>
      </c>
      <c r="E312" s="17" t="str">
        <f>INDEX(매칭테이블!C:C,MATCH(RD!G312,매칭테이블!D:D,0))</f>
        <v>트리트먼트</v>
      </c>
      <c r="F312" t="s">
        <v>91</v>
      </c>
      <c r="G312" t="s">
        <v>108</v>
      </c>
      <c r="H312">
        <v>1</v>
      </c>
      <c r="I312" s="17" t="str">
        <f>VLOOKUP(G312,매칭테이블!D:E,2,0)</f>
        <v>트리트먼트 3set</v>
      </c>
      <c r="J312">
        <v>201210</v>
      </c>
      <c r="L312" s="19">
        <f>VLOOKUP($P312,매칭테이블!$G:$J,2,0)*H312</f>
        <v>70200</v>
      </c>
      <c r="M312" s="19">
        <f>L312-L312*VLOOKUP($P312,매칭테이블!$G:$J,3,0)</f>
        <v>66093.3</v>
      </c>
      <c r="N312" s="19">
        <f>VLOOKUP($P312,매칭테이블!$G:$J,4,0)*H312</f>
        <v>4791</v>
      </c>
      <c r="O312" s="20">
        <f t="shared" si="50"/>
        <v>63818.181818181816</v>
      </c>
      <c r="P312" s="19" t="str">
        <f t="shared" si="51"/>
        <v>카페24트리트먼트HAIR RÉ:COVERY 15 Hairpack Treatment [헤어 리커버리 15 헤어팩 트리트먼트]제품선택=헤어팩 트리트먼트 3개 세트 10% 추가할인201210</v>
      </c>
    </row>
    <row r="313" spans="2:16" x14ac:dyDescent="0.3">
      <c r="B313" s="2">
        <v>44178</v>
      </c>
      <c r="C313" s="19" t="str">
        <f t="shared" si="49"/>
        <v>일</v>
      </c>
      <c r="E313" s="17" t="str">
        <f>INDEX(매칭테이블!C:C,MATCH(RD!G313,매칭테이블!D:D,0))</f>
        <v>뉴트리셔스밤</v>
      </c>
      <c r="F313" t="s">
        <v>91</v>
      </c>
      <c r="G313" t="s">
        <v>106</v>
      </c>
      <c r="H313">
        <v>4</v>
      </c>
      <c r="I313" s="17" t="str">
        <f>VLOOKUP(G313,매칭테이블!D:E,2,0)</f>
        <v>뉴트리셔스밤</v>
      </c>
      <c r="J313">
        <v>201210</v>
      </c>
      <c r="L313" s="19">
        <f>VLOOKUP($P313,매칭테이블!$G:$J,2,0)*H313</f>
        <v>99600</v>
      </c>
      <c r="M313" s="19">
        <f>L313-L313*VLOOKUP($P313,매칭테이블!$G:$J,3,0)</f>
        <v>93773.4</v>
      </c>
      <c r="N313" s="19">
        <f>VLOOKUP($P313,매칭테이블!$G:$J,4,0)*H313</f>
        <v>6320</v>
      </c>
      <c r="O313" s="20">
        <f t="shared" si="50"/>
        <v>90545.454545454544</v>
      </c>
      <c r="P313" s="19" t="str">
        <f t="shared" si="51"/>
        <v>카페24뉴트리셔스밤HAIR RÉ:COVERY 15 Nutritious Balm [헤어 리커버리 15 뉴트리셔스 밤]제품선택=헤어 리커버리 15 뉴트리셔스 밤201210</v>
      </c>
    </row>
    <row r="314" spans="2:16" x14ac:dyDescent="0.3">
      <c r="B314" s="2">
        <v>44178</v>
      </c>
      <c r="C314" s="19" t="str">
        <f t="shared" si="49"/>
        <v>일</v>
      </c>
      <c r="E314" s="17" t="str">
        <f>INDEX(매칭테이블!C:C,MATCH(RD!G314,매칭테이블!D:D,0))</f>
        <v>뉴트리셔스밤</v>
      </c>
      <c r="F314" t="s">
        <v>91</v>
      </c>
      <c r="G314" t="s">
        <v>110</v>
      </c>
      <c r="H314">
        <v>1</v>
      </c>
      <c r="I314" s="17" t="str">
        <f>VLOOKUP(G314,매칭테이블!D:E,2,0)</f>
        <v>트리트먼트+뉴트리셔스밤</v>
      </c>
      <c r="J314">
        <v>201210</v>
      </c>
      <c r="L314" s="19">
        <f>VLOOKUP($P314,매칭테이블!$G:$J,2,0)*H314</f>
        <v>48355</v>
      </c>
      <c r="M314" s="19">
        <f>L314-L314*VLOOKUP($P314,매칭테이블!$G:$J,3,0)</f>
        <v>45526.232499999998</v>
      </c>
      <c r="N314" s="19">
        <f>VLOOKUP($P314,매칭테이블!$G:$J,4,0)*H314</f>
        <v>3177</v>
      </c>
      <c r="O314" s="20">
        <f t="shared" si="50"/>
        <v>43959.090909090904</v>
      </c>
      <c r="P314" s="19" t="str">
        <f t="shared" si="51"/>
        <v>카페24뉴트리셔스밤HAIR RÉ:COVERY 15 Nutritious Balm [헤어 리커버리 15 뉴트리셔스 밤]제품선택=뉴트리셔스밤 1개 + 헤어팩 트리트먼트 1개 세트 5%추가할인201210</v>
      </c>
    </row>
    <row r="315" spans="2:16" x14ac:dyDescent="0.3">
      <c r="B315" s="2">
        <v>44178</v>
      </c>
      <c r="C315" s="19" t="str">
        <f t="shared" si="49"/>
        <v>일</v>
      </c>
      <c r="E315" s="17" t="str">
        <f>INDEX(매칭테이블!C:C,MATCH(RD!G315,매칭테이블!D:D,0))</f>
        <v>샴푸</v>
      </c>
      <c r="F315" t="s">
        <v>91</v>
      </c>
      <c r="G315" t="s">
        <v>92</v>
      </c>
      <c r="H315">
        <v>20</v>
      </c>
      <c r="I315" s="17" t="str">
        <f>VLOOKUP(G315,매칭테이블!D:E,2,0)</f>
        <v>리바이탈 샴푸</v>
      </c>
      <c r="J315">
        <v>201210</v>
      </c>
      <c r="L315" s="19">
        <f>VLOOKUP($P315,매칭테이블!$G:$J,2,0)*H315</f>
        <v>538000</v>
      </c>
      <c r="M315" s="19">
        <f>L315-L315*VLOOKUP($P315,매칭테이블!$G:$J,3,0)</f>
        <v>506527</v>
      </c>
      <c r="N315" s="19">
        <f>VLOOKUP($P315,매칭테이블!$G:$J,4,0)*H315</f>
        <v>60400</v>
      </c>
      <c r="O315" s="20">
        <f t="shared" si="50"/>
        <v>489090.90909090906</v>
      </c>
      <c r="P315" s="19" t="str">
        <f t="shared" si="51"/>
        <v>카페24샴푸HAIR RÉ:COVERY 15 Revital Shampoo [라베나 리커버리 15 리바이탈 샴푸]제품선택=헤어 리커버리 15 리바이탈 샴푸 - 500ml201210</v>
      </c>
    </row>
    <row r="316" spans="2:16" x14ac:dyDescent="0.3">
      <c r="B316" s="2">
        <v>44178</v>
      </c>
      <c r="C316" s="19" t="str">
        <f t="shared" si="49"/>
        <v>일</v>
      </c>
      <c r="E316" s="17" t="str">
        <f>INDEX(매칭테이블!C:C,MATCH(RD!G316,매칭테이블!D:D,0))</f>
        <v>샴푸</v>
      </c>
      <c r="F316" t="s">
        <v>91</v>
      </c>
      <c r="G316" t="s">
        <v>93</v>
      </c>
      <c r="H316">
        <v>3</v>
      </c>
      <c r="I316" s="17" t="str">
        <f>VLOOKUP(G316,매칭테이블!D:E,2,0)</f>
        <v>리바이탈 샴푸</v>
      </c>
      <c r="J316">
        <v>201210</v>
      </c>
      <c r="L316" s="19">
        <f>VLOOKUP($P316,매칭테이블!$G:$J,2,0)*H316</f>
        <v>153330</v>
      </c>
      <c r="M316" s="19">
        <f>L316-L316*VLOOKUP($P316,매칭테이블!$G:$J,3,0)</f>
        <v>144360.19500000001</v>
      </c>
      <c r="N316" s="19">
        <f>VLOOKUP($P316,매칭테이블!$G:$J,4,0)*H316</f>
        <v>18120</v>
      </c>
      <c r="O316" s="20">
        <f t="shared" si="50"/>
        <v>139390.90909090909</v>
      </c>
      <c r="P316" s="19" t="str">
        <f t="shared" si="51"/>
        <v>카페24샴푸HAIR RÉ:COVERY 15 Revital Shampoo [라베나 리커버리 15 리바이탈 샴푸]제품선택=리바이탈 샴푸 2개 세트 5%추가할인201210</v>
      </c>
    </row>
    <row r="317" spans="2:16" x14ac:dyDescent="0.3">
      <c r="B317" s="2">
        <v>44178</v>
      </c>
      <c r="C317" s="19" t="str">
        <f t="shared" si="49"/>
        <v>일</v>
      </c>
      <c r="E317" s="17" t="str">
        <f>INDEX(매칭테이블!C:C,MATCH(RD!G317,매칭테이블!D:D,0))</f>
        <v>샴푸</v>
      </c>
      <c r="F317" t="s">
        <v>91</v>
      </c>
      <c r="G317" t="s">
        <v>94</v>
      </c>
      <c r="H317">
        <v>2</v>
      </c>
      <c r="I317" s="17" t="str">
        <f>VLOOKUP(G317,매칭테이블!D:E,2,0)</f>
        <v>리바이탈 샴푸 3set</v>
      </c>
      <c r="J317">
        <v>201210</v>
      </c>
      <c r="L317" s="19">
        <f>VLOOKUP($P317,매칭테이블!$G:$J,2,0)*H317</f>
        <v>145260</v>
      </c>
      <c r="M317" s="19">
        <f>L317-L317*VLOOKUP($P317,매칭테이블!$G:$J,3,0)</f>
        <v>136762.29</v>
      </c>
      <c r="N317" s="19">
        <f>VLOOKUP($P317,매칭테이블!$G:$J,4,0)*H317</f>
        <v>18120</v>
      </c>
      <c r="O317" s="20">
        <f t="shared" si="50"/>
        <v>132054.54545454544</v>
      </c>
      <c r="P317" s="19" t="str">
        <f t="shared" si="51"/>
        <v>카페24샴푸HAIR RÉ:COVERY 15 Revital Shampoo [라베나 리커버리 15 리바이탈 샴푸]제품선택=리바이탈 샴푸 3개 세트 10% 추가할인201210</v>
      </c>
    </row>
    <row r="318" spans="2:16" x14ac:dyDescent="0.3">
      <c r="B318" s="2">
        <v>44179</v>
      </c>
      <c r="C318" s="19" t="str">
        <f t="shared" si="49"/>
        <v>월</v>
      </c>
      <c r="E318" s="17" t="str">
        <f>INDEX(매칭테이블!C:C,MATCH(RD!G318,매칭테이블!D:D,0))</f>
        <v>뉴트리셔스밤</v>
      </c>
      <c r="F318" t="s">
        <v>95</v>
      </c>
      <c r="G318" t="s">
        <v>114</v>
      </c>
      <c r="H318">
        <v>5</v>
      </c>
      <c r="I318" s="17" t="str">
        <f>VLOOKUP(G318,매칭테이블!D:E,2,0)</f>
        <v>뉴트리셔스밤</v>
      </c>
      <c r="J318">
        <v>201210</v>
      </c>
      <c r="L318" s="19">
        <f>VLOOKUP($P318,매칭테이블!$G:$J,2,0)*H318</f>
        <v>0</v>
      </c>
      <c r="M318" s="19">
        <f>L318-L318*VLOOKUP($P318,매칭테이블!$G:$J,3,0)</f>
        <v>0</v>
      </c>
      <c r="N318" s="19">
        <f>VLOOKUP($P318,매칭테이블!$G:$J,4,0)*H318</f>
        <v>7899.9999999999991</v>
      </c>
      <c r="O318" s="20">
        <f t="shared" ref="O318" si="52">L318/1.1</f>
        <v>0</v>
      </c>
      <c r="P318" s="19" t="str">
        <f t="shared" si="51"/>
        <v>라베나 CS뉴트리셔스밤헤어 리커버리 15 뉴트리셔스 밤201210</v>
      </c>
    </row>
    <row r="319" spans="2:16" x14ac:dyDescent="0.3">
      <c r="B319" s="2">
        <v>44179</v>
      </c>
      <c r="C319" s="19" t="str">
        <f t="shared" ref="C319:C332" si="53">TEXT(B319,"aaa")</f>
        <v>월</v>
      </c>
      <c r="E319" s="17" t="str">
        <f>INDEX(매칭테이블!C:C,MATCH(RD!G319,매칭테이블!D:D,0))</f>
        <v>트리트먼트</v>
      </c>
      <c r="F319" t="s">
        <v>91</v>
      </c>
      <c r="G319" t="s">
        <v>115</v>
      </c>
      <c r="H319">
        <v>2</v>
      </c>
      <c r="I319" s="17" t="str">
        <f>VLOOKUP(G319,매칭테이블!D:E,2,0)</f>
        <v>트리트먼트</v>
      </c>
      <c r="J319">
        <v>201210</v>
      </c>
      <c r="L319" s="19">
        <f>VLOOKUP($P319,매칭테이블!$G:$J,2,0)*H319</f>
        <v>52000</v>
      </c>
      <c r="M319" s="19">
        <f>L319-L319*VLOOKUP($P319,매칭테이블!$G:$J,3,0)</f>
        <v>48958</v>
      </c>
      <c r="N319" s="19">
        <f>VLOOKUP($P319,매칭테이블!$G:$J,4,0)*H319</f>
        <v>3194</v>
      </c>
      <c r="O319" s="20">
        <f t="shared" ref="O319:O331" si="54">L319/1.1</f>
        <v>47272.727272727272</v>
      </c>
      <c r="P319" s="19" t="str">
        <f t="shared" si="51"/>
        <v>카페24트리트먼트HAIR RÉ:COVERY 15 Hairpack Treatment [라베나 리커버리 15 헤어팩 트리트먼트]제품선택=헤어 리커버리 15 헤어팩 트리트먼트201210</v>
      </c>
    </row>
    <row r="320" spans="2:16" x14ac:dyDescent="0.3">
      <c r="B320" s="2">
        <v>44179</v>
      </c>
      <c r="C320" s="19" t="str">
        <f t="shared" si="53"/>
        <v>월</v>
      </c>
      <c r="E320" s="17" t="str">
        <f>INDEX(매칭테이블!C:C,MATCH(RD!G320,매칭테이블!D:D,0))</f>
        <v>트리트먼트</v>
      </c>
      <c r="F320" t="s">
        <v>91</v>
      </c>
      <c r="G320" t="s">
        <v>116</v>
      </c>
      <c r="H320">
        <v>1</v>
      </c>
      <c r="I320" s="17" t="str">
        <f>VLOOKUP(G320,매칭테이블!D:E,2,0)</f>
        <v>트리트먼트 2set</v>
      </c>
      <c r="J320">
        <v>201210</v>
      </c>
      <c r="L320" s="19">
        <f>VLOOKUP($P320,매칭테이블!$G:$J,2,0)*H320</f>
        <v>49400</v>
      </c>
      <c r="M320" s="19">
        <f>L320-L320*VLOOKUP($P320,매칭테이블!$G:$J,3,0)</f>
        <v>46510.1</v>
      </c>
      <c r="N320" s="19">
        <f>VLOOKUP($P320,매칭테이블!$G:$J,4,0)*H320</f>
        <v>3194</v>
      </c>
      <c r="O320" s="20">
        <f t="shared" si="54"/>
        <v>44909.090909090904</v>
      </c>
      <c r="P320" s="19" t="str">
        <f t="shared" si="51"/>
        <v>카페24트리트먼트HAIR RÉ:COVERY 15 Hairpack Treatment [라베나 리커버리 15 헤어팩 트리트먼트]제품선택=헤어팩 트리트먼트 2개 세트 5% 추가할인201210</v>
      </c>
    </row>
    <row r="321" spans="2:16" x14ac:dyDescent="0.3">
      <c r="B321" s="2">
        <v>44179</v>
      </c>
      <c r="C321" s="19" t="str">
        <f t="shared" si="53"/>
        <v>월</v>
      </c>
      <c r="E321" s="17" t="str">
        <f>INDEX(매칭테이블!C:C,MATCH(RD!G321,매칭테이블!D:D,0))</f>
        <v>트리트먼트</v>
      </c>
      <c r="F321" t="s">
        <v>91</v>
      </c>
      <c r="G321" t="s">
        <v>117</v>
      </c>
      <c r="H321">
        <v>1</v>
      </c>
      <c r="I321" s="17" t="str">
        <f>VLOOKUP(G321,매칭테이블!D:E,2,0)</f>
        <v>트리트먼트+뉴트리셔스밤</v>
      </c>
      <c r="J321">
        <v>201210</v>
      </c>
      <c r="L321" s="19">
        <f>VLOOKUP($P321,매칭테이블!$G:$J,2,0)*H321</f>
        <v>48355</v>
      </c>
      <c r="M321" s="19">
        <f>L321-L321*VLOOKUP($P321,매칭테이블!$G:$J,3,0)</f>
        <v>45526.232499999998</v>
      </c>
      <c r="N321" s="19">
        <f>VLOOKUP($P321,매칭테이블!$G:$J,4,0)*H321</f>
        <v>3177</v>
      </c>
      <c r="O321" s="20">
        <f t="shared" si="54"/>
        <v>43959.090909090904</v>
      </c>
      <c r="P321" s="19" t="str">
        <f t="shared" si="51"/>
        <v>카페24트리트먼트HAIR RÉ:COVERY 15 Hairpack Treatment [라베나 리커버리 15 헤어팩 트리트먼트]제품선택=헤어팩 트리트먼트 1개 + 뉴트리셔스밤 1개 세트 5% 추가할인201210</v>
      </c>
    </row>
    <row r="322" spans="2:16" x14ac:dyDescent="0.3">
      <c r="B322" s="2">
        <v>44179</v>
      </c>
      <c r="C322" s="19" t="str">
        <f>TEXT(B322,"aaa")</f>
        <v>월</v>
      </c>
      <c r="E322" s="17" t="str">
        <f>INDEX(매칭테이블!C:C,MATCH(RD!G322,매칭테이블!D:D,0))</f>
        <v>뉴트리셔스밤</v>
      </c>
      <c r="F322" t="s">
        <v>91</v>
      </c>
      <c r="G322" t="s">
        <v>118</v>
      </c>
      <c r="H322">
        <v>2</v>
      </c>
      <c r="I322" s="17" t="str">
        <f>VLOOKUP(G322,매칭테이블!D:E,2,0)</f>
        <v>뉴트리셔스밤</v>
      </c>
      <c r="J322">
        <v>201210</v>
      </c>
      <c r="L322" s="19">
        <f>VLOOKUP($P322,매칭테이블!$G:$J,2,0)*H322</f>
        <v>49800</v>
      </c>
      <c r="M322" s="19">
        <f>L322-L322*VLOOKUP($P322,매칭테이블!$G:$J,3,0)</f>
        <v>46886.7</v>
      </c>
      <c r="N322" s="19">
        <f>VLOOKUP($P322,매칭테이블!$G:$J,4,0)*H322</f>
        <v>3160</v>
      </c>
      <c r="O322" s="20">
        <f>L322/1.1</f>
        <v>45272.727272727272</v>
      </c>
      <c r="P322" s="19" t="str">
        <f t="shared" si="51"/>
        <v>카페24뉴트리셔스밤HAIR RÉ:COVERY 15 Nutritious Balm [라베나 리커버리 15 뉴트리셔스 밤]제품선택=헤어 리커버리 15 뉴트리셔스 밤201210</v>
      </c>
    </row>
    <row r="323" spans="2:16" x14ac:dyDescent="0.3">
      <c r="B323" s="2">
        <v>44179</v>
      </c>
      <c r="C323" s="19" t="str">
        <f t="shared" si="53"/>
        <v>월</v>
      </c>
      <c r="E323" s="17" t="str">
        <f>INDEX(매칭테이블!C:C,MATCH(RD!G323,매칭테이블!D:D,0))</f>
        <v>트리트먼트</v>
      </c>
      <c r="F323" t="s">
        <v>91</v>
      </c>
      <c r="G323" t="s">
        <v>104</v>
      </c>
      <c r="H323">
        <v>1</v>
      </c>
      <c r="I323" s="17" t="str">
        <f>VLOOKUP(G323,매칭테이블!D:E,2,0)</f>
        <v>트리트먼트</v>
      </c>
      <c r="J323">
        <v>201210</v>
      </c>
      <c r="L323" s="19">
        <f>VLOOKUP($P323,매칭테이블!$G:$J,2,0)*H323</f>
        <v>26000</v>
      </c>
      <c r="M323" s="19">
        <f>L323-L323*VLOOKUP($P323,매칭테이블!$G:$J,3,0)</f>
        <v>24479</v>
      </c>
      <c r="N323" s="19">
        <f>VLOOKUP($P323,매칭테이블!$G:$J,4,0)*H323</f>
        <v>1597</v>
      </c>
      <c r="O323" s="20">
        <f t="shared" si="54"/>
        <v>23636.363636363636</v>
      </c>
      <c r="P323" s="19" t="str">
        <f t="shared" si="51"/>
        <v>카페24트리트먼트HAIR RÉ:COVERY 15 Hairpack Treatment [헤어 리커버리 15 헤어팩 트리트먼트]제품선택=헤어 리커버리 15 헤어팩 트리트먼트201210</v>
      </c>
    </row>
    <row r="324" spans="2:16" x14ac:dyDescent="0.3">
      <c r="B324" s="2">
        <v>44179</v>
      </c>
      <c r="C324" s="19" t="str">
        <f t="shared" si="53"/>
        <v>월</v>
      </c>
      <c r="E324" s="17" t="str">
        <f>INDEX(매칭테이블!C:C,MATCH(RD!G324,매칭테이블!D:D,0))</f>
        <v>트리트먼트</v>
      </c>
      <c r="F324" t="s">
        <v>91</v>
      </c>
      <c r="G324" t="s">
        <v>113</v>
      </c>
      <c r="H324">
        <v>3</v>
      </c>
      <c r="I324" s="17" t="str">
        <f>VLOOKUP(G324,매칭테이블!D:E,2,0)</f>
        <v>트리트먼트 2set</v>
      </c>
      <c r="J324">
        <v>201210</v>
      </c>
      <c r="L324" s="19">
        <f>VLOOKUP($P324,매칭테이블!$G:$J,2,0)*H324</f>
        <v>148200</v>
      </c>
      <c r="M324" s="19">
        <f>L324-L324*VLOOKUP($P324,매칭테이블!$G:$J,3,0)</f>
        <v>139530.29999999999</v>
      </c>
      <c r="N324" s="19">
        <f>VLOOKUP($P324,매칭테이블!$G:$J,4,0)*H324</f>
        <v>9582</v>
      </c>
      <c r="O324" s="20">
        <f t="shared" si="54"/>
        <v>134727.27272727271</v>
      </c>
      <c r="P324" s="19" t="str">
        <f t="shared" si="51"/>
        <v>카페24트리트먼트HAIR RÉ:COVERY 15 Hairpack Treatment [헤어 리커버리 15 헤어팩 트리트먼트]제품선택=헤어팩 트리트먼트 2개 세트 5% 추가할인201210</v>
      </c>
    </row>
    <row r="325" spans="2:16" x14ac:dyDescent="0.3">
      <c r="B325" s="2">
        <v>44179</v>
      </c>
      <c r="C325" s="19" t="str">
        <f t="shared" si="53"/>
        <v>월</v>
      </c>
      <c r="E325" s="17" t="str">
        <f>INDEX(매칭테이블!C:C,MATCH(RD!G325,매칭테이블!D:D,0))</f>
        <v>트리트먼트</v>
      </c>
      <c r="F325" t="s">
        <v>91</v>
      </c>
      <c r="G325" t="s">
        <v>105</v>
      </c>
      <c r="H325">
        <v>1</v>
      </c>
      <c r="I325" s="17" t="str">
        <f>VLOOKUP(G325,매칭테이블!D:E,2,0)</f>
        <v>트리트먼트+뉴트리셔스밤</v>
      </c>
      <c r="J325">
        <v>201210</v>
      </c>
      <c r="L325" s="19">
        <f>VLOOKUP($P325,매칭테이블!$G:$J,2,0)*H325</f>
        <v>48355</v>
      </c>
      <c r="M325" s="19">
        <f>L325-L325*VLOOKUP($P325,매칭테이블!$G:$J,3,0)</f>
        <v>45526.232499999998</v>
      </c>
      <c r="N325" s="19">
        <f>VLOOKUP($P325,매칭테이블!$G:$J,4,0)*H325</f>
        <v>3177</v>
      </c>
      <c r="O325" s="20">
        <f t="shared" si="54"/>
        <v>43959.090909090904</v>
      </c>
      <c r="P325" s="19" t="str">
        <f t="shared" si="51"/>
        <v>카페24트리트먼트HAIR RÉ:COVERY 15 Hairpack Treatment [헤어 리커버리 15 헤어팩 트리트먼트]제품선택=헤어팩 트리트먼트 1개 + 뉴트리셔스밤 1개 세트 5% 추가할인201210</v>
      </c>
    </row>
    <row r="326" spans="2:16" x14ac:dyDescent="0.3">
      <c r="B326" s="2">
        <v>44179</v>
      </c>
      <c r="C326" s="19" t="str">
        <f t="shared" si="53"/>
        <v>월</v>
      </c>
      <c r="E326" s="17" t="str">
        <f>INDEX(매칭테이블!C:C,MATCH(RD!G326,매칭테이블!D:D,0))</f>
        <v>뉴트리셔스밤</v>
      </c>
      <c r="F326" t="s">
        <v>91</v>
      </c>
      <c r="G326" t="s">
        <v>106</v>
      </c>
      <c r="H326">
        <v>3</v>
      </c>
      <c r="I326" s="17" t="str">
        <f>VLOOKUP(G326,매칭테이블!D:E,2,0)</f>
        <v>뉴트리셔스밤</v>
      </c>
      <c r="J326">
        <v>201210</v>
      </c>
      <c r="L326" s="19">
        <f>VLOOKUP($P326,매칭테이블!$G:$J,2,0)*H326</f>
        <v>74700</v>
      </c>
      <c r="M326" s="19">
        <f>L326-L326*VLOOKUP($P326,매칭테이블!$G:$J,3,0)</f>
        <v>70330.05</v>
      </c>
      <c r="N326" s="19">
        <f>VLOOKUP($P326,매칭테이블!$G:$J,4,0)*H326</f>
        <v>4740</v>
      </c>
      <c r="O326" s="20">
        <f t="shared" si="54"/>
        <v>67909.090909090897</v>
      </c>
      <c r="P326" s="19" t="str">
        <f t="shared" si="51"/>
        <v>카페24뉴트리셔스밤HAIR RÉ:COVERY 15 Nutritious Balm [헤어 리커버리 15 뉴트리셔스 밤]제품선택=헤어 리커버리 15 뉴트리셔스 밤201210</v>
      </c>
    </row>
    <row r="327" spans="2:16" x14ac:dyDescent="0.3">
      <c r="B327" s="2">
        <v>44179</v>
      </c>
      <c r="C327" s="19" t="str">
        <f t="shared" si="53"/>
        <v>월</v>
      </c>
      <c r="E327" s="17" t="str">
        <f>INDEX(매칭테이블!C:C,MATCH(RD!G327,매칭테이블!D:D,0))</f>
        <v>뉴트리셔스밤</v>
      </c>
      <c r="F327" t="s">
        <v>91</v>
      </c>
      <c r="G327" t="s">
        <v>112</v>
      </c>
      <c r="H327">
        <v>1</v>
      </c>
      <c r="I327" s="17" t="str">
        <f>VLOOKUP(G327,매칭테이블!D:E,2,0)</f>
        <v>뉴트리셔스밤 3set</v>
      </c>
      <c r="J327">
        <v>201210</v>
      </c>
      <c r="L327" s="19">
        <f>VLOOKUP($P327,매칭테이블!$G:$J,2,0)*H327</f>
        <v>67230</v>
      </c>
      <c r="M327" s="19">
        <f>L327-L327*VLOOKUP($P327,매칭테이블!$G:$J,3,0)</f>
        <v>63297.044999999998</v>
      </c>
      <c r="N327" s="19">
        <f>VLOOKUP($P327,매칭테이블!$G:$J,4,0)*H327</f>
        <v>4740</v>
      </c>
      <c r="O327" s="20">
        <f t="shared" si="54"/>
        <v>61118.181818181816</v>
      </c>
      <c r="P327" s="19" t="str">
        <f t="shared" si="51"/>
        <v>카페24뉴트리셔스밤HAIR RÉ:COVERY 15 Nutritious Balm [헤어 리커버리 15 뉴트리셔스 밤]제품선택=뉴트리셔스 밤 3개 세트 10% 추가할인201210</v>
      </c>
    </row>
    <row r="328" spans="2:16" x14ac:dyDescent="0.3">
      <c r="B328" s="2">
        <v>44179</v>
      </c>
      <c r="C328" s="19" t="str">
        <f t="shared" si="53"/>
        <v>월</v>
      </c>
      <c r="E328" s="17" t="str">
        <f>INDEX(매칭테이블!C:C,MATCH(RD!G328,매칭테이블!D:D,0))</f>
        <v>뉴트리셔스밤</v>
      </c>
      <c r="F328" t="s">
        <v>91</v>
      </c>
      <c r="G328" t="s">
        <v>110</v>
      </c>
      <c r="H328">
        <v>2</v>
      </c>
      <c r="I328" s="17" t="str">
        <f>VLOOKUP(G328,매칭테이블!D:E,2,0)</f>
        <v>트리트먼트+뉴트리셔스밤</v>
      </c>
      <c r="J328">
        <v>201210</v>
      </c>
      <c r="L328" s="19">
        <f>VLOOKUP($P328,매칭테이블!$G:$J,2,0)*H328</f>
        <v>96710</v>
      </c>
      <c r="M328" s="19">
        <f>L328-L328*VLOOKUP($P328,매칭테이블!$G:$J,3,0)</f>
        <v>91052.464999999997</v>
      </c>
      <c r="N328" s="19">
        <f>VLOOKUP($P328,매칭테이블!$G:$J,4,0)*H328</f>
        <v>6354</v>
      </c>
      <c r="O328" s="20">
        <f t="shared" si="54"/>
        <v>87918.181818181809</v>
      </c>
      <c r="P328" s="19" t="str">
        <f t="shared" si="51"/>
        <v>카페24뉴트리셔스밤HAIR RÉ:COVERY 15 Nutritious Balm [헤어 리커버리 15 뉴트리셔스 밤]제품선택=뉴트리셔스밤 1개 + 헤어팩 트리트먼트 1개 세트 5%추가할인201210</v>
      </c>
    </row>
    <row r="329" spans="2:16" x14ac:dyDescent="0.3">
      <c r="B329" s="2">
        <v>44179</v>
      </c>
      <c r="C329" s="19" t="str">
        <f t="shared" si="53"/>
        <v>월</v>
      </c>
      <c r="E329" s="17" t="str">
        <f>INDEX(매칭테이블!C:C,MATCH(RD!G329,매칭테이블!D:D,0))</f>
        <v>샴푸</v>
      </c>
      <c r="F329" t="s">
        <v>91</v>
      </c>
      <c r="G329" t="s">
        <v>92</v>
      </c>
      <c r="H329">
        <v>23</v>
      </c>
      <c r="I329" s="17" t="str">
        <f>VLOOKUP(G329,매칭테이블!D:E,2,0)</f>
        <v>리바이탈 샴푸</v>
      </c>
      <c r="J329">
        <v>201210</v>
      </c>
      <c r="L329" s="19">
        <f>VLOOKUP($P329,매칭테이블!$G:$J,2,0)*H329</f>
        <v>618700</v>
      </c>
      <c r="M329" s="19">
        <f>L329-L329*VLOOKUP($P329,매칭테이블!$G:$J,3,0)</f>
        <v>582506.05000000005</v>
      </c>
      <c r="N329" s="19">
        <f>VLOOKUP($P329,매칭테이블!$G:$J,4,0)*H329</f>
        <v>69460</v>
      </c>
      <c r="O329" s="20">
        <f t="shared" si="54"/>
        <v>562454.54545454541</v>
      </c>
      <c r="P329" s="19" t="str">
        <f t="shared" si="51"/>
        <v>카페24샴푸HAIR RÉ:COVERY 15 Revital Shampoo [라베나 리커버리 15 리바이탈 샴푸]제품선택=헤어 리커버리 15 리바이탈 샴푸 - 500ml201210</v>
      </c>
    </row>
    <row r="330" spans="2:16" x14ac:dyDescent="0.3">
      <c r="B330" s="2">
        <v>44179</v>
      </c>
      <c r="C330" s="19" t="str">
        <f t="shared" si="53"/>
        <v>월</v>
      </c>
      <c r="E330" s="17" t="str">
        <f>INDEX(매칭테이블!C:C,MATCH(RD!G330,매칭테이블!D:D,0))</f>
        <v>샴푸</v>
      </c>
      <c r="F330" t="s">
        <v>91</v>
      </c>
      <c r="G330" t="s">
        <v>93</v>
      </c>
      <c r="H330">
        <v>6</v>
      </c>
      <c r="I330" s="17" t="str">
        <f>VLOOKUP(G330,매칭테이블!D:E,2,0)</f>
        <v>리바이탈 샴푸</v>
      </c>
      <c r="J330">
        <v>201210</v>
      </c>
      <c r="L330" s="19">
        <f>VLOOKUP($P330,매칭테이블!$G:$J,2,0)*H330</f>
        <v>306660</v>
      </c>
      <c r="M330" s="19">
        <f>L330-L330*VLOOKUP($P330,매칭테이블!$G:$J,3,0)</f>
        <v>288720.39</v>
      </c>
      <c r="N330" s="19">
        <f>VLOOKUP($P330,매칭테이블!$G:$J,4,0)*H330</f>
        <v>36240</v>
      </c>
      <c r="O330" s="20">
        <f t="shared" si="54"/>
        <v>278781.81818181818</v>
      </c>
      <c r="P330" s="19" t="str">
        <f t="shared" si="51"/>
        <v>카페24샴푸HAIR RÉ:COVERY 15 Revital Shampoo [라베나 리커버리 15 리바이탈 샴푸]제품선택=리바이탈 샴푸 2개 세트 5%추가할인201210</v>
      </c>
    </row>
    <row r="331" spans="2:16" x14ac:dyDescent="0.3">
      <c r="B331" s="2">
        <v>44179</v>
      </c>
      <c r="C331" s="19" t="str">
        <f t="shared" si="53"/>
        <v>월</v>
      </c>
      <c r="E331" s="17" t="str">
        <f>INDEX(매칭테이블!C:C,MATCH(RD!G331,매칭테이블!D:D,0))</f>
        <v>샴푸</v>
      </c>
      <c r="F331" t="s">
        <v>91</v>
      </c>
      <c r="G331" t="s">
        <v>94</v>
      </c>
      <c r="H331">
        <v>4</v>
      </c>
      <c r="I331" s="17" t="str">
        <f>VLOOKUP(G331,매칭테이블!D:E,2,0)</f>
        <v>리바이탈 샴푸 3set</v>
      </c>
      <c r="J331">
        <v>201210</v>
      </c>
      <c r="L331" s="19">
        <f>VLOOKUP($P331,매칭테이블!$G:$J,2,0)*H331</f>
        <v>290520</v>
      </c>
      <c r="M331" s="19">
        <f>L331-L331*VLOOKUP($P331,매칭테이블!$G:$J,3,0)</f>
        <v>273524.58</v>
      </c>
      <c r="N331" s="19">
        <f>VLOOKUP($P331,매칭테이블!$G:$J,4,0)*H331</f>
        <v>36240</v>
      </c>
      <c r="O331" s="20">
        <f t="shared" si="54"/>
        <v>264109.09090909088</v>
      </c>
      <c r="P331" s="19" t="str">
        <f t="shared" si="51"/>
        <v>카페24샴푸HAIR RÉ:COVERY 15 Revital Shampoo [라베나 리커버리 15 리바이탈 샴푸]제품선택=리바이탈 샴푸 3개 세트 10% 추가할인201210</v>
      </c>
    </row>
    <row r="332" spans="2:16" x14ac:dyDescent="0.3">
      <c r="B332" s="2">
        <v>44180</v>
      </c>
      <c r="C332" s="19" t="str">
        <f t="shared" si="53"/>
        <v>화</v>
      </c>
      <c r="E332" s="17" t="str">
        <f>INDEX(매칭테이블!C:C,MATCH(RD!G332,매칭테이블!D:D,0))</f>
        <v>트리트먼트</v>
      </c>
      <c r="F332" t="s">
        <v>91</v>
      </c>
      <c r="G332" t="s">
        <v>115</v>
      </c>
      <c r="H332">
        <v>5</v>
      </c>
      <c r="I332" s="17" t="str">
        <f>VLOOKUP(G332,매칭테이블!D:E,2,0)</f>
        <v>트리트먼트</v>
      </c>
      <c r="J332">
        <v>201210</v>
      </c>
      <c r="L332" s="19">
        <f>VLOOKUP($P332,매칭테이블!$G:$J,2,0)*H332</f>
        <v>130000</v>
      </c>
      <c r="M332" s="19">
        <f>L332-L332*VLOOKUP($P332,매칭테이블!$G:$J,3,0)</f>
        <v>122395</v>
      </c>
      <c r="N332" s="19">
        <f>VLOOKUP($P332,매칭테이블!$G:$J,4,0)*H332</f>
        <v>7985</v>
      </c>
      <c r="O332" s="20">
        <f t="shared" ref="O332" si="55">L332/1.1</f>
        <v>118181.81818181818</v>
      </c>
      <c r="P332" s="19" t="str">
        <f t="shared" si="51"/>
        <v>카페24트리트먼트HAIR RÉ:COVERY 15 Hairpack Treatment [라베나 리커버리 15 헤어팩 트리트먼트]제품선택=헤어 리커버리 15 헤어팩 트리트먼트201210</v>
      </c>
    </row>
    <row r="333" spans="2:16" x14ac:dyDescent="0.3">
      <c r="B333" s="2">
        <v>44180</v>
      </c>
      <c r="C333" s="19" t="str">
        <f t="shared" ref="C333:C339" si="56">TEXT(B333,"aaa")</f>
        <v>화</v>
      </c>
      <c r="E333" s="17" t="str">
        <f>INDEX(매칭테이블!C:C,MATCH(RD!G333,매칭테이블!D:D,0))</f>
        <v>트리트먼트</v>
      </c>
      <c r="F333" t="s">
        <v>91</v>
      </c>
      <c r="G333" t="s">
        <v>116</v>
      </c>
      <c r="H333">
        <v>3</v>
      </c>
      <c r="I333" s="17" t="str">
        <f>VLOOKUP(G333,매칭테이블!D:E,2,0)</f>
        <v>트리트먼트 2set</v>
      </c>
      <c r="J333">
        <v>201210</v>
      </c>
      <c r="L333" s="19">
        <f>VLOOKUP($P333,매칭테이블!$G:$J,2,0)*H333</f>
        <v>148200</v>
      </c>
      <c r="M333" s="19">
        <f>L333-L333*VLOOKUP($P333,매칭테이블!$G:$J,3,0)</f>
        <v>139530.29999999999</v>
      </c>
      <c r="N333" s="19">
        <f>VLOOKUP($P333,매칭테이블!$G:$J,4,0)*H333</f>
        <v>9582</v>
      </c>
      <c r="O333" s="20">
        <f t="shared" ref="O333:O339" si="57">L333/1.1</f>
        <v>134727.27272727271</v>
      </c>
      <c r="P333" s="19" t="str">
        <f t="shared" si="51"/>
        <v>카페24트리트먼트HAIR RÉ:COVERY 15 Hairpack Treatment [라베나 리커버리 15 헤어팩 트리트먼트]제품선택=헤어팩 트리트먼트 2개 세트 5% 추가할인201210</v>
      </c>
    </row>
    <row r="334" spans="2:16" x14ac:dyDescent="0.3">
      <c r="B334" s="2">
        <v>44180</v>
      </c>
      <c r="C334" s="19" t="str">
        <f t="shared" si="56"/>
        <v>화</v>
      </c>
      <c r="E334" s="17" t="str">
        <f>INDEX(매칭테이블!C:C,MATCH(RD!G334,매칭테이블!D:D,0))</f>
        <v>트리트먼트</v>
      </c>
      <c r="F334" t="s">
        <v>91</v>
      </c>
      <c r="G334" t="s">
        <v>117</v>
      </c>
      <c r="H334">
        <v>2</v>
      </c>
      <c r="I334" s="17" t="str">
        <f>VLOOKUP(G334,매칭테이블!D:E,2,0)</f>
        <v>트리트먼트+뉴트리셔스밤</v>
      </c>
      <c r="J334">
        <v>201210</v>
      </c>
      <c r="L334" s="19">
        <f>VLOOKUP($P334,매칭테이블!$G:$J,2,0)*H334</f>
        <v>96710</v>
      </c>
      <c r="M334" s="19">
        <f>L334-L334*VLOOKUP($P334,매칭테이블!$G:$J,3,0)</f>
        <v>91052.464999999997</v>
      </c>
      <c r="N334" s="19">
        <f>VLOOKUP($P334,매칭테이블!$G:$J,4,0)*H334</f>
        <v>6354</v>
      </c>
      <c r="O334" s="20">
        <f t="shared" si="57"/>
        <v>87918.181818181809</v>
      </c>
      <c r="P334" s="19" t="str">
        <f t="shared" si="51"/>
        <v>카페24트리트먼트HAIR RÉ:COVERY 15 Hairpack Treatment [라베나 리커버리 15 헤어팩 트리트먼트]제품선택=헤어팩 트리트먼트 1개 + 뉴트리셔스밤 1개 세트 5% 추가할인201210</v>
      </c>
    </row>
    <row r="335" spans="2:16" x14ac:dyDescent="0.3">
      <c r="B335" s="2">
        <v>44180</v>
      </c>
      <c r="C335" s="19" t="str">
        <f t="shared" si="56"/>
        <v>화</v>
      </c>
      <c r="E335" s="17" t="str">
        <f>INDEX(매칭테이블!C:C,MATCH(RD!G335,매칭테이블!D:D,0))</f>
        <v>뉴트리셔스밤</v>
      </c>
      <c r="F335" t="s">
        <v>91</v>
      </c>
      <c r="G335" t="s">
        <v>118</v>
      </c>
      <c r="H335">
        <v>2</v>
      </c>
      <c r="I335" s="17" t="str">
        <f>VLOOKUP(G335,매칭테이블!D:E,2,0)</f>
        <v>뉴트리셔스밤</v>
      </c>
      <c r="J335">
        <v>201210</v>
      </c>
      <c r="L335" s="19">
        <f>VLOOKUP($P335,매칭테이블!$G:$J,2,0)*H335</f>
        <v>49800</v>
      </c>
      <c r="M335" s="19">
        <f>L335-L335*VLOOKUP($P335,매칭테이블!$G:$J,3,0)</f>
        <v>46886.7</v>
      </c>
      <c r="N335" s="19">
        <f>VLOOKUP($P335,매칭테이블!$G:$J,4,0)*H335</f>
        <v>3160</v>
      </c>
      <c r="O335" s="20">
        <f t="shared" si="57"/>
        <v>45272.727272727272</v>
      </c>
      <c r="P335" s="19" t="str">
        <f t="shared" si="51"/>
        <v>카페24뉴트리셔스밤HAIR RÉ:COVERY 15 Nutritious Balm [라베나 리커버리 15 뉴트리셔스 밤]제품선택=헤어 리커버리 15 뉴트리셔스 밤201210</v>
      </c>
    </row>
    <row r="336" spans="2:16" x14ac:dyDescent="0.3">
      <c r="B336" s="2">
        <v>44180</v>
      </c>
      <c r="C336" s="19" t="str">
        <f t="shared" si="56"/>
        <v>화</v>
      </c>
      <c r="E336" s="17" t="str">
        <f>INDEX(매칭테이블!C:C,MATCH(RD!G336,매칭테이블!D:D,0))</f>
        <v>뉴트리셔스밤</v>
      </c>
      <c r="F336" t="s">
        <v>91</v>
      </c>
      <c r="G336" t="s">
        <v>119</v>
      </c>
      <c r="H336">
        <v>1</v>
      </c>
      <c r="I336" s="17" t="str">
        <f>VLOOKUP(G336,매칭테이블!D:E,2,0)</f>
        <v>뉴트리셔스밤 3set</v>
      </c>
      <c r="J336">
        <v>201210</v>
      </c>
      <c r="L336" s="19">
        <f>VLOOKUP($P336,매칭테이블!$G:$J,2,0)*H336</f>
        <v>67230</v>
      </c>
      <c r="M336" s="19">
        <f>L336-L336*VLOOKUP($P336,매칭테이블!$G:$J,3,0)</f>
        <v>63297.044999999998</v>
      </c>
      <c r="N336" s="19">
        <f>VLOOKUP($P336,매칭테이블!$G:$J,4,0)*H336</f>
        <v>4740</v>
      </c>
      <c r="O336" s="20">
        <f t="shared" si="57"/>
        <v>61118.181818181816</v>
      </c>
      <c r="P336" s="19" t="str">
        <f t="shared" si="51"/>
        <v>카페24뉴트리셔스밤HAIR RÉ:COVERY 15 Nutritious Balm [라베나 리커버리 15 뉴트리셔스 밤]제품선택=뉴트리셔스 밤 3개 세트 10% 추가할인201210</v>
      </c>
    </row>
    <row r="337" spans="2:16" x14ac:dyDescent="0.3">
      <c r="B337" s="2">
        <v>44180</v>
      </c>
      <c r="C337" s="19" t="str">
        <f t="shared" si="56"/>
        <v>화</v>
      </c>
      <c r="E337" s="17" t="str">
        <f>INDEX(매칭테이블!C:C,MATCH(RD!G337,매칭테이블!D:D,0))</f>
        <v>샴푸</v>
      </c>
      <c r="F337" t="s">
        <v>91</v>
      </c>
      <c r="G337" t="s">
        <v>92</v>
      </c>
      <c r="H337">
        <v>14</v>
      </c>
      <c r="I337" s="17" t="str">
        <f>VLOOKUP(G337,매칭테이블!D:E,2,0)</f>
        <v>리바이탈 샴푸</v>
      </c>
      <c r="J337">
        <v>201210</v>
      </c>
      <c r="L337" s="19">
        <f>VLOOKUP($P337,매칭테이블!$G:$J,2,0)*H337</f>
        <v>376600</v>
      </c>
      <c r="M337" s="19">
        <f>L337-L337*VLOOKUP($P337,매칭테이블!$G:$J,3,0)</f>
        <v>354568.9</v>
      </c>
      <c r="N337" s="19">
        <f>VLOOKUP($P337,매칭테이블!$G:$J,4,0)*H337</f>
        <v>42280</v>
      </c>
      <c r="O337" s="20">
        <f t="shared" si="57"/>
        <v>342363.63636363635</v>
      </c>
      <c r="P337" s="19" t="str">
        <f t="shared" si="51"/>
        <v>카페24샴푸HAIR RÉ:COVERY 15 Revital Shampoo [라베나 리커버리 15 리바이탈 샴푸]제품선택=헤어 리커버리 15 리바이탈 샴푸 - 500ml201210</v>
      </c>
    </row>
    <row r="338" spans="2:16" x14ac:dyDescent="0.3">
      <c r="B338" s="2">
        <v>44180</v>
      </c>
      <c r="C338" s="19" t="str">
        <f t="shared" si="56"/>
        <v>화</v>
      </c>
      <c r="E338" s="17" t="str">
        <f>INDEX(매칭테이블!C:C,MATCH(RD!G338,매칭테이블!D:D,0))</f>
        <v>샴푸</v>
      </c>
      <c r="F338" t="s">
        <v>91</v>
      </c>
      <c r="G338" t="s">
        <v>93</v>
      </c>
      <c r="H338">
        <v>6</v>
      </c>
      <c r="I338" s="17" t="str">
        <f>VLOOKUP(G338,매칭테이블!D:E,2,0)</f>
        <v>리바이탈 샴푸</v>
      </c>
      <c r="J338">
        <v>201210</v>
      </c>
      <c r="L338" s="19">
        <f>VLOOKUP($P338,매칭테이블!$G:$J,2,0)*H338</f>
        <v>306660</v>
      </c>
      <c r="M338" s="19">
        <f>L338-L338*VLOOKUP($P338,매칭테이블!$G:$J,3,0)</f>
        <v>288720.39</v>
      </c>
      <c r="N338" s="19">
        <f>VLOOKUP($P338,매칭테이블!$G:$J,4,0)*H338</f>
        <v>36240</v>
      </c>
      <c r="O338" s="20">
        <f t="shared" si="57"/>
        <v>278781.81818181818</v>
      </c>
      <c r="P338" s="19" t="str">
        <f t="shared" si="51"/>
        <v>카페24샴푸HAIR RÉ:COVERY 15 Revital Shampoo [라베나 리커버리 15 리바이탈 샴푸]제품선택=리바이탈 샴푸 2개 세트 5%추가할인201210</v>
      </c>
    </row>
    <row r="339" spans="2:16" x14ac:dyDescent="0.3">
      <c r="B339" s="2">
        <v>44180</v>
      </c>
      <c r="C339" s="19" t="str">
        <f t="shared" si="56"/>
        <v>화</v>
      </c>
      <c r="E339" s="17" t="str">
        <f>INDEX(매칭테이블!C:C,MATCH(RD!G339,매칭테이블!D:D,0))</f>
        <v>샴푸</v>
      </c>
      <c r="F339" t="s">
        <v>91</v>
      </c>
      <c r="G339" t="s">
        <v>94</v>
      </c>
      <c r="H339">
        <v>1</v>
      </c>
      <c r="I339" s="17" t="str">
        <f>VLOOKUP(G339,매칭테이블!D:E,2,0)</f>
        <v>리바이탈 샴푸 3set</v>
      </c>
      <c r="J339">
        <v>201210</v>
      </c>
      <c r="L339" s="19">
        <f>VLOOKUP($P339,매칭테이블!$G:$J,2,0)*H339</f>
        <v>72630</v>
      </c>
      <c r="M339" s="19">
        <f>L339-L339*VLOOKUP($P339,매칭테이블!$G:$J,3,0)</f>
        <v>68381.145000000004</v>
      </c>
      <c r="N339" s="19">
        <f>VLOOKUP($P339,매칭테이블!$G:$J,4,0)*H339</f>
        <v>9060</v>
      </c>
      <c r="O339" s="20">
        <f t="shared" si="57"/>
        <v>66027.272727272721</v>
      </c>
      <c r="P339" s="19" t="str">
        <f t="shared" si="51"/>
        <v>카페24샴푸HAIR RÉ:COVERY 15 Revital Shampoo [라베나 리커버리 15 리바이탈 샴푸]제품선택=리바이탈 샴푸 3개 세트 10% 추가할인201210</v>
      </c>
    </row>
    <row r="340" spans="2:16" x14ac:dyDescent="0.3">
      <c r="B340" s="2">
        <v>44181</v>
      </c>
      <c r="C340" s="19" t="str">
        <f t="shared" ref="C340" si="58">TEXT(B340,"aaa")</f>
        <v>수</v>
      </c>
      <c r="E340" s="17" t="str">
        <f>INDEX(매칭테이블!C:C,MATCH(RD!G340,매칭테이블!D:D,0))</f>
        <v>트리트먼트</v>
      </c>
      <c r="F340" t="s">
        <v>91</v>
      </c>
      <c r="G340" t="s">
        <v>115</v>
      </c>
      <c r="H340">
        <v>13</v>
      </c>
      <c r="I340" s="17" t="str">
        <f>VLOOKUP(G340,매칭테이블!D:E,2,0)</f>
        <v>트리트먼트</v>
      </c>
      <c r="J340">
        <v>201210</v>
      </c>
      <c r="L340" s="19">
        <f>VLOOKUP($P340,매칭테이블!$G:$J,2,0)*H340</f>
        <v>338000</v>
      </c>
      <c r="M340" s="19">
        <f>L340-L340*VLOOKUP($P340,매칭테이블!$G:$J,3,0)</f>
        <v>318227</v>
      </c>
      <c r="N340" s="19">
        <f>VLOOKUP($P340,매칭테이블!$G:$J,4,0)*H340</f>
        <v>20761</v>
      </c>
      <c r="O340" s="20">
        <f t="shared" ref="O340" si="59">L340/1.1</f>
        <v>307272.72727272724</v>
      </c>
      <c r="P340" s="19" t="str">
        <f t="shared" si="51"/>
        <v>카페24트리트먼트HAIR RÉ:COVERY 15 Hairpack Treatment [라베나 리커버리 15 헤어팩 트리트먼트]제품선택=헤어 리커버리 15 헤어팩 트리트먼트201210</v>
      </c>
    </row>
    <row r="341" spans="2:16" x14ac:dyDescent="0.3">
      <c r="B341" s="2">
        <v>44181</v>
      </c>
      <c r="C341" s="19" t="str">
        <f t="shared" ref="C341:C345" si="60">TEXT(B341,"aaa")</f>
        <v>수</v>
      </c>
      <c r="E341" s="17" t="str">
        <f>INDEX(매칭테이블!C:C,MATCH(RD!G341,매칭테이블!D:D,0))</f>
        <v>트리트먼트</v>
      </c>
      <c r="F341" t="s">
        <v>91</v>
      </c>
      <c r="G341" t="s">
        <v>116</v>
      </c>
      <c r="H341">
        <v>3</v>
      </c>
      <c r="I341" s="17" t="str">
        <f>VLOOKUP(G341,매칭테이블!D:E,2,0)</f>
        <v>트리트먼트 2set</v>
      </c>
      <c r="J341">
        <v>201210</v>
      </c>
      <c r="L341" s="19">
        <f>VLOOKUP($P341,매칭테이블!$G:$J,2,0)*H341</f>
        <v>148200</v>
      </c>
      <c r="M341" s="19">
        <f>L341-L341*VLOOKUP($P341,매칭테이블!$G:$J,3,0)</f>
        <v>139530.29999999999</v>
      </c>
      <c r="N341" s="19">
        <f>VLOOKUP($P341,매칭테이블!$G:$J,4,0)*H341</f>
        <v>9582</v>
      </c>
      <c r="O341" s="20">
        <f t="shared" ref="O341:O345" si="61">L341/1.1</f>
        <v>134727.27272727271</v>
      </c>
      <c r="P341" s="19" t="str">
        <f t="shared" si="51"/>
        <v>카페24트리트먼트HAIR RÉ:COVERY 15 Hairpack Treatment [라베나 리커버리 15 헤어팩 트리트먼트]제품선택=헤어팩 트리트먼트 2개 세트 5% 추가할인201210</v>
      </c>
    </row>
    <row r="342" spans="2:16" x14ac:dyDescent="0.3">
      <c r="B342" s="2">
        <v>44181</v>
      </c>
      <c r="C342" s="19" t="str">
        <f t="shared" si="60"/>
        <v>수</v>
      </c>
      <c r="E342" s="17" t="str">
        <f>INDEX(매칭테이블!C:C,MATCH(RD!G342,매칭테이블!D:D,0))</f>
        <v>트리트먼트</v>
      </c>
      <c r="F342" t="s">
        <v>91</v>
      </c>
      <c r="G342" t="s">
        <v>117</v>
      </c>
      <c r="H342">
        <v>4</v>
      </c>
      <c r="I342" s="17" t="str">
        <f>VLOOKUP(G342,매칭테이블!D:E,2,0)</f>
        <v>트리트먼트+뉴트리셔스밤</v>
      </c>
      <c r="J342">
        <v>201210</v>
      </c>
      <c r="L342" s="19">
        <f>VLOOKUP($P342,매칭테이블!$G:$J,2,0)*H342</f>
        <v>193420</v>
      </c>
      <c r="M342" s="19">
        <f>L342-L342*VLOOKUP($P342,매칭테이블!$G:$J,3,0)</f>
        <v>182104.93</v>
      </c>
      <c r="N342" s="19">
        <f>VLOOKUP($P342,매칭테이블!$G:$J,4,0)*H342</f>
        <v>12708</v>
      </c>
      <c r="O342" s="20">
        <f t="shared" si="61"/>
        <v>175836.36363636362</v>
      </c>
      <c r="P342" s="19" t="str">
        <f t="shared" si="51"/>
        <v>카페24트리트먼트HAIR RÉ:COVERY 15 Hairpack Treatment [라베나 리커버리 15 헤어팩 트리트먼트]제품선택=헤어팩 트리트먼트 1개 + 뉴트리셔스밤 1개 세트 5% 추가할인201210</v>
      </c>
    </row>
    <row r="343" spans="2:16" x14ac:dyDescent="0.3">
      <c r="B343" s="2">
        <v>44181</v>
      </c>
      <c r="C343" s="19" t="str">
        <f t="shared" si="60"/>
        <v>수</v>
      </c>
      <c r="E343" s="17" t="str">
        <f>INDEX(매칭테이블!C:C,MATCH(RD!G343,매칭테이블!D:D,0))</f>
        <v>뉴트리셔스밤</v>
      </c>
      <c r="F343" t="s">
        <v>91</v>
      </c>
      <c r="G343" t="s">
        <v>118</v>
      </c>
      <c r="H343">
        <v>1</v>
      </c>
      <c r="I343" s="17" t="str">
        <f>VLOOKUP(G343,매칭테이블!D:E,2,0)</f>
        <v>뉴트리셔스밤</v>
      </c>
      <c r="J343">
        <v>201210</v>
      </c>
      <c r="L343" s="19">
        <f>VLOOKUP($P343,매칭테이블!$G:$J,2,0)*H343</f>
        <v>24900</v>
      </c>
      <c r="M343" s="19">
        <f>L343-L343*VLOOKUP($P343,매칭테이블!$G:$J,3,0)</f>
        <v>23443.35</v>
      </c>
      <c r="N343" s="19">
        <f>VLOOKUP($P343,매칭테이블!$G:$J,4,0)*H343</f>
        <v>1580</v>
      </c>
      <c r="O343" s="20">
        <f t="shared" si="61"/>
        <v>22636.363636363636</v>
      </c>
      <c r="P343" s="19" t="str">
        <f t="shared" si="51"/>
        <v>카페24뉴트리셔스밤HAIR RÉ:COVERY 15 Nutritious Balm [라베나 리커버리 15 뉴트리셔스 밤]제품선택=헤어 리커버리 15 뉴트리셔스 밤201210</v>
      </c>
    </row>
    <row r="344" spans="2:16" x14ac:dyDescent="0.3">
      <c r="B344" s="2">
        <v>44181</v>
      </c>
      <c r="C344" s="19" t="str">
        <f t="shared" si="60"/>
        <v>수</v>
      </c>
      <c r="E344" s="17" t="str">
        <f>INDEX(매칭테이블!C:C,MATCH(RD!G344,매칭테이블!D:D,0))</f>
        <v>샴푸</v>
      </c>
      <c r="F344" t="s">
        <v>91</v>
      </c>
      <c r="G344" t="s">
        <v>92</v>
      </c>
      <c r="H344">
        <v>9</v>
      </c>
      <c r="I344" s="17" t="str">
        <f>VLOOKUP(G344,매칭테이블!D:E,2,0)</f>
        <v>리바이탈 샴푸</v>
      </c>
      <c r="J344">
        <v>201210</v>
      </c>
      <c r="L344" s="19">
        <f>VLOOKUP($P344,매칭테이블!$G:$J,2,0)*H344</f>
        <v>242100</v>
      </c>
      <c r="M344" s="19">
        <f>L344-L344*VLOOKUP($P344,매칭테이블!$G:$J,3,0)</f>
        <v>227937.15</v>
      </c>
      <c r="N344" s="19">
        <f>VLOOKUP($P344,매칭테이블!$G:$J,4,0)*H344</f>
        <v>27180</v>
      </c>
      <c r="O344" s="20">
        <f t="shared" si="61"/>
        <v>220090.90909090906</v>
      </c>
      <c r="P344" s="19" t="str">
        <f t="shared" si="51"/>
        <v>카페24샴푸HAIR RÉ:COVERY 15 Revital Shampoo [라베나 리커버리 15 리바이탈 샴푸]제품선택=헤어 리커버리 15 리바이탈 샴푸 - 500ml201210</v>
      </c>
    </row>
    <row r="345" spans="2:16" x14ac:dyDescent="0.3">
      <c r="B345" s="2">
        <v>44181</v>
      </c>
      <c r="C345" s="19" t="str">
        <f t="shared" si="60"/>
        <v>수</v>
      </c>
      <c r="E345" s="17" t="str">
        <f>INDEX(매칭테이블!C:C,MATCH(RD!G345,매칭테이블!D:D,0))</f>
        <v>샴푸</v>
      </c>
      <c r="F345" t="s">
        <v>91</v>
      </c>
      <c r="G345" t="s">
        <v>93</v>
      </c>
      <c r="H345">
        <v>7</v>
      </c>
      <c r="I345" s="17" t="str">
        <f>VLOOKUP(G345,매칭테이블!D:E,2,0)</f>
        <v>리바이탈 샴푸</v>
      </c>
      <c r="J345">
        <v>201210</v>
      </c>
      <c r="L345" s="19">
        <f>VLOOKUP($P345,매칭테이블!$G:$J,2,0)*H345</f>
        <v>357770</v>
      </c>
      <c r="M345" s="19">
        <f>L345-L345*VLOOKUP($P345,매칭테이블!$G:$J,3,0)</f>
        <v>336840.45500000002</v>
      </c>
      <c r="N345" s="19">
        <f>VLOOKUP($P345,매칭테이블!$G:$J,4,0)*H345</f>
        <v>42280</v>
      </c>
      <c r="O345" s="20">
        <f t="shared" si="61"/>
        <v>325245.45454545453</v>
      </c>
      <c r="P345" s="19" t="str">
        <f t="shared" si="51"/>
        <v>카페24샴푸HAIR RÉ:COVERY 15 Revital Shampoo [라베나 리커버리 15 리바이탈 샴푸]제품선택=리바이탈 샴푸 2개 세트 5%추가할인201210</v>
      </c>
    </row>
    <row r="346" spans="2:16" x14ac:dyDescent="0.3">
      <c r="B346" s="2">
        <v>44181</v>
      </c>
      <c r="C346" s="19" t="str">
        <f>TEXT(B346,"aaa")</f>
        <v>수</v>
      </c>
      <c r="E346" s="17" t="str">
        <f>INDEX(매칭테이블!C:C,MATCH(RD!G346,매칭테이블!D:D,0))</f>
        <v>트리트먼트</v>
      </c>
      <c r="F346" t="s">
        <v>91</v>
      </c>
      <c r="G346" t="s">
        <v>120</v>
      </c>
      <c r="H346">
        <v>3</v>
      </c>
      <c r="I346" s="17" t="str">
        <f>VLOOKUP(G346,매칭테이블!D:E,2,0)</f>
        <v>트리트먼트 3set</v>
      </c>
      <c r="J346">
        <v>201210</v>
      </c>
      <c r="L346" s="19">
        <f>VLOOKUP($P346,매칭테이블!$G:$J,2,0)*H346</f>
        <v>210600</v>
      </c>
      <c r="M346" s="19">
        <f>L346-L346*VLOOKUP($P346,매칭테이블!$G:$J,3,0)</f>
        <v>198279.9</v>
      </c>
      <c r="N346" s="19">
        <f>VLOOKUP($P346,매칭테이블!$G:$J,4,0)*H346</f>
        <v>14373</v>
      </c>
      <c r="O346" s="20">
        <f>L346/1.1</f>
        <v>191454.54545454544</v>
      </c>
      <c r="P346" s="19" t="str">
        <f t="shared" si="51"/>
        <v>카페24트리트먼트HAIR RÉ:COVERY 15 Hairpack Treatment [라베나 리커버리 15 헤어팩 트리트먼트]제품선택=헤어팩 트리트먼트 3개 세트 10% 추가할인201210</v>
      </c>
    </row>
    <row r="347" spans="2:16" x14ac:dyDescent="0.3">
      <c r="B347" s="2">
        <v>44181</v>
      </c>
      <c r="C347" s="19" t="str">
        <f>TEXT(B347,"aaa")</f>
        <v>수</v>
      </c>
      <c r="E347" s="17" t="str">
        <f>INDEX(매칭테이블!C:C,MATCH(RD!G347,매칭테이블!D:D,0))</f>
        <v>뉴트리셔스밤</v>
      </c>
      <c r="F347" t="s">
        <v>91</v>
      </c>
      <c r="G347" t="s">
        <v>121</v>
      </c>
      <c r="H347">
        <v>1</v>
      </c>
      <c r="I347" s="17" t="str">
        <f>VLOOKUP(G347,매칭테이블!D:E,2,0)</f>
        <v>뉴트리셔스밤 2set</v>
      </c>
      <c r="J347">
        <v>201210</v>
      </c>
      <c r="L347" s="19">
        <f>VLOOKUP($P347,매칭테이블!$G:$J,2,0)*H347</f>
        <v>47310</v>
      </c>
      <c r="M347" s="19">
        <f>L347-L347*VLOOKUP($P347,매칭테이블!$G:$J,3,0)</f>
        <v>44542.364999999998</v>
      </c>
      <c r="N347" s="19">
        <f>VLOOKUP($P347,매칭테이블!$G:$J,4,0)*H347</f>
        <v>3160</v>
      </c>
      <c r="O347" s="20">
        <f>L347/1.1</f>
        <v>43009.090909090904</v>
      </c>
      <c r="P347" s="19" t="str">
        <f t="shared" si="51"/>
        <v>카페24뉴트리셔스밤HAIR RÉ:COVERY 15 Nutritious Balm [라베나 리커버리 15 뉴트리셔스 밤]제품선택=뉴트리셔스 밤 2개 세트 5% 추가할인201210</v>
      </c>
    </row>
    <row r="348" spans="2:16" x14ac:dyDescent="0.3">
      <c r="B348" s="2">
        <v>44182</v>
      </c>
      <c r="C348" s="19" t="str">
        <f>TEXT(B348,"aaa")</f>
        <v>목</v>
      </c>
      <c r="E348" s="17" t="str">
        <f>INDEX(매칭테이블!C:C,MATCH(RD!G348,매칭테이블!D:D,0))</f>
        <v>트리트먼트</v>
      </c>
      <c r="F348" t="s">
        <v>91</v>
      </c>
      <c r="G348" t="s">
        <v>115</v>
      </c>
      <c r="H348">
        <v>45</v>
      </c>
      <c r="I348" s="17" t="str">
        <f>VLOOKUP(G348,매칭테이블!D:E,2,0)</f>
        <v>트리트먼트</v>
      </c>
      <c r="J348">
        <v>201210</v>
      </c>
      <c r="L348" s="19">
        <f>VLOOKUP($P348,매칭테이블!$G:$J,2,0)*H348</f>
        <v>1170000</v>
      </c>
      <c r="M348" s="19">
        <f>L348-L348*VLOOKUP($P348,매칭테이블!$G:$J,3,0)</f>
        <v>1101555</v>
      </c>
      <c r="N348" s="19">
        <f>VLOOKUP($P348,매칭테이블!$G:$J,4,0)*H348</f>
        <v>71865</v>
      </c>
      <c r="O348" s="20">
        <f t="shared" ref="O348:O357" si="62">L348/1.1</f>
        <v>1063636.3636363635</v>
      </c>
      <c r="P348" s="19" t="str">
        <f t="shared" si="51"/>
        <v>카페24트리트먼트HAIR RÉ:COVERY 15 Hairpack Treatment [라베나 리커버리 15 헤어팩 트리트먼트]제품선택=헤어 리커버리 15 헤어팩 트리트먼트201210</v>
      </c>
    </row>
    <row r="349" spans="2:16" x14ac:dyDescent="0.3">
      <c r="B349" s="2">
        <v>44182</v>
      </c>
      <c r="C349" s="19" t="str">
        <f t="shared" ref="C349:C357" si="63">TEXT(B349,"aaa")</f>
        <v>목</v>
      </c>
      <c r="E349" s="17" t="str">
        <f>INDEX(매칭테이블!C:C,MATCH(RD!G349,매칭테이블!D:D,0))</f>
        <v>트리트먼트</v>
      </c>
      <c r="F349" t="s">
        <v>91</v>
      </c>
      <c r="G349" t="s">
        <v>116</v>
      </c>
      <c r="H349">
        <v>8</v>
      </c>
      <c r="I349" s="17" t="str">
        <f>VLOOKUP(G349,매칭테이블!D:E,2,0)</f>
        <v>트리트먼트 2set</v>
      </c>
      <c r="J349">
        <v>201210</v>
      </c>
      <c r="L349" s="19">
        <f>VLOOKUP($P349,매칭테이블!$G:$J,2,0)*H349</f>
        <v>395200</v>
      </c>
      <c r="M349" s="19">
        <f>L349-L349*VLOOKUP($P349,매칭테이블!$G:$J,3,0)</f>
        <v>372080.8</v>
      </c>
      <c r="N349" s="19">
        <f>VLOOKUP($P349,매칭테이블!$G:$J,4,0)*H349</f>
        <v>25552</v>
      </c>
      <c r="O349" s="20">
        <f t="shared" si="62"/>
        <v>359272.72727272724</v>
      </c>
      <c r="P349" s="19" t="str">
        <f t="shared" si="51"/>
        <v>카페24트리트먼트HAIR RÉ:COVERY 15 Hairpack Treatment [라베나 리커버리 15 헤어팩 트리트먼트]제품선택=헤어팩 트리트먼트 2개 세트 5% 추가할인201210</v>
      </c>
    </row>
    <row r="350" spans="2:16" x14ac:dyDescent="0.3">
      <c r="B350" s="2">
        <v>44182</v>
      </c>
      <c r="C350" s="19" t="str">
        <f t="shared" si="63"/>
        <v>목</v>
      </c>
      <c r="E350" s="17" t="str">
        <f>INDEX(매칭테이블!C:C,MATCH(RD!G350,매칭테이블!D:D,0))</f>
        <v>트리트먼트</v>
      </c>
      <c r="F350" t="s">
        <v>91</v>
      </c>
      <c r="G350" t="s">
        <v>120</v>
      </c>
      <c r="H350">
        <v>5</v>
      </c>
      <c r="I350" s="17" t="str">
        <f>VLOOKUP(G350,매칭테이블!D:E,2,0)</f>
        <v>트리트먼트 3set</v>
      </c>
      <c r="J350">
        <v>201210</v>
      </c>
      <c r="L350" s="19">
        <f>VLOOKUP($P350,매칭테이블!$G:$J,2,0)*H350</f>
        <v>351000</v>
      </c>
      <c r="M350" s="19">
        <f>L350-L350*VLOOKUP($P350,매칭테이블!$G:$J,3,0)</f>
        <v>330466.5</v>
      </c>
      <c r="N350" s="19">
        <f>VLOOKUP($P350,매칭테이블!$G:$J,4,0)*H350</f>
        <v>23955</v>
      </c>
      <c r="O350" s="20">
        <f t="shared" si="62"/>
        <v>319090.90909090906</v>
      </c>
      <c r="P350" s="19" t="str">
        <f t="shared" si="51"/>
        <v>카페24트리트먼트HAIR RÉ:COVERY 15 Hairpack Treatment [라베나 리커버리 15 헤어팩 트리트먼트]제품선택=헤어팩 트리트먼트 3개 세트 10% 추가할인201210</v>
      </c>
    </row>
    <row r="351" spans="2:16" x14ac:dyDescent="0.3">
      <c r="B351" s="2">
        <v>44182</v>
      </c>
      <c r="C351" s="19" t="str">
        <f t="shared" si="63"/>
        <v>목</v>
      </c>
      <c r="E351" s="17" t="str">
        <f>INDEX(매칭테이블!C:C,MATCH(RD!G351,매칭테이블!D:D,0))</f>
        <v>트리트먼트</v>
      </c>
      <c r="F351" t="s">
        <v>91</v>
      </c>
      <c r="G351" t="s">
        <v>117</v>
      </c>
      <c r="H351">
        <v>2</v>
      </c>
      <c r="I351" s="17" t="str">
        <f>VLOOKUP(G351,매칭테이블!D:E,2,0)</f>
        <v>트리트먼트+뉴트리셔스밤</v>
      </c>
      <c r="J351">
        <v>201210</v>
      </c>
      <c r="L351" s="19">
        <f>VLOOKUP($P351,매칭테이블!$G:$J,2,0)*H351</f>
        <v>96710</v>
      </c>
      <c r="M351" s="19">
        <f>L351-L351*VLOOKUP($P351,매칭테이블!$G:$J,3,0)</f>
        <v>91052.464999999997</v>
      </c>
      <c r="N351" s="19">
        <f>VLOOKUP($P351,매칭테이블!$G:$J,4,0)*H351</f>
        <v>6354</v>
      </c>
      <c r="O351" s="20">
        <f t="shared" si="62"/>
        <v>87918.181818181809</v>
      </c>
      <c r="P351" s="19" t="str">
        <f t="shared" si="51"/>
        <v>카페24트리트먼트HAIR RÉ:COVERY 15 Hairpack Treatment [라베나 리커버리 15 헤어팩 트리트먼트]제품선택=헤어팩 트리트먼트 1개 + 뉴트리셔스밤 1개 세트 5% 추가할인201210</v>
      </c>
    </row>
    <row r="352" spans="2:16" x14ac:dyDescent="0.3">
      <c r="B352" s="2">
        <v>44182</v>
      </c>
      <c r="C352" s="19" t="str">
        <f t="shared" si="63"/>
        <v>목</v>
      </c>
      <c r="E352" s="17" t="str">
        <f>INDEX(매칭테이블!C:C,MATCH(RD!G352,매칭테이블!D:D,0))</f>
        <v>뉴트리셔스밤</v>
      </c>
      <c r="F352" t="s">
        <v>91</v>
      </c>
      <c r="G352" t="s">
        <v>118</v>
      </c>
      <c r="H352">
        <v>7</v>
      </c>
      <c r="I352" s="17" t="str">
        <f>VLOOKUP(G352,매칭테이블!D:E,2,0)</f>
        <v>뉴트리셔스밤</v>
      </c>
      <c r="J352">
        <v>201210</v>
      </c>
      <c r="L352" s="19">
        <f>VLOOKUP($P352,매칭테이블!$G:$J,2,0)*H352</f>
        <v>174300</v>
      </c>
      <c r="M352" s="19">
        <f>L352-L352*VLOOKUP($P352,매칭테이블!$G:$J,3,0)</f>
        <v>164103.45000000001</v>
      </c>
      <c r="N352" s="19">
        <f>VLOOKUP($P352,매칭테이블!$G:$J,4,0)*H352</f>
        <v>11060</v>
      </c>
      <c r="O352" s="20">
        <f t="shared" si="62"/>
        <v>158454.54545454544</v>
      </c>
      <c r="P352" s="19" t="str">
        <f t="shared" si="51"/>
        <v>카페24뉴트리셔스밤HAIR RÉ:COVERY 15 Nutritious Balm [라베나 리커버리 15 뉴트리셔스 밤]제품선택=헤어 리커버리 15 뉴트리셔스 밤201210</v>
      </c>
    </row>
    <row r="353" spans="2:16" x14ac:dyDescent="0.3">
      <c r="B353" s="2">
        <v>44182</v>
      </c>
      <c r="C353" s="19" t="str">
        <f t="shared" si="63"/>
        <v>목</v>
      </c>
      <c r="E353" s="17" t="str">
        <f>INDEX(매칭테이블!C:C,MATCH(RD!G353,매칭테이블!D:D,0))</f>
        <v>뉴트리셔스밤</v>
      </c>
      <c r="F353" t="s">
        <v>91</v>
      </c>
      <c r="G353" t="s">
        <v>121</v>
      </c>
      <c r="H353">
        <v>1</v>
      </c>
      <c r="I353" s="17" t="str">
        <f>VLOOKUP(G353,매칭테이블!D:E,2,0)</f>
        <v>뉴트리셔스밤 2set</v>
      </c>
      <c r="J353">
        <v>201210</v>
      </c>
      <c r="L353" s="19">
        <f>VLOOKUP($P353,매칭테이블!$G:$J,2,0)*H353</f>
        <v>47310</v>
      </c>
      <c r="M353" s="19">
        <f>L353-L353*VLOOKUP($P353,매칭테이블!$G:$J,3,0)</f>
        <v>44542.364999999998</v>
      </c>
      <c r="N353" s="19">
        <f>VLOOKUP($P353,매칭테이블!$G:$J,4,0)*H353</f>
        <v>3160</v>
      </c>
      <c r="O353" s="20">
        <f t="shared" si="62"/>
        <v>43009.090909090904</v>
      </c>
      <c r="P353" s="19" t="str">
        <f t="shared" si="51"/>
        <v>카페24뉴트리셔스밤HAIR RÉ:COVERY 15 Nutritious Balm [라베나 리커버리 15 뉴트리셔스 밤]제품선택=뉴트리셔스 밤 2개 세트 5% 추가할인201210</v>
      </c>
    </row>
    <row r="354" spans="2:16" x14ac:dyDescent="0.3">
      <c r="B354" s="2">
        <v>44182</v>
      </c>
      <c r="C354" s="19" t="str">
        <f t="shared" si="63"/>
        <v>목</v>
      </c>
      <c r="E354" s="17" t="str">
        <f>INDEX(매칭테이블!C:C,MATCH(RD!G354,매칭테이블!D:D,0))</f>
        <v>뉴트리셔스밤</v>
      </c>
      <c r="F354" t="s">
        <v>91</v>
      </c>
      <c r="G354" t="s">
        <v>122</v>
      </c>
      <c r="H354">
        <v>6</v>
      </c>
      <c r="I354" s="17" t="str">
        <f>VLOOKUP(G354,매칭테이블!D:E,2,0)</f>
        <v>트리트먼트+뉴트리셔스밤</v>
      </c>
      <c r="J354">
        <v>201210</v>
      </c>
      <c r="L354" s="19">
        <f>VLOOKUP($P354,매칭테이블!$G:$J,2,0)*H354</f>
        <v>290130</v>
      </c>
      <c r="M354" s="19">
        <f>L354-L354*VLOOKUP($P354,매칭테이블!$G:$J,3,0)</f>
        <v>273157.39500000002</v>
      </c>
      <c r="N354" s="19">
        <f>VLOOKUP($P354,매칭테이블!$G:$J,4,0)*H354</f>
        <v>19062</v>
      </c>
      <c r="O354" s="20">
        <f t="shared" si="62"/>
        <v>263754.54545454541</v>
      </c>
      <c r="P354" s="19" t="str">
        <f t="shared" si="51"/>
        <v>카페24뉴트리셔스밤HAIR RÉ:COVERY 15 Nutritious Balm [라베나 리커버리 15 뉴트리셔스 밤]제품선택=뉴트리셔스밤 1개 + 헤어팩 트리트먼트 1개 세트 5%추가할인201210</v>
      </c>
    </row>
    <row r="355" spans="2:16" x14ac:dyDescent="0.3">
      <c r="B355" s="2">
        <v>44182</v>
      </c>
      <c r="C355" s="19" t="str">
        <f t="shared" si="63"/>
        <v>목</v>
      </c>
      <c r="E355" s="17" t="str">
        <f>INDEX(매칭테이블!C:C,MATCH(RD!G355,매칭테이블!D:D,0))</f>
        <v>샴푸</v>
      </c>
      <c r="F355" t="s">
        <v>91</v>
      </c>
      <c r="G355" t="s">
        <v>92</v>
      </c>
      <c r="H355">
        <v>24</v>
      </c>
      <c r="I355" s="17" t="str">
        <f>VLOOKUP(G355,매칭테이블!D:E,2,0)</f>
        <v>리바이탈 샴푸</v>
      </c>
      <c r="J355">
        <v>201210</v>
      </c>
      <c r="L355" s="19">
        <f>VLOOKUP($P355,매칭테이블!$G:$J,2,0)*H355</f>
        <v>645600</v>
      </c>
      <c r="M355" s="19">
        <f>L355-L355*VLOOKUP($P355,매칭테이블!$G:$J,3,0)</f>
        <v>607832.4</v>
      </c>
      <c r="N355" s="19">
        <f>VLOOKUP($P355,매칭테이블!$G:$J,4,0)*H355</f>
        <v>72480</v>
      </c>
      <c r="O355" s="20">
        <f t="shared" si="62"/>
        <v>586909.09090909082</v>
      </c>
      <c r="P355" s="19" t="str">
        <f t="shared" si="51"/>
        <v>카페24샴푸HAIR RÉ:COVERY 15 Revital Shampoo [라베나 리커버리 15 리바이탈 샴푸]제품선택=헤어 리커버리 15 리바이탈 샴푸 - 500ml201210</v>
      </c>
    </row>
    <row r="356" spans="2:16" x14ac:dyDescent="0.3">
      <c r="B356" s="2">
        <v>44182</v>
      </c>
      <c r="C356" s="19" t="str">
        <f t="shared" si="63"/>
        <v>목</v>
      </c>
      <c r="E356" s="17" t="str">
        <f>INDEX(매칭테이블!C:C,MATCH(RD!G356,매칭테이블!D:D,0))</f>
        <v>샴푸</v>
      </c>
      <c r="F356" t="s">
        <v>91</v>
      </c>
      <c r="G356" t="s">
        <v>93</v>
      </c>
      <c r="H356">
        <v>1</v>
      </c>
      <c r="I356" s="17" t="str">
        <f>VLOOKUP(G356,매칭테이블!D:E,2,0)</f>
        <v>리바이탈 샴푸</v>
      </c>
      <c r="J356">
        <v>201210</v>
      </c>
      <c r="L356" s="19">
        <f>VLOOKUP($P356,매칭테이블!$G:$J,2,0)*H356</f>
        <v>51110</v>
      </c>
      <c r="M356" s="19">
        <f>L356-L356*VLOOKUP($P356,매칭테이블!$G:$J,3,0)</f>
        <v>48120.065000000002</v>
      </c>
      <c r="N356" s="19">
        <f>VLOOKUP($P356,매칭테이블!$G:$J,4,0)*H356</f>
        <v>6040</v>
      </c>
      <c r="O356" s="20">
        <f t="shared" si="62"/>
        <v>46463.63636363636</v>
      </c>
      <c r="P356" s="19" t="str">
        <f t="shared" si="51"/>
        <v>카페24샴푸HAIR RÉ:COVERY 15 Revital Shampoo [라베나 리커버리 15 리바이탈 샴푸]제품선택=리바이탈 샴푸 2개 세트 5%추가할인201210</v>
      </c>
    </row>
    <row r="357" spans="2:16" x14ac:dyDescent="0.3">
      <c r="B357" s="2">
        <v>44182</v>
      </c>
      <c r="C357" s="19" t="str">
        <f t="shared" si="63"/>
        <v>목</v>
      </c>
      <c r="E357" s="17" t="str">
        <f>INDEX(매칭테이블!C:C,MATCH(RD!G357,매칭테이블!D:D,0))</f>
        <v>샴푸</v>
      </c>
      <c r="F357" t="s">
        <v>91</v>
      </c>
      <c r="G357" t="s">
        <v>94</v>
      </c>
      <c r="H357">
        <v>1</v>
      </c>
      <c r="I357" s="17" t="str">
        <f>VLOOKUP(G357,매칭테이블!D:E,2,0)</f>
        <v>리바이탈 샴푸 3set</v>
      </c>
      <c r="J357">
        <v>201210</v>
      </c>
      <c r="L357" s="19">
        <f>VLOOKUP($P357,매칭테이블!$G:$J,2,0)*H357</f>
        <v>72630</v>
      </c>
      <c r="M357" s="19">
        <f>L357-L357*VLOOKUP($P357,매칭테이블!$G:$J,3,0)</f>
        <v>68381.145000000004</v>
      </c>
      <c r="N357" s="19">
        <f>VLOOKUP($P357,매칭테이블!$G:$J,4,0)*H357</f>
        <v>9060</v>
      </c>
      <c r="O357" s="20">
        <f t="shared" si="62"/>
        <v>66027.272727272721</v>
      </c>
      <c r="P357" s="19" t="str">
        <f t="shared" si="51"/>
        <v>카페24샴푸HAIR RÉ:COVERY 15 Revital Shampoo [라베나 리커버리 15 리바이탈 샴푸]제품선택=리바이탈 샴푸 3개 세트 10% 추가할인201210</v>
      </c>
    </row>
    <row r="358" spans="2:16" x14ac:dyDescent="0.3">
      <c r="B358" s="2">
        <v>44185</v>
      </c>
      <c r="C358" s="19" t="str">
        <f t="shared" ref="C358:C388" si="64">TEXT(B358,"aaa")</f>
        <v>일</v>
      </c>
      <c r="E358" s="17" t="str">
        <f>INDEX(매칭테이블!C:C,MATCH(RD!G358,매칭테이블!D:D,0))</f>
        <v>트리트먼트</v>
      </c>
      <c r="F358" t="s">
        <v>91</v>
      </c>
      <c r="G358" t="s">
        <v>115</v>
      </c>
      <c r="H358">
        <v>81</v>
      </c>
      <c r="I358" s="17" t="str">
        <f>VLOOKUP(G358,매칭테이블!D:E,2,0)</f>
        <v>트리트먼트</v>
      </c>
      <c r="J358">
        <v>201210</v>
      </c>
      <c r="L358" s="19">
        <f>VLOOKUP($P358,매칭테이블!$G:$J,2,0)*H358</f>
        <v>2106000</v>
      </c>
      <c r="M358" s="19">
        <f>L358-L358*VLOOKUP($P358,매칭테이블!$G:$J,3,0)</f>
        <v>1982799</v>
      </c>
      <c r="N358" s="19">
        <f>VLOOKUP($P358,매칭테이블!$G:$J,4,0)*H358</f>
        <v>129357</v>
      </c>
      <c r="O358" s="20">
        <f t="shared" ref="O358" si="65">L358/1.1</f>
        <v>1914545.4545454544</v>
      </c>
      <c r="P358" s="19" t="str">
        <f t="shared" si="51"/>
        <v>카페24트리트먼트HAIR RÉ:COVERY 15 Hairpack Treatment [라베나 리커버리 15 헤어팩 트리트먼트]제품선택=헤어 리커버리 15 헤어팩 트리트먼트201210</v>
      </c>
    </row>
    <row r="359" spans="2:16" x14ac:dyDescent="0.3">
      <c r="B359" s="2">
        <v>44185</v>
      </c>
      <c r="C359" s="19" t="str">
        <f t="shared" si="64"/>
        <v>일</v>
      </c>
      <c r="E359" s="17" t="str">
        <f>INDEX(매칭테이블!C:C,MATCH(RD!G359,매칭테이블!D:D,0))</f>
        <v>트리트먼트</v>
      </c>
      <c r="F359" t="s">
        <v>91</v>
      </c>
      <c r="G359" t="s">
        <v>116</v>
      </c>
      <c r="H359">
        <v>14</v>
      </c>
      <c r="I359" s="17" t="str">
        <f>VLOOKUP(G359,매칭테이블!D:E,2,0)</f>
        <v>트리트먼트 2set</v>
      </c>
      <c r="J359">
        <v>201210</v>
      </c>
      <c r="L359" s="19">
        <f>VLOOKUP($P359,매칭테이블!$G:$J,2,0)*H359</f>
        <v>691600</v>
      </c>
      <c r="M359" s="19">
        <f>L359-L359*VLOOKUP($P359,매칭테이블!$G:$J,3,0)</f>
        <v>651141.4</v>
      </c>
      <c r="N359" s="19">
        <f>VLOOKUP($P359,매칭테이블!$G:$J,4,0)*H359</f>
        <v>44716</v>
      </c>
      <c r="O359" s="20">
        <f t="shared" ref="O359:O387" si="66">L359/1.1</f>
        <v>628727.27272727271</v>
      </c>
      <c r="P359" s="19" t="str">
        <f t="shared" si="51"/>
        <v>카페24트리트먼트HAIR RÉ:COVERY 15 Hairpack Treatment [라베나 리커버리 15 헤어팩 트리트먼트]제품선택=헤어팩 트리트먼트 2개 세트 5% 추가할인201210</v>
      </c>
    </row>
    <row r="360" spans="2:16" x14ac:dyDescent="0.3">
      <c r="B360" s="2">
        <v>44185</v>
      </c>
      <c r="C360" s="19" t="str">
        <f t="shared" si="64"/>
        <v>일</v>
      </c>
      <c r="E360" s="17" t="str">
        <f>INDEX(매칭테이블!C:C,MATCH(RD!G360,매칭테이블!D:D,0))</f>
        <v>트리트먼트</v>
      </c>
      <c r="F360" t="s">
        <v>91</v>
      </c>
      <c r="G360" t="s">
        <v>120</v>
      </c>
      <c r="H360">
        <v>10</v>
      </c>
      <c r="I360" s="17" t="str">
        <f>VLOOKUP(G360,매칭테이블!D:E,2,0)</f>
        <v>트리트먼트 3set</v>
      </c>
      <c r="J360">
        <v>201210</v>
      </c>
      <c r="L360" s="19">
        <f>VLOOKUP($P360,매칭테이블!$G:$J,2,0)*H360</f>
        <v>702000</v>
      </c>
      <c r="M360" s="19">
        <f>L360-L360*VLOOKUP($P360,매칭테이블!$G:$J,3,0)</f>
        <v>660933</v>
      </c>
      <c r="N360" s="19">
        <f>VLOOKUP($P360,매칭테이블!$G:$J,4,0)*H360</f>
        <v>47910</v>
      </c>
      <c r="O360" s="20">
        <f t="shared" si="66"/>
        <v>638181.81818181812</v>
      </c>
      <c r="P360" s="19" t="str">
        <f t="shared" ref="P360:P423" si="67">F360&amp;E360&amp;G360&amp;J360</f>
        <v>카페24트리트먼트HAIR RÉ:COVERY 15 Hairpack Treatment [라베나 리커버리 15 헤어팩 트리트먼트]제품선택=헤어팩 트리트먼트 3개 세트 10% 추가할인201210</v>
      </c>
    </row>
    <row r="361" spans="2:16" x14ac:dyDescent="0.3">
      <c r="B361" s="2">
        <v>44185</v>
      </c>
      <c r="C361" s="19" t="str">
        <f t="shared" si="64"/>
        <v>일</v>
      </c>
      <c r="E361" s="17" t="str">
        <f>INDEX(매칭테이블!C:C,MATCH(RD!G361,매칭테이블!D:D,0))</f>
        <v>트리트먼트</v>
      </c>
      <c r="F361" t="s">
        <v>91</v>
      </c>
      <c r="G361" t="s">
        <v>117</v>
      </c>
      <c r="H361">
        <v>10</v>
      </c>
      <c r="I361" s="17" t="str">
        <f>VLOOKUP(G361,매칭테이블!D:E,2,0)</f>
        <v>트리트먼트+뉴트리셔스밤</v>
      </c>
      <c r="J361">
        <v>201210</v>
      </c>
      <c r="L361" s="19">
        <f>VLOOKUP($P361,매칭테이블!$G:$J,2,0)*H361</f>
        <v>483550</v>
      </c>
      <c r="M361" s="19">
        <f>L361-L361*VLOOKUP($P361,매칭테이블!$G:$J,3,0)</f>
        <v>455262.32500000001</v>
      </c>
      <c r="N361" s="19">
        <f>VLOOKUP($P361,매칭테이블!$G:$J,4,0)*H361</f>
        <v>31770</v>
      </c>
      <c r="O361" s="20">
        <f t="shared" si="66"/>
        <v>439590.90909090906</v>
      </c>
      <c r="P361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362" spans="2:16" x14ac:dyDescent="0.3">
      <c r="B362" s="2">
        <v>44185</v>
      </c>
      <c r="C362" s="19" t="str">
        <f t="shared" si="64"/>
        <v>일</v>
      </c>
      <c r="E362" s="17" t="str">
        <f>INDEX(매칭테이블!C:C,MATCH(RD!G362,매칭테이블!D:D,0))</f>
        <v>뉴트리셔스밤</v>
      </c>
      <c r="F362" t="s">
        <v>91</v>
      </c>
      <c r="G362" t="s">
        <v>118</v>
      </c>
      <c r="H362">
        <v>9</v>
      </c>
      <c r="I362" s="17" t="str">
        <f>VLOOKUP(G362,매칭테이블!D:E,2,0)</f>
        <v>뉴트리셔스밤</v>
      </c>
      <c r="J362">
        <v>201210</v>
      </c>
      <c r="L362" s="19">
        <f>VLOOKUP($P362,매칭테이블!$G:$J,2,0)*H362</f>
        <v>224100</v>
      </c>
      <c r="M362" s="19">
        <f>L362-L362*VLOOKUP($P362,매칭테이블!$G:$J,3,0)</f>
        <v>210990.15</v>
      </c>
      <c r="N362" s="19">
        <f>VLOOKUP($P362,매칭테이블!$G:$J,4,0)*H362</f>
        <v>14220</v>
      </c>
      <c r="O362" s="20">
        <f t="shared" si="66"/>
        <v>203727.27272727271</v>
      </c>
      <c r="P362" s="19" t="str">
        <f t="shared" si="67"/>
        <v>카페24뉴트리셔스밤HAIR RÉ:COVERY 15 Nutritious Balm [라베나 리커버리 15 뉴트리셔스 밤]제품선택=헤어 리커버리 15 뉴트리셔스 밤201210</v>
      </c>
    </row>
    <row r="363" spans="2:16" x14ac:dyDescent="0.3">
      <c r="B363" s="2">
        <v>44185</v>
      </c>
      <c r="C363" s="19" t="str">
        <f t="shared" si="64"/>
        <v>일</v>
      </c>
      <c r="E363" s="17" t="str">
        <f>INDEX(매칭테이블!C:C,MATCH(RD!G363,매칭테이블!D:D,0))</f>
        <v>뉴트리셔스밤</v>
      </c>
      <c r="F363" t="s">
        <v>91</v>
      </c>
      <c r="G363" t="s">
        <v>121</v>
      </c>
      <c r="H363">
        <v>1</v>
      </c>
      <c r="I363" s="17" t="str">
        <f>VLOOKUP(G363,매칭테이블!D:E,2,0)</f>
        <v>뉴트리셔스밤 2set</v>
      </c>
      <c r="J363">
        <v>201210</v>
      </c>
      <c r="L363" s="19">
        <f>VLOOKUP($P363,매칭테이블!$G:$J,2,0)*H363</f>
        <v>47310</v>
      </c>
      <c r="M363" s="19">
        <f>L363-L363*VLOOKUP($P363,매칭테이블!$G:$J,3,0)</f>
        <v>44542.364999999998</v>
      </c>
      <c r="N363" s="19">
        <f>VLOOKUP($P363,매칭테이블!$G:$J,4,0)*H363</f>
        <v>3160</v>
      </c>
      <c r="O363" s="20">
        <f t="shared" si="66"/>
        <v>43009.090909090904</v>
      </c>
      <c r="P363" s="19" t="str">
        <f t="shared" si="67"/>
        <v>카페24뉴트리셔스밤HAIR RÉ:COVERY 15 Nutritious Balm [라베나 리커버리 15 뉴트리셔스 밤]제품선택=뉴트리셔스 밤 2개 세트 5% 추가할인201210</v>
      </c>
    </row>
    <row r="364" spans="2:16" x14ac:dyDescent="0.3">
      <c r="B364" s="2">
        <v>44185</v>
      </c>
      <c r="C364" s="19" t="str">
        <f t="shared" si="64"/>
        <v>일</v>
      </c>
      <c r="E364" s="17" t="str">
        <f>INDEX(매칭테이블!C:C,MATCH(RD!G364,매칭테이블!D:D,0))</f>
        <v>뉴트리셔스밤</v>
      </c>
      <c r="F364" t="s">
        <v>91</v>
      </c>
      <c r="G364" t="s">
        <v>119</v>
      </c>
      <c r="H364">
        <v>1</v>
      </c>
      <c r="I364" s="17" t="str">
        <f>VLOOKUP(G364,매칭테이블!D:E,2,0)</f>
        <v>뉴트리셔스밤 3set</v>
      </c>
      <c r="J364">
        <v>201210</v>
      </c>
      <c r="L364" s="19">
        <f>VLOOKUP($P364,매칭테이블!$G:$J,2,0)*H364</f>
        <v>67230</v>
      </c>
      <c r="M364" s="19">
        <f>L364-L364*VLOOKUP($P364,매칭테이블!$G:$J,3,0)</f>
        <v>63297.044999999998</v>
      </c>
      <c r="N364" s="19">
        <f>VLOOKUP($P364,매칭테이블!$G:$J,4,0)*H364</f>
        <v>4740</v>
      </c>
      <c r="O364" s="20">
        <f t="shared" si="66"/>
        <v>61118.181818181816</v>
      </c>
      <c r="P364" s="19" t="str">
        <f t="shared" si="67"/>
        <v>카페24뉴트리셔스밤HAIR RÉ:COVERY 15 Nutritious Balm [라베나 리커버리 15 뉴트리셔스 밤]제품선택=뉴트리셔스 밤 3개 세트 10% 추가할인201210</v>
      </c>
    </row>
    <row r="365" spans="2:16" x14ac:dyDescent="0.3">
      <c r="B365" s="2">
        <v>44185</v>
      </c>
      <c r="C365" s="19" t="str">
        <f t="shared" si="64"/>
        <v>일</v>
      </c>
      <c r="E365" s="17" t="str">
        <f>INDEX(매칭테이블!C:C,MATCH(RD!G365,매칭테이블!D:D,0))</f>
        <v>뉴트리셔스밤</v>
      </c>
      <c r="F365" t="s">
        <v>91</v>
      </c>
      <c r="G365" t="s">
        <v>122</v>
      </c>
      <c r="H365">
        <v>4</v>
      </c>
      <c r="I365" s="17" t="str">
        <f>VLOOKUP(G365,매칭테이블!D:E,2,0)</f>
        <v>트리트먼트+뉴트리셔스밤</v>
      </c>
      <c r="J365">
        <v>201210</v>
      </c>
      <c r="L365" s="19">
        <f>VLOOKUP($P365,매칭테이블!$G:$J,2,0)*H365</f>
        <v>193420</v>
      </c>
      <c r="M365" s="19">
        <f>L365-L365*VLOOKUP($P365,매칭테이블!$G:$J,3,0)</f>
        <v>182104.93</v>
      </c>
      <c r="N365" s="19">
        <f>VLOOKUP($P365,매칭테이블!$G:$J,4,0)*H365</f>
        <v>12708</v>
      </c>
      <c r="O365" s="20">
        <f t="shared" si="66"/>
        <v>175836.36363636362</v>
      </c>
      <c r="P365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366" spans="2:16" x14ac:dyDescent="0.3">
      <c r="B366" s="2">
        <v>44185</v>
      </c>
      <c r="C366" s="19" t="str">
        <f t="shared" si="64"/>
        <v>일</v>
      </c>
      <c r="E366" s="17" t="str">
        <f>INDEX(매칭테이블!C:C,MATCH(RD!G366,매칭테이블!D:D,0))</f>
        <v>샴푸</v>
      </c>
      <c r="F366" t="s">
        <v>91</v>
      </c>
      <c r="G366" t="s">
        <v>92</v>
      </c>
      <c r="H366">
        <v>41</v>
      </c>
      <c r="I366" s="17" t="str">
        <f>VLOOKUP(G366,매칭테이블!D:E,2,0)</f>
        <v>리바이탈 샴푸</v>
      </c>
      <c r="J366">
        <v>201210</v>
      </c>
      <c r="L366" s="19">
        <f>VLOOKUP($P366,매칭테이블!$G:$J,2,0)*H366</f>
        <v>1102900</v>
      </c>
      <c r="M366" s="19">
        <f>L366-L366*VLOOKUP($P366,매칭테이블!$G:$J,3,0)</f>
        <v>1038380.35</v>
      </c>
      <c r="N366" s="19">
        <f>VLOOKUP($P366,매칭테이블!$G:$J,4,0)*H366</f>
        <v>123820</v>
      </c>
      <c r="O366" s="20">
        <f t="shared" si="66"/>
        <v>1002636.3636363635</v>
      </c>
      <c r="P366" s="19" t="str">
        <f t="shared" si="67"/>
        <v>카페24샴푸HAIR RÉ:COVERY 15 Revital Shampoo [라베나 리커버리 15 리바이탈 샴푸]제품선택=헤어 리커버리 15 리바이탈 샴푸 - 500ml201210</v>
      </c>
    </row>
    <row r="367" spans="2:16" x14ac:dyDescent="0.3">
      <c r="B367" s="2">
        <v>44185</v>
      </c>
      <c r="C367" s="19" t="str">
        <f t="shared" si="64"/>
        <v>일</v>
      </c>
      <c r="E367" s="17" t="str">
        <f>INDEX(매칭테이블!C:C,MATCH(RD!G367,매칭테이블!D:D,0))</f>
        <v>샴푸</v>
      </c>
      <c r="F367" t="s">
        <v>91</v>
      </c>
      <c r="G367" t="s">
        <v>93</v>
      </c>
      <c r="H367">
        <v>6</v>
      </c>
      <c r="I367" s="17" t="str">
        <f>VLOOKUP(G367,매칭테이블!D:E,2,0)</f>
        <v>리바이탈 샴푸</v>
      </c>
      <c r="J367">
        <v>201210</v>
      </c>
      <c r="L367" s="19">
        <f>VLOOKUP($P367,매칭테이블!$G:$J,2,0)*H367</f>
        <v>306660</v>
      </c>
      <c r="M367" s="19">
        <f>L367-L367*VLOOKUP($P367,매칭테이블!$G:$J,3,0)</f>
        <v>288720.39</v>
      </c>
      <c r="N367" s="19">
        <f>VLOOKUP($P367,매칭테이블!$G:$J,4,0)*H367</f>
        <v>36240</v>
      </c>
      <c r="O367" s="20">
        <f t="shared" si="66"/>
        <v>278781.81818181818</v>
      </c>
      <c r="P367" s="19" t="str">
        <f t="shared" si="67"/>
        <v>카페24샴푸HAIR RÉ:COVERY 15 Revital Shampoo [라베나 리커버리 15 리바이탈 샴푸]제품선택=리바이탈 샴푸 2개 세트 5%추가할인201210</v>
      </c>
    </row>
    <row r="368" spans="2:16" x14ac:dyDescent="0.3">
      <c r="B368" s="2">
        <v>44185</v>
      </c>
      <c r="C368" s="19" t="str">
        <f t="shared" si="64"/>
        <v>일</v>
      </c>
      <c r="E368" s="17" t="str">
        <f>INDEX(매칭테이블!C:C,MATCH(RD!G368,매칭테이블!D:D,0))</f>
        <v>샴푸</v>
      </c>
      <c r="F368" t="s">
        <v>91</v>
      </c>
      <c r="G368" t="s">
        <v>94</v>
      </c>
      <c r="H368">
        <v>4</v>
      </c>
      <c r="I368" s="17" t="str">
        <f>VLOOKUP(G368,매칭테이블!D:E,2,0)</f>
        <v>리바이탈 샴푸 3set</v>
      </c>
      <c r="J368">
        <v>201210</v>
      </c>
      <c r="L368" s="19">
        <f>VLOOKUP($P368,매칭테이블!$G:$J,2,0)*H368</f>
        <v>290520</v>
      </c>
      <c r="M368" s="19">
        <f>L368-L368*VLOOKUP($P368,매칭테이블!$G:$J,3,0)</f>
        <v>273524.58</v>
      </c>
      <c r="N368" s="19">
        <f>VLOOKUP($P368,매칭테이블!$G:$J,4,0)*H368</f>
        <v>36240</v>
      </c>
      <c r="O368" s="20">
        <f t="shared" si="66"/>
        <v>264109.09090909088</v>
      </c>
      <c r="P368" s="19" t="str">
        <f t="shared" si="67"/>
        <v>카페24샴푸HAIR RÉ:COVERY 15 Revital Shampoo [라베나 리커버리 15 리바이탈 샴푸]제품선택=리바이탈 샴푸 3개 세트 10% 추가할인201210</v>
      </c>
    </row>
    <row r="369" spans="2:16" x14ac:dyDescent="0.3">
      <c r="B369" s="2">
        <v>44184</v>
      </c>
      <c r="C369" s="19" t="str">
        <f t="shared" si="64"/>
        <v>토</v>
      </c>
      <c r="E369" s="17" t="str">
        <f>INDEX(매칭테이블!C:C,MATCH(RD!G369,매칭테이블!D:D,0))</f>
        <v>트리트먼트</v>
      </c>
      <c r="F369" t="s">
        <v>91</v>
      </c>
      <c r="G369" t="s">
        <v>115</v>
      </c>
      <c r="H369">
        <v>34</v>
      </c>
      <c r="I369" s="17" t="str">
        <f>VLOOKUP(G369,매칭테이블!D:E,2,0)</f>
        <v>트리트먼트</v>
      </c>
      <c r="J369">
        <v>201210</v>
      </c>
      <c r="L369" s="19">
        <f>VLOOKUP($P369,매칭테이블!$G:$J,2,0)*H369</f>
        <v>884000</v>
      </c>
      <c r="M369" s="19">
        <f>L369-L369*VLOOKUP($P369,매칭테이블!$G:$J,3,0)</f>
        <v>832286</v>
      </c>
      <c r="N369" s="19">
        <f>VLOOKUP($P369,매칭테이블!$G:$J,4,0)*H369</f>
        <v>54298</v>
      </c>
      <c r="O369" s="20">
        <f t="shared" si="66"/>
        <v>803636.36363636353</v>
      </c>
      <c r="P369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370" spans="2:16" x14ac:dyDescent="0.3">
      <c r="B370" s="2">
        <v>44184</v>
      </c>
      <c r="C370" s="19" t="str">
        <f t="shared" si="64"/>
        <v>토</v>
      </c>
      <c r="E370" s="17" t="str">
        <f>INDEX(매칭테이블!C:C,MATCH(RD!G370,매칭테이블!D:D,0))</f>
        <v>트리트먼트</v>
      </c>
      <c r="F370" t="s">
        <v>91</v>
      </c>
      <c r="G370" t="s">
        <v>116</v>
      </c>
      <c r="H370">
        <v>15</v>
      </c>
      <c r="I370" s="17" t="str">
        <f>VLOOKUP(G370,매칭테이블!D:E,2,0)</f>
        <v>트리트먼트 2set</v>
      </c>
      <c r="J370">
        <v>201210</v>
      </c>
      <c r="L370" s="19">
        <f>VLOOKUP($P370,매칭테이블!$G:$J,2,0)*H370</f>
        <v>741000</v>
      </c>
      <c r="M370" s="19">
        <f>L370-L370*VLOOKUP($P370,매칭테이블!$G:$J,3,0)</f>
        <v>697651.5</v>
      </c>
      <c r="N370" s="19">
        <f>VLOOKUP($P370,매칭테이블!$G:$J,4,0)*H370</f>
        <v>47910</v>
      </c>
      <c r="O370" s="20">
        <f t="shared" si="66"/>
        <v>673636.36363636353</v>
      </c>
      <c r="P370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371" spans="2:16" x14ac:dyDescent="0.3">
      <c r="B371" s="2">
        <v>44184</v>
      </c>
      <c r="C371" s="19" t="str">
        <f t="shared" si="64"/>
        <v>토</v>
      </c>
      <c r="E371" s="17" t="str">
        <f>INDEX(매칭테이블!C:C,MATCH(RD!G371,매칭테이블!D:D,0))</f>
        <v>트리트먼트</v>
      </c>
      <c r="F371" t="s">
        <v>91</v>
      </c>
      <c r="G371" t="s">
        <v>120</v>
      </c>
      <c r="H371">
        <v>4</v>
      </c>
      <c r="I371" s="17" t="str">
        <f>VLOOKUP(G371,매칭테이블!D:E,2,0)</f>
        <v>트리트먼트 3set</v>
      </c>
      <c r="J371">
        <v>201210</v>
      </c>
      <c r="L371" s="19">
        <f>VLOOKUP($P371,매칭테이블!$G:$J,2,0)*H371</f>
        <v>280800</v>
      </c>
      <c r="M371" s="19">
        <f>L371-L371*VLOOKUP($P371,매칭테이블!$G:$J,3,0)</f>
        <v>264373.2</v>
      </c>
      <c r="N371" s="19">
        <f>VLOOKUP($P371,매칭테이블!$G:$J,4,0)*H371</f>
        <v>19164</v>
      </c>
      <c r="O371" s="20">
        <f t="shared" si="66"/>
        <v>255272.72727272726</v>
      </c>
      <c r="P371" s="19" t="str">
        <f t="shared" si="67"/>
        <v>카페24트리트먼트HAIR RÉ:COVERY 15 Hairpack Treatment [라베나 리커버리 15 헤어팩 트리트먼트]제품선택=헤어팩 트리트먼트 3개 세트 10% 추가할인201210</v>
      </c>
    </row>
    <row r="372" spans="2:16" x14ac:dyDescent="0.3">
      <c r="B372" s="2">
        <v>44184</v>
      </c>
      <c r="C372" s="19" t="str">
        <f t="shared" si="64"/>
        <v>토</v>
      </c>
      <c r="E372" s="17" t="str">
        <f>INDEX(매칭테이블!C:C,MATCH(RD!G372,매칭테이블!D:D,0))</f>
        <v>트리트먼트</v>
      </c>
      <c r="F372" t="s">
        <v>91</v>
      </c>
      <c r="G372" t="s">
        <v>117</v>
      </c>
      <c r="H372">
        <v>5</v>
      </c>
      <c r="I372" s="17" t="str">
        <f>VLOOKUP(G372,매칭테이블!D:E,2,0)</f>
        <v>트리트먼트+뉴트리셔스밤</v>
      </c>
      <c r="J372">
        <v>201210</v>
      </c>
      <c r="L372" s="19">
        <f>VLOOKUP($P372,매칭테이블!$G:$J,2,0)*H372</f>
        <v>241775</v>
      </c>
      <c r="M372" s="19">
        <f>L372-L372*VLOOKUP($P372,매칭테이블!$G:$J,3,0)</f>
        <v>227631.16250000001</v>
      </c>
      <c r="N372" s="19">
        <f>VLOOKUP($P372,매칭테이블!$G:$J,4,0)*H372</f>
        <v>15885</v>
      </c>
      <c r="O372" s="20">
        <f t="shared" si="66"/>
        <v>219795.45454545453</v>
      </c>
      <c r="P372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373" spans="2:16" x14ac:dyDescent="0.3">
      <c r="B373" s="2">
        <v>44184</v>
      </c>
      <c r="C373" s="19" t="str">
        <f t="shared" si="64"/>
        <v>토</v>
      </c>
      <c r="E373" s="17" t="str">
        <f>INDEX(매칭테이블!C:C,MATCH(RD!G373,매칭테이블!D:D,0))</f>
        <v>뉴트리셔스밤</v>
      </c>
      <c r="F373" t="s">
        <v>91</v>
      </c>
      <c r="G373" t="s">
        <v>118</v>
      </c>
      <c r="H373">
        <v>8</v>
      </c>
      <c r="I373" s="17" t="str">
        <f>VLOOKUP(G373,매칭테이블!D:E,2,0)</f>
        <v>뉴트리셔스밤</v>
      </c>
      <c r="J373">
        <v>201210</v>
      </c>
      <c r="L373" s="19">
        <f>VLOOKUP($P373,매칭테이블!$G:$J,2,0)*H373</f>
        <v>199200</v>
      </c>
      <c r="M373" s="19">
        <f>L373-L373*VLOOKUP($P373,매칭테이블!$G:$J,3,0)</f>
        <v>187546.8</v>
      </c>
      <c r="N373" s="19">
        <f>VLOOKUP($P373,매칭테이블!$G:$J,4,0)*H373</f>
        <v>12640</v>
      </c>
      <c r="O373" s="20">
        <f t="shared" si="66"/>
        <v>181090.90909090909</v>
      </c>
      <c r="P373" s="19" t="str">
        <f t="shared" si="67"/>
        <v>카페24뉴트리셔스밤HAIR RÉ:COVERY 15 Nutritious Balm [라베나 리커버리 15 뉴트리셔스 밤]제품선택=헤어 리커버리 15 뉴트리셔스 밤201210</v>
      </c>
    </row>
    <row r="374" spans="2:16" x14ac:dyDescent="0.3">
      <c r="B374" s="2">
        <v>44184</v>
      </c>
      <c r="C374" s="19" t="str">
        <f t="shared" si="64"/>
        <v>토</v>
      </c>
      <c r="E374" s="17" t="str">
        <f>INDEX(매칭테이블!C:C,MATCH(RD!G374,매칭테이블!D:D,0))</f>
        <v>뉴트리셔스밤</v>
      </c>
      <c r="F374" t="s">
        <v>91</v>
      </c>
      <c r="G374" t="s">
        <v>121</v>
      </c>
      <c r="H374">
        <v>3</v>
      </c>
      <c r="I374" s="17" t="str">
        <f>VLOOKUP(G374,매칭테이블!D:E,2,0)</f>
        <v>뉴트리셔스밤 2set</v>
      </c>
      <c r="J374">
        <v>201210</v>
      </c>
      <c r="L374" s="19">
        <f>VLOOKUP($P374,매칭테이블!$G:$J,2,0)*H374</f>
        <v>141930</v>
      </c>
      <c r="M374" s="19">
        <f>L374-L374*VLOOKUP($P374,매칭테이블!$G:$J,3,0)</f>
        <v>133627.095</v>
      </c>
      <c r="N374" s="19">
        <f>VLOOKUP($P374,매칭테이블!$G:$J,4,0)*H374</f>
        <v>9480</v>
      </c>
      <c r="O374" s="20">
        <f t="shared" si="66"/>
        <v>129027.27272727272</v>
      </c>
      <c r="P374" s="19" t="str">
        <f t="shared" si="67"/>
        <v>카페24뉴트리셔스밤HAIR RÉ:COVERY 15 Nutritious Balm [라베나 리커버리 15 뉴트리셔스 밤]제품선택=뉴트리셔스 밤 2개 세트 5% 추가할인201210</v>
      </c>
    </row>
    <row r="375" spans="2:16" x14ac:dyDescent="0.3">
      <c r="B375" s="2">
        <v>44184</v>
      </c>
      <c r="C375" s="19" t="str">
        <f t="shared" si="64"/>
        <v>토</v>
      </c>
      <c r="E375" s="17" t="str">
        <f>INDEX(매칭테이블!C:C,MATCH(RD!G375,매칭테이블!D:D,0))</f>
        <v>뉴트리셔스밤</v>
      </c>
      <c r="F375" t="s">
        <v>91</v>
      </c>
      <c r="G375" t="s">
        <v>122</v>
      </c>
      <c r="H375">
        <v>2</v>
      </c>
      <c r="I375" s="17" t="str">
        <f>VLOOKUP(G375,매칭테이블!D:E,2,0)</f>
        <v>트리트먼트+뉴트리셔스밤</v>
      </c>
      <c r="J375">
        <v>201210</v>
      </c>
      <c r="L375" s="19">
        <f>VLOOKUP($P375,매칭테이블!$G:$J,2,0)*H375</f>
        <v>96710</v>
      </c>
      <c r="M375" s="19">
        <f>L375-L375*VLOOKUP($P375,매칭테이블!$G:$J,3,0)</f>
        <v>91052.464999999997</v>
      </c>
      <c r="N375" s="19">
        <f>VLOOKUP($P375,매칭테이블!$G:$J,4,0)*H375</f>
        <v>6354</v>
      </c>
      <c r="O375" s="20">
        <f t="shared" si="66"/>
        <v>87918.181818181809</v>
      </c>
      <c r="P375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376" spans="2:16" x14ac:dyDescent="0.3">
      <c r="B376" s="2">
        <v>44184</v>
      </c>
      <c r="C376" s="19" t="str">
        <f t="shared" si="64"/>
        <v>토</v>
      </c>
      <c r="E376" s="17" t="str">
        <f>INDEX(매칭테이블!C:C,MATCH(RD!G376,매칭테이블!D:D,0))</f>
        <v>샴푸</v>
      </c>
      <c r="F376" t="s">
        <v>91</v>
      </c>
      <c r="G376" t="s">
        <v>92</v>
      </c>
      <c r="H376">
        <v>21</v>
      </c>
      <c r="I376" s="17" t="str">
        <f>VLOOKUP(G376,매칭테이블!D:E,2,0)</f>
        <v>리바이탈 샴푸</v>
      </c>
      <c r="J376">
        <v>201210</v>
      </c>
      <c r="L376" s="19">
        <f>VLOOKUP($P376,매칭테이블!$G:$J,2,0)*H376</f>
        <v>564900</v>
      </c>
      <c r="M376" s="19">
        <f>L376-L376*VLOOKUP($P376,매칭테이블!$G:$J,3,0)</f>
        <v>531853.35</v>
      </c>
      <c r="N376" s="19">
        <f>VLOOKUP($P376,매칭테이블!$G:$J,4,0)*H376</f>
        <v>63420</v>
      </c>
      <c r="O376" s="20">
        <f t="shared" si="66"/>
        <v>513545.45454545453</v>
      </c>
      <c r="P376" s="19" t="str">
        <f t="shared" si="67"/>
        <v>카페24샴푸HAIR RÉ:COVERY 15 Revital Shampoo [라베나 리커버리 15 리바이탈 샴푸]제품선택=헤어 리커버리 15 리바이탈 샴푸 - 500ml201210</v>
      </c>
    </row>
    <row r="377" spans="2:16" x14ac:dyDescent="0.3">
      <c r="B377" s="2">
        <v>44184</v>
      </c>
      <c r="C377" s="19" t="str">
        <f t="shared" si="64"/>
        <v>토</v>
      </c>
      <c r="E377" s="17" t="str">
        <f>INDEX(매칭테이블!C:C,MATCH(RD!G377,매칭테이블!D:D,0))</f>
        <v>샴푸</v>
      </c>
      <c r="F377" t="s">
        <v>91</v>
      </c>
      <c r="G377" t="s">
        <v>93</v>
      </c>
      <c r="H377">
        <v>1</v>
      </c>
      <c r="I377" s="17" t="str">
        <f>VLOOKUP(G377,매칭테이블!D:E,2,0)</f>
        <v>리바이탈 샴푸</v>
      </c>
      <c r="J377">
        <v>201210</v>
      </c>
      <c r="L377" s="19">
        <f>VLOOKUP($P377,매칭테이블!$G:$J,2,0)*H377</f>
        <v>51110</v>
      </c>
      <c r="M377" s="19">
        <f>L377-L377*VLOOKUP($P377,매칭테이블!$G:$J,3,0)</f>
        <v>48120.065000000002</v>
      </c>
      <c r="N377" s="19">
        <f>VLOOKUP($P377,매칭테이블!$G:$J,4,0)*H377</f>
        <v>6040</v>
      </c>
      <c r="O377" s="20">
        <f t="shared" si="66"/>
        <v>46463.63636363636</v>
      </c>
      <c r="P377" s="19" t="str">
        <f t="shared" si="67"/>
        <v>카페24샴푸HAIR RÉ:COVERY 15 Revital Shampoo [라베나 리커버리 15 리바이탈 샴푸]제품선택=리바이탈 샴푸 2개 세트 5%추가할인201210</v>
      </c>
    </row>
    <row r="378" spans="2:16" x14ac:dyDescent="0.3">
      <c r="B378" s="2">
        <v>44184</v>
      </c>
      <c r="C378" s="19" t="str">
        <f t="shared" si="64"/>
        <v>토</v>
      </c>
      <c r="E378" s="17" t="str">
        <f>INDEX(매칭테이블!C:C,MATCH(RD!G378,매칭테이블!D:D,0))</f>
        <v>샴푸</v>
      </c>
      <c r="F378" t="s">
        <v>91</v>
      </c>
      <c r="G378" t="s">
        <v>94</v>
      </c>
      <c r="H378">
        <v>3</v>
      </c>
      <c r="I378" s="17" t="str">
        <f>VLOOKUP(G378,매칭테이블!D:E,2,0)</f>
        <v>리바이탈 샴푸 3set</v>
      </c>
      <c r="J378">
        <v>201210</v>
      </c>
      <c r="L378" s="19">
        <f>VLOOKUP($P378,매칭테이블!$G:$J,2,0)*H378</f>
        <v>217890</v>
      </c>
      <c r="M378" s="19">
        <f>L378-L378*VLOOKUP($P378,매칭테이블!$G:$J,3,0)</f>
        <v>205143.435</v>
      </c>
      <c r="N378" s="19">
        <f>VLOOKUP($P378,매칭테이블!$G:$J,4,0)*H378</f>
        <v>27180</v>
      </c>
      <c r="O378" s="20">
        <f t="shared" si="66"/>
        <v>198081.81818181818</v>
      </c>
      <c r="P378" s="19" t="str">
        <f t="shared" si="67"/>
        <v>카페24샴푸HAIR RÉ:COVERY 15 Revital Shampoo [라베나 리커버리 15 리바이탈 샴푸]제품선택=리바이탈 샴푸 3개 세트 10% 추가할인201210</v>
      </c>
    </row>
    <row r="379" spans="2:16" x14ac:dyDescent="0.3">
      <c r="B379" s="2">
        <v>44183</v>
      </c>
      <c r="C379" s="19" t="str">
        <f t="shared" si="64"/>
        <v>금</v>
      </c>
      <c r="E379" s="17" t="str">
        <f>INDEX(매칭테이블!C:C,MATCH(RD!G379,매칭테이블!D:D,0))</f>
        <v>트리트먼트</v>
      </c>
      <c r="F379" t="s">
        <v>91</v>
      </c>
      <c r="G379" t="s">
        <v>115</v>
      </c>
      <c r="H379">
        <v>73</v>
      </c>
      <c r="I379" s="17" t="str">
        <f>VLOOKUP(G379,매칭테이블!D:E,2,0)</f>
        <v>트리트먼트</v>
      </c>
      <c r="J379">
        <v>201210</v>
      </c>
      <c r="L379" s="19">
        <f>VLOOKUP($P379,매칭테이블!$G:$J,2,0)*H379</f>
        <v>1898000</v>
      </c>
      <c r="M379" s="19">
        <f>L379-L379*VLOOKUP($P379,매칭테이블!$G:$J,3,0)</f>
        <v>1786967</v>
      </c>
      <c r="N379" s="19">
        <f>VLOOKUP($P379,매칭테이블!$G:$J,4,0)*H379</f>
        <v>116581</v>
      </c>
      <c r="O379" s="20">
        <f t="shared" si="66"/>
        <v>1725454.5454545454</v>
      </c>
      <c r="P379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380" spans="2:16" x14ac:dyDescent="0.3">
      <c r="B380" s="2">
        <v>44183</v>
      </c>
      <c r="C380" s="19" t="str">
        <f t="shared" si="64"/>
        <v>금</v>
      </c>
      <c r="E380" s="17" t="str">
        <f>INDEX(매칭테이블!C:C,MATCH(RD!G380,매칭테이블!D:D,0))</f>
        <v>트리트먼트</v>
      </c>
      <c r="F380" t="s">
        <v>91</v>
      </c>
      <c r="G380" t="s">
        <v>116</v>
      </c>
      <c r="H380">
        <v>13</v>
      </c>
      <c r="I380" s="17" t="str">
        <f>VLOOKUP(G380,매칭테이블!D:E,2,0)</f>
        <v>트리트먼트 2set</v>
      </c>
      <c r="J380">
        <v>201210</v>
      </c>
      <c r="L380" s="19">
        <f>VLOOKUP($P380,매칭테이블!$G:$J,2,0)*H380</f>
        <v>642200</v>
      </c>
      <c r="M380" s="19">
        <f>L380-L380*VLOOKUP($P380,매칭테이블!$G:$J,3,0)</f>
        <v>604631.30000000005</v>
      </c>
      <c r="N380" s="19">
        <f>VLOOKUP($P380,매칭테이블!$G:$J,4,0)*H380</f>
        <v>41522</v>
      </c>
      <c r="O380" s="20">
        <f t="shared" si="66"/>
        <v>583818.18181818177</v>
      </c>
      <c r="P380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381" spans="2:16" x14ac:dyDescent="0.3">
      <c r="B381" s="2">
        <v>44183</v>
      </c>
      <c r="C381" s="19" t="str">
        <f t="shared" si="64"/>
        <v>금</v>
      </c>
      <c r="E381" s="17" t="str">
        <f>INDEX(매칭테이블!C:C,MATCH(RD!G381,매칭테이블!D:D,0))</f>
        <v>트리트먼트</v>
      </c>
      <c r="F381" t="s">
        <v>91</v>
      </c>
      <c r="G381" t="s">
        <v>120</v>
      </c>
      <c r="H381">
        <v>11</v>
      </c>
      <c r="I381" s="17" t="str">
        <f>VLOOKUP(G381,매칭테이블!D:E,2,0)</f>
        <v>트리트먼트 3set</v>
      </c>
      <c r="J381">
        <v>201210</v>
      </c>
      <c r="L381" s="19">
        <f>VLOOKUP($P381,매칭테이블!$G:$J,2,0)*H381</f>
        <v>772200</v>
      </c>
      <c r="M381" s="19">
        <f>L381-L381*VLOOKUP($P381,매칭테이블!$G:$J,3,0)</f>
        <v>727026.3</v>
      </c>
      <c r="N381" s="19">
        <f>VLOOKUP($P381,매칭테이블!$G:$J,4,0)*H381</f>
        <v>52701</v>
      </c>
      <c r="O381" s="20">
        <f t="shared" si="66"/>
        <v>702000</v>
      </c>
      <c r="P381" s="19" t="str">
        <f t="shared" si="67"/>
        <v>카페24트리트먼트HAIR RÉ:COVERY 15 Hairpack Treatment [라베나 리커버리 15 헤어팩 트리트먼트]제품선택=헤어팩 트리트먼트 3개 세트 10% 추가할인201210</v>
      </c>
    </row>
    <row r="382" spans="2:16" x14ac:dyDescent="0.3">
      <c r="B382" s="2">
        <v>44183</v>
      </c>
      <c r="C382" s="19" t="str">
        <f t="shared" si="64"/>
        <v>금</v>
      </c>
      <c r="E382" s="17" t="str">
        <f>INDEX(매칭테이블!C:C,MATCH(RD!G382,매칭테이블!D:D,0))</f>
        <v>트리트먼트</v>
      </c>
      <c r="F382" t="s">
        <v>91</v>
      </c>
      <c r="G382" t="s">
        <v>117</v>
      </c>
      <c r="H382">
        <v>12</v>
      </c>
      <c r="I382" s="17" t="str">
        <f>VLOOKUP(G382,매칭테이블!D:E,2,0)</f>
        <v>트리트먼트+뉴트리셔스밤</v>
      </c>
      <c r="J382">
        <v>201210</v>
      </c>
      <c r="L382" s="19">
        <f>VLOOKUP($P382,매칭테이블!$G:$J,2,0)*H382</f>
        <v>580260</v>
      </c>
      <c r="M382" s="19">
        <f>L382-L382*VLOOKUP($P382,매칭테이블!$G:$J,3,0)</f>
        <v>546314.79</v>
      </c>
      <c r="N382" s="19">
        <f>VLOOKUP($P382,매칭테이블!$G:$J,4,0)*H382</f>
        <v>38124</v>
      </c>
      <c r="O382" s="20">
        <f t="shared" si="66"/>
        <v>527509.09090909082</v>
      </c>
      <c r="P382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383" spans="2:16" x14ac:dyDescent="0.3">
      <c r="B383" s="2">
        <v>44183</v>
      </c>
      <c r="C383" s="19" t="str">
        <f t="shared" si="64"/>
        <v>금</v>
      </c>
      <c r="E383" s="17" t="str">
        <f>INDEX(매칭테이블!C:C,MATCH(RD!G383,매칭테이블!D:D,0))</f>
        <v>뉴트리셔스밤</v>
      </c>
      <c r="F383" t="s">
        <v>91</v>
      </c>
      <c r="G383" t="s">
        <v>118</v>
      </c>
      <c r="H383">
        <v>13</v>
      </c>
      <c r="I383" s="17" t="str">
        <f>VLOOKUP(G383,매칭테이블!D:E,2,0)</f>
        <v>뉴트리셔스밤</v>
      </c>
      <c r="J383">
        <v>201210</v>
      </c>
      <c r="L383" s="19">
        <f>VLOOKUP($P383,매칭테이블!$G:$J,2,0)*H383</f>
        <v>323700</v>
      </c>
      <c r="M383" s="19">
        <f>L383-L383*VLOOKUP($P383,매칭테이블!$G:$J,3,0)</f>
        <v>304763.55</v>
      </c>
      <c r="N383" s="19">
        <f>VLOOKUP($P383,매칭테이블!$G:$J,4,0)*H383</f>
        <v>20540</v>
      </c>
      <c r="O383" s="20">
        <f t="shared" si="66"/>
        <v>294272.72727272724</v>
      </c>
      <c r="P383" s="19" t="str">
        <f t="shared" si="67"/>
        <v>카페24뉴트리셔스밤HAIR RÉ:COVERY 15 Nutritious Balm [라베나 리커버리 15 뉴트리셔스 밤]제품선택=헤어 리커버리 15 뉴트리셔스 밤201210</v>
      </c>
    </row>
    <row r="384" spans="2:16" x14ac:dyDescent="0.3">
      <c r="B384" s="2">
        <v>44183</v>
      </c>
      <c r="C384" s="19" t="str">
        <f t="shared" si="64"/>
        <v>금</v>
      </c>
      <c r="E384" s="17" t="str">
        <f>INDEX(매칭테이블!C:C,MATCH(RD!G384,매칭테이블!D:D,0))</f>
        <v>뉴트리셔스밤</v>
      </c>
      <c r="F384" t="s">
        <v>91</v>
      </c>
      <c r="G384" t="s">
        <v>121</v>
      </c>
      <c r="H384">
        <v>1</v>
      </c>
      <c r="I384" s="17" t="str">
        <f>VLOOKUP(G384,매칭테이블!D:E,2,0)</f>
        <v>뉴트리셔스밤 2set</v>
      </c>
      <c r="J384">
        <v>201210</v>
      </c>
      <c r="L384" s="19">
        <f>VLOOKUP($P384,매칭테이블!$G:$J,2,0)*H384</f>
        <v>47310</v>
      </c>
      <c r="M384" s="19">
        <f>L384-L384*VLOOKUP($P384,매칭테이블!$G:$J,3,0)</f>
        <v>44542.364999999998</v>
      </c>
      <c r="N384" s="19">
        <f>VLOOKUP($P384,매칭테이블!$G:$J,4,0)*H384</f>
        <v>3160</v>
      </c>
      <c r="O384" s="20">
        <f t="shared" si="66"/>
        <v>43009.090909090904</v>
      </c>
      <c r="P384" s="19" t="str">
        <f t="shared" si="67"/>
        <v>카페24뉴트리셔스밤HAIR RÉ:COVERY 15 Nutritious Balm [라베나 리커버리 15 뉴트리셔스 밤]제품선택=뉴트리셔스 밤 2개 세트 5% 추가할인201210</v>
      </c>
    </row>
    <row r="385" spans="2:16" x14ac:dyDescent="0.3">
      <c r="B385" s="2">
        <v>44183</v>
      </c>
      <c r="C385" s="19" t="str">
        <f t="shared" si="64"/>
        <v>금</v>
      </c>
      <c r="E385" s="17" t="str">
        <f>INDEX(매칭테이블!C:C,MATCH(RD!G385,매칭테이블!D:D,0))</f>
        <v>뉴트리셔스밤</v>
      </c>
      <c r="F385" t="s">
        <v>91</v>
      </c>
      <c r="G385" t="s">
        <v>122</v>
      </c>
      <c r="H385">
        <v>4</v>
      </c>
      <c r="I385" s="17" t="str">
        <f>VLOOKUP(G385,매칭테이블!D:E,2,0)</f>
        <v>트리트먼트+뉴트리셔스밤</v>
      </c>
      <c r="J385">
        <v>201210</v>
      </c>
      <c r="L385" s="19">
        <f>VLOOKUP($P385,매칭테이블!$G:$J,2,0)*H385</f>
        <v>193420</v>
      </c>
      <c r="M385" s="19">
        <f>L385-L385*VLOOKUP($P385,매칭테이블!$G:$J,3,0)</f>
        <v>182104.93</v>
      </c>
      <c r="N385" s="19">
        <f>VLOOKUP($P385,매칭테이블!$G:$J,4,0)*H385</f>
        <v>12708</v>
      </c>
      <c r="O385" s="20">
        <f t="shared" si="66"/>
        <v>175836.36363636362</v>
      </c>
      <c r="P385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386" spans="2:16" x14ac:dyDescent="0.3">
      <c r="B386" s="2">
        <v>44183</v>
      </c>
      <c r="C386" s="19" t="str">
        <f t="shared" si="64"/>
        <v>금</v>
      </c>
      <c r="E386" s="17" t="str">
        <f>INDEX(매칭테이블!C:C,MATCH(RD!G386,매칭테이블!D:D,0))</f>
        <v>샴푸</v>
      </c>
      <c r="F386" t="s">
        <v>91</v>
      </c>
      <c r="G386" t="s">
        <v>92</v>
      </c>
      <c r="H386">
        <v>23</v>
      </c>
      <c r="I386" s="17" t="str">
        <f>VLOOKUP(G386,매칭테이블!D:E,2,0)</f>
        <v>리바이탈 샴푸</v>
      </c>
      <c r="J386">
        <v>201210</v>
      </c>
      <c r="L386" s="19">
        <f>VLOOKUP($P386,매칭테이블!$G:$J,2,0)*H386</f>
        <v>618700</v>
      </c>
      <c r="M386" s="19">
        <f>L386-L386*VLOOKUP($P386,매칭테이블!$G:$J,3,0)</f>
        <v>582506.05000000005</v>
      </c>
      <c r="N386" s="19">
        <f>VLOOKUP($P386,매칭테이블!$G:$J,4,0)*H386</f>
        <v>69460</v>
      </c>
      <c r="O386" s="20">
        <f t="shared" si="66"/>
        <v>562454.54545454541</v>
      </c>
      <c r="P386" s="19" t="str">
        <f t="shared" si="67"/>
        <v>카페24샴푸HAIR RÉ:COVERY 15 Revital Shampoo [라베나 리커버리 15 리바이탈 샴푸]제품선택=헤어 리커버리 15 리바이탈 샴푸 - 500ml201210</v>
      </c>
    </row>
    <row r="387" spans="2:16" x14ac:dyDescent="0.3">
      <c r="B387" s="2">
        <v>44183</v>
      </c>
      <c r="C387" s="19" t="str">
        <f t="shared" si="64"/>
        <v>금</v>
      </c>
      <c r="E387" s="17" t="str">
        <f>INDEX(매칭테이블!C:C,MATCH(RD!G387,매칭테이블!D:D,0))</f>
        <v>샴푸</v>
      </c>
      <c r="F387" t="s">
        <v>91</v>
      </c>
      <c r="G387" t="s">
        <v>93</v>
      </c>
      <c r="H387">
        <v>6</v>
      </c>
      <c r="I387" s="17" t="str">
        <f>VLOOKUP(G387,매칭테이블!D:E,2,0)</f>
        <v>리바이탈 샴푸</v>
      </c>
      <c r="J387">
        <v>201210</v>
      </c>
      <c r="L387" s="19">
        <f>VLOOKUP($P387,매칭테이블!$G:$J,2,0)*H387</f>
        <v>306660</v>
      </c>
      <c r="M387" s="19">
        <f>L387-L387*VLOOKUP($P387,매칭테이블!$G:$J,3,0)</f>
        <v>288720.39</v>
      </c>
      <c r="N387" s="19">
        <f>VLOOKUP($P387,매칭테이블!$G:$J,4,0)*H387</f>
        <v>36240</v>
      </c>
      <c r="O387" s="20">
        <f t="shared" si="66"/>
        <v>278781.81818181818</v>
      </c>
      <c r="P387" s="19" t="str">
        <f t="shared" si="67"/>
        <v>카페24샴푸HAIR RÉ:COVERY 15 Revital Shampoo [라베나 리커버리 15 리바이탈 샴푸]제품선택=리바이탈 샴푸 2개 세트 5%추가할인201210</v>
      </c>
    </row>
    <row r="388" spans="2:16" x14ac:dyDescent="0.3">
      <c r="B388" s="2">
        <v>44186</v>
      </c>
      <c r="C388" s="19" t="str">
        <f t="shared" si="64"/>
        <v>월</v>
      </c>
      <c r="E388" s="17" t="str">
        <f>INDEX(매칭테이블!C:C,MATCH(RD!G388,매칭테이블!D:D,0))</f>
        <v>트리트먼트</v>
      </c>
      <c r="F388" t="s">
        <v>91</v>
      </c>
      <c r="G388" t="s">
        <v>115</v>
      </c>
      <c r="H388">
        <v>50</v>
      </c>
      <c r="I388" s="17" t="str">
        <f>VLOOKUP(G388,매칭테이블!D:E,2,0)</f>
        <v>트리트먼트</v>
      </c>
      <c r="J388">
        <v>201210</v>
      </c>
      <c r="L388" s="19">
        <f>VLOOKUP($P388,매칭테이블!$G:$J,2,0)*H388</f>
        <v>1300000</v>
      </c>
      <c r="M388" s="19">
        <f>L388-L388*VLOOKUP($P388,매칭테이블!$G:$J,3,0)</f>
        <v>1223950</v>
      </c>
      <c r="N388" s="19">
        <f>VLOOKUP($P388,매칭테이블!$G:$J,4,0)*H388</f>
        <v>79850</v>
      </c>
      <c r="O388" s="20">
        <f t="shared" ref="O388" si="68">L388/1.1</f>
        <v>1181818.1818181816</v>
      </c>
      <c r="P388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389" spans="2:16" x14ac:dyDescent="0.3">
      <c r="B389" s="2">
        <v>44186</v>
      </c>
      <c r="C389" s="19" t="str">
        <f t="shared" ref="C389:C398" si="69">TEXT(B389,"aaa")</f>
        <v>월</v>
      </c>
      <c r="E389" s="17" t="str">
        <f>INDEX(매칭테이블!C:C,MATCH(RD!G389,매칭테이블!D:D,0))</f>
        <v>트리트먼트</v>
      </c>
      <c r="F389" t="s">
        <v>91</v>
      </c>
      <c r="G389" t="s">
        <v>116</v>
      </c>
      <c r="H389">
        <v>13</v>
      </c>
      <c r="I389" s="17" t="str">
        <f>VLOOKUP(G389,매칭테이블!D:E,2,0)</f>
        <v>트리트먼트 2set</v>
      </c>
      <c r="J389">
        <v>201210</v>
      </c>
      <c r="L389" s="19">
        <f>VLOOKUP($P389,매칭테이블!$G:$J,2,0)*H389</f>
        <v>642200</v>
      </c>
      <c r="M389" s="19">
        <f>L389-L389*VLOOKUP($P389,매칭테이블!$G:$J,3,0)</f>
        <v>604631.30000000005</v>
      </c>
      <c r="N389" s="19">
        <f>VLOOKUP($P389,매칭테이블!$G:$J,4,0)*H389</f>
        <v>41522</v>
      </c>
      <c r="O389" s="20">
        <f t="shared" ref="O389:O398" si="70">L389/1.1</f>
        <v>583818.18181818177</v>
      </c>
      <c r="P389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390" spans="2:16" x14ac:dyDescent="0.3">
      <c r="B390" s="2">
        <v>44186</v>
      </c>
      <c r="C390" s="19" t="str">
        <f t="shared" si="69"/>
        <v>월</v>
      </c>
      <c r="E390" s="17" t="str">
        <f>INDEX(매칭테이블!C:C,MATCH(RD!G390,매칭테이블!D:D,0))</f>
        <v>트리트먼트</v>
      </c>
      <c r="F390" t="s">
        <v>91</v>
      </c>
      <c r="G390" t="s">
        <v>120</v>
      </c>
      <c r="H390">
        <v>13</v>
      </c>
      <c r="I390" s="17" t="str">
        <f>VLOOKUP(G390,매칭테이블!D:E,2,0)</f>
        <v>트리트먼트 3set</v>
      </c>
      <c r="J390">
        <v>201210</v>
      </c>
      <c r="L390" s="19">
        <f>VLOOKUP($P390,매칭테이블!$G:$J,2,0)*H390</f>
        <v>912600</v>
      </c>
      <c r="M390" s="19">
        <f>L390-L390*VLOOKUP($P390,매칭테이블!$G:$J,3,0)</f>
        <v>859212.9</v>
      </c>
      <c r="N390" s="19">
        <f>VLOOKUP($P390,매칭테이블!$G:$J,4,0)*H390</f>
        <v>62283</v>
      </c>
      <c r="O390" s="20">
        <f t="shared" si="70"/>
        <v>829636.36363636353</v>
      </c>
      <c r="P390" s="19" t="str">
        <f t="shared" si="67"/>
        <v>카페24트리트먼트HAIR RÉ:COVERY 15 Hairpack Treatment [라베나 리커버리 15 헤어팩 트리트먼트]제품선택=헤어팩 트리트먼트 3개 세트 10% 추가할인201210</v>
      </c>
    </row>
    <row r="391" spans="2:16" x14ac:dyDescent="0.3">
      <c r="B391" s="2">
        <v>44186</v>
      </c>
      <c r="C391" s="19" t="str">
        <f t="shared" si="69"/>
        <v>월</v>
      </c>
      <c r="E391" s="17" t="str">
        <f>INDEX(매칭테이블!C:C,MATCH(RD!G391,매칭테이블!D:D,0))</f>
        <v>트리트먼트</v>
      </c>
      <c r="F391" t="s">
        <v>91</v>
      </c>
      <c r="G391" t="s">
        <v>117</v>
      </c>
      <c r="H391">
        <v>9</v>
      </c>
      <c r="I391" s="17" t="str">
        <f>VLOOKUP(G391,매칭테이블!D:E,2,0)</f>
        <v>트리트먼트+뉴트리셔스밤</v>
      </c>
      <c r="J391">
        <v>201210</v>
      </c>
      <c r="L391" s="19">
        <f>VLOOKUP($P391,매칭테이블!$G:$J,2,0)*H391</f>
        <v>435195</v>
      </c>
      <c r="M391" s="19">
        <f>L391-L391*VLOOKUP($P391,매칭테이블!$G:$J,3,0)</f>
        <v>409736.09250000003</v>
      </c>
      <c r="N391" s="19">
        <f>VLOOKUP($P391,매칭테이블!$G:$J,4,0)*H391</f>
        <v>28593</v>
      </c>
      <c r="O391" s="20">
        <f t="shared" si="70"/>
        <v>395631.81818181818</v>
      </c>
      <c r="P391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392" spans="2:16" x14ac:dyDescent="0.3">
      <c r="B392" s="2">
        <v>44186</v>
      </c>
      <c r="C392" s="19" t="str">
        <f t="shared" si="69"/>
        <v>월</v>
      </c>
      <c r="E392" s="17" t="str">
        <f>INDEX(매칭테이블!C:C,MATCH(RD!G392,매칭테이블!D:D,0))</f>
        <v>뉴트리셔스밤</v>
      </c>
      <c r="F392" t="s">
        <v>91</v>
      </c>
      <c r="G392" t="s">
        <v>118</v>
      </c>
      <c r="H392">
        <v>10</v>
      </c>
      <c r="I392" s="17" t="str">
        <f>VLOOKUP(G392,매칭테이블!D:E,2,0)</f>
        <v>뉴트리셔스밤</v>
      </c>
      <c r="J392">
        <v>201210</v>
      </c>
      <c r="L392" s="19">
        <f>VLOOKUP($P392,매칭테이블!$G:$J,2,0)*H392</f>
        <v>249000</v>
      </c>
      <c r="M392" s="19">
        <f>L392-L392*VLOOKUP($P392,매칭테이블!$G:$J,3,0)</f>
        <v>234433.5</v>
      </c>
      <c r="N392" s="19">
        <f>VLOOKUP($P392,매칭테이블!$G:$J,4,0)*H392</f>
        <v>15800</v>
      </c>
      <c r="O392" s="20">
        <f t="shared" si="70"/>
        <v>226363.63636363635</v>
      </c>
      <c r="P392" s="19" t="str">
        <f t="shared" si="67"/>
        <v>카페24뉴트리셔스밤HAIR RÉ:COVERY 15 Nutritious Balm [라베나 리커버리 15 뉴트리셔스 밤]제품선택=헤어 리커버리 15 뉴트리셔스 밤201210</v>
      </c>
    </row>
    <row r="393" spans="2:16" x14ac:dyDescent="0.3">
      <c r="B393" s="2">
        <v>44186</v>
      </c>
      <c r="C393" s="19" t="str">
        <f t="shared" si="69"/>
        <v>월</v>
      </c>
      <c r="E393" s="17" t="str">
        <f>INDEX(매칭테이블!C:C,MATCH(RD!G393,매칭테이블!D:D,0))</f>
        <v>뉴트리셔스밤</v>
      </c>
      <c r="F393" t="s">
        <v>91</v>
      </c>
      <c r="G393" t="s">
        <v>121</v>
      </c>
      <c r="H393">
        <v>1</v>
      </c>
      <c r="I393" s="17" t="str">
        <f>VLOOKUP(G393,매칭테이블!D:E,2,0)</f>
        <v>뉴트리셔스밤 2set</v>
      </c>
      <c r="J393">
        <v>201210</v>
      </c>
      <c r="L393" s="19">
        <f>VLOOKUP($P393,매칭테이블!$G:$J,2,0)*H393</f>
        <v>47310</v>
      </c>
      <c r="M393" s="19">
        <f>L393-L393*VLOOKUP($P393,매칭테이블!$G:$J,3,0)</f>
        <v>44542.364999999998</v>
      </c>
      <c r="N393" s="19">
        <f>VLOOKUP($P393,매칭테이블!$G:$J,4,0)*H393</f>
        <v>3160</v>
      </c>
      <c r="O393" s="20">
        <f t="shared" si="70"/>
        <v>43009.090909090904</v>
      </c>
      <c r="P393" s="19" t="str">
        <f t="shared" si="67"/>
        <v>카페24뉴트리셔스밤HAIR RÉ:COVERY 15 Nutritious Balm [라베나 리커버리 15 뉴트리셔스 밤]제품선택=뉴트리셔스 밤 2개 세트 5% 추가할인201210</v>
      </c>
    </row>
    <row r="394" spans="2:16" x14ac:dyDescent="0.3">
      <c r="B394" s="2">
        <v>44186</v>
      </c>
      <c r="C394" s="19" t="str">
        <f t="shared" si="69"/>
        <v>월</v>
      </c>
      <c r="E394" s="17" t="str">
        <f>INDEX(매칭테이블!C:C,MATCH(RD!G394,매칭테이블!D:D,0))</f>
        <v>뉴트리셔스밤</v>
      </c>
      <c r="F394" t="s">
        <v>91</v>
      </c>
      <c r="G394" t="s">
        <v>119</v>
      </c>
      <c r="H394">
        <v>1</v>
      </c>
      <c r="I394" s="17" t="str">
        <f>VLOOKUP(G394,매칭테이블!D:E,2,0)</f>
        <v>뉴트리셔스밤 3set</v>
      </c>
      <c r="J394">
        <v>201210</v>
      </c>
      <c r="L394" s="19">
        <f>VLOOKUP($P394,매칭테이블!$G:$J,2,0)*H394</f>
        <v>67230</v>
      </c>
      <c r="M394" s="19">
        <f>L394-L394*VLOOKUP($P394,매칭테이블!$G:$J,3,0)</f>
        <v>63297.044999999998</v>
      </c>
      <c r="N394" s="19">
        <f>VLOOKUP($P394,매칭테이블!$G:$J,4,0)*H394</f>
        <v>4740</v>
      </c>
      <c r="O394" s="20">
        <f t="shared" si="70"/>
        <v>61118.181818181816</v>
      </c>
      <c r="P394" s="19" t="str">
        <f t="shared" si="67"/>
        <v>카페24뉴트리셔스밤HAIR RÉ:COVERY 15 Nutritious Balm [라베나 리커버리 15 뉴트리셔스 밤]제품선택=뉴트리셔스 밤 3개 세트 10% 추가할인201210</v>
      </c>
    </row>
    <row r="395" spans="2:16" x14ac:dyDescent="0.3">
      <c r="B395" s="2">
        <v>44186</v>
      </c>
      <c r="C395" s="19" t="str">
        <f t="shared" si="69"/>
        <v>월</v>
      </c>
      <c r="E395" s="17" t="str">
        <f>INDEX(매칭테이블!C:C,MATCH(RD!G395,매칭테이블!D:D,0))</f>
        <v>뉴트리셔스밤</v>
      </c>
      <c r="F395" t="s">
        <v>91</v>
      </c>
      <c r="G395" t="s">
        <v>122</v>
      </c>
      <c r="H395">
        <v>2</v>
      </c>
      <c r="I395" s="17" t="str">
        <f>VLOOKUP(G395,매칭테이블!D:E,2,0)</f>
        <v>트리트먼트+뉴트리셔스밤</v>
      </c>
      <c r="J395">
        <v>201210</v>
      </c>
      <c r="L395" s="19">
        <f>VLOOKUP($P395,매칭테이블!$G:$J,2,0)*H395</f>
        <v>96710</v>
      </c>
      <c r="M395" s="19">
        <f>L395-L395*VLOOKUP($P395,매칭테이블!$G:$J,3,0)</f>
        <v>91052.464999999997</v>
      </c>
      <c r="N395" s="19">
        <f>VLOOKUP($P395,매칭테이블!$G:$J,4,0)*H395</f>
        <v>6354</v>
      </c>
      <c r="O395" s="20">
        <f t="shared" si="70"/>
        <v>87918.181818181809</v>
      </c>
      <c r="P395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396" spans="2:16" x14ac:dyDescent="0.3">
      <c r="B396" s="2">
        <v>44186</v>
      </c>
      <c r="C396" s="19" t="str">
        <f t="shared" si="69"/>
        <v>월</v>
      </c>
      <c r="E396" s="17" t="str">
        <f>INDEX(매칭테이블!C:C,MATCH(RD!G396,매칭테이블!D:D,0))</f>
        <v>샴푸</v>
      </c>
      <c r="F396" t="s">
        <v>91</v>
      </c>
      <c r="G396" t="s">
        <v>92</v>
      </c>
      <c r="H396">
        <v>28</v>
      </c>
      <c r="I396" s="17" t="str">
        <f>VLOOKUP(G396,매칭테이블!D:E,2,0)</f>
        <v>리바이탈 샴푸</v>
      </c>
      <c r="J396">
        <v>201210</v>
      </c>
      <c r="L396" s="19">
        <f>VLOOKUP($P396,매칭테이블!$G:$J,2,0)*H396</f>
        <v>753200</v>
      </c>
      <c r="M396" s="19">
        <f>L396-L396*VLOOKUP($P396,매칭테이블!$G:$J,3,0)</f>
        <v>709137.8</v>
      </c>
      <c r="N396" s="19">
        <f>VLOOKUP($P396,매칭테이블!$G:$J,4,0)*H396</f>
        <v>84560</v>
      </c>
      <c r="O396" s="20">
        <f t="shared" si="70"/>
        <v>684727.27272727271</v>
      </c>
      <c r="P396" s="19" t="str">
        <f t="shared" si="67"/>
        <v>카페24샴푸HAIR RÉ:COVERY 15 Revital Shampoo [라베나 리커버리 15 리바이탈 샴푸]제품선택=헤어 리커버리 15 리바이탈 샴푸 - 500ml201210</v>
      </c>
    </row>
    <row r="397" spans="2:16" x14ac:dyDescent="0.3">
      <c r="B397" s="2">
        <v>44186</v>
      </c>
      <c r="C397" s="19" t="str">
        <f t="shared" si="69"/>
        <v>월</v>
      </c>
      <c r="E397" s="17" t="str">
        <f>INDEX(매칭테이블!C:C,MATCH(RD!G397,매칭테이블!D:D,0))</f>
        <v>샴푸</v>
      </c>
      <c r="F397" t="s">
        <v>91</v>
      </c>
      <c r="G397" t="s">
        <v>93</v>
      </c>
      <c r="H397">
        <v>10</v>
      </c>
      <c r="I397" s="17" t="str">
        <f>VLOOKUP(G397,매칭테이블!D:E,2,0)</f>
        <v>리바이탈 샴푸</v>
      </c>
      <c r="J397">
        <v>201210</v>
      </c>
      <c r="L397" s="19">
        <f>VLOOKUP($P397,매칭테이블!$G:$J,2,0)*H397</f>
        <v>511100</v>
      </c>
      <c r="M397" s="19">
        <f>L397-L397*VLOOKUP($P397,매칭테이블!$G:$J,3,0)</f>
        <v>481200.65</v>
      </c>
      <c r="N397" s="19">
        <f>VLOOKUP($P397,매칭테이블!$G:$J,4,0)*H397</f>
        <v>60400</v>
      </c>
      <c r="O397" s="20">
        <f t="shared" si="70"/>
        <v>464636.36363636359</v>
      </c>
      <c r="P397" s="19" t="str">
        <f t="shared" si="67"/>
        <v>카페24샴푸HAIR RÉ:COVERY 15 Revital Shampoo [라베나 리커버리 15 리바이탈 샴푸]제품선택=리바이탈 샴푸 2개 세트 5%추가할인201210</v>
      </c>
    </row>
    <row r="398" spans="2:16" x14ac:dyDescent="0.3">
      <c r="B398" s="2">
        <v>44186</v>
      </c>
      <c r="C398" s="19" t="str">
        <f t="shared" si="69"/>
        <v>월</v>
      </c>
      <c r="E398" s="17" t="str">
        <f>INDEX(매칭테이블!C:C,MATCH(RD!G398,매칭테이블!D:D,0))</f>
        <v>샴푸</v>
      </c>
      <c r="F398" t="s">
        <v>91</v>
      </c>
      <c r="G398" t="s">
        <v>94</v>
      </c>
      <c r="H398">
        <v>6</v>
      </c>
      <c r="I398" s="17" t="str">
        <f>VLOOKUP(G398,매칭테이블!D:E,2,0)</f>
        <v>리바이탈 샴푸 3set</v>
      </c>
      <c r="J398">
        <v>201210</v>
      </c>
      <c r="L398" s="19">
        <f>VLOOKUP($P398,매칭테이블!$G:$J,2,0)*H398</f>
        <v>435780</v>
      </c>
      <c r="M398" s="19">
        <f>L398-L398*VLOOKUP($P398,매칭테이블!$G:$J,3,0)</f>
        <v>410286.87</v>
      </c>
      <c r="N398" s="19">
        <f>VLOOKUP($P398,매칭테이블!$G:$J,4,0)*H398</f>
        <v>54360</v>
      </c>
      <c r="O398" s="20">
        <f t="shared" si="70"/>
        <v>396163.63636363635</v>
      </c>
      <c r="P398" s="19" t="str">
        <f t="shared" si="67"/>
        <v>카페24샴푸HAIR RÉ:COVERY 15 Revital Shampoo [라베나 리커버리 15 리바이탈 샴푸]제품선택=리바이탈 샴푸 3개 세트 10% 추가할인201210</v>
      </c>
    </row>
    <row r="399" spans="2:16" x14ac:dyDescent="0.3">
      <c r="B399" s="2">
        <v>44187</v>
      </c>
      <c r="C399" s="19" t="str">
        <f t="shared" ref="C399" si="71">TEXT(B399,"aaa")</f>
        <v>화</v>
      </c>
      <c r="E399" s="17" t="str">
        <f>INDEX(매칭테이블!C:C,MATCH(RD!G399,매칭테이블!D:D,0))</f>
        <v>트리트먼트</v>
      </c>
      <c r="F399" t="s">
        <v>91</v>
      </c>
      <c r="G399" t="s">
        <v>115</v>
      </c>
      <c r="H399">
        <v>12</v>
      </c>
      <c r="I399" s="17" t="str">
        <f>VLOOKUP(G399,매칭테이블!D:E,2,0)</f>
        <v>트리트먼트</v>
      </c>
      <c r="J399">
        <v>201210</v>
      </c>
      <c r="L399" s="19">
        <f>VLOOKUP($P399,매칭테이블!$G:$J,2,0)*H399</f>
        <v>312000</v>
      </c>
      <c r="M399" s="19">
        <f>L399-L399*VLOOKUP($P399,매칭테이블!$G:$J,3,0)</f>
        <v>293748</v>
      </c>
      <c r="N399" s="19">
        <f>VLOOKUP($P399,매칭테이블!$G:$J,4,0)*H399</f>
        <v>19164</v>
      </c>
      <c r="O399" s="20">
        <f t="shared" ref="O399:O409" si="72">L399/1.1</f>
        <v>283636.36363636359</v>
      </c>
      <c r="P399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400" spans="2:16" x14ac:dyDescent="0.3">
      <c r="B400" s="2">
        <v>44187</v>
      </c>
      <c r="C400" s="19" t="str">
        <f t="shared" ref="C400:C410" si="73">TEXT(B400,"aaa")</f>
        <v>화</v>
      </c>
      <c r="E400" s="17" t="str">
        <f>INDEX(매칭테이블!C:C,MATCH(RD!G400,매칭테이블!D:D,0))</f>
        <v>트리트먼트</v>
      </c>
      <c r="F400" t="s">
        <v>91</v>
      </c>
      <c r="G400" t="s">
        <v>116</v>
      </c>
      <c r="H400">
        <v>4</v>
      </c>
      <c r="I400" s="17" t="str">
        <f>VLOOKUP(G400,매칭테이블!D:E,2,0)</f>
        <v>트리트먼트 2set</v>
      </c>
      <c r="J400">
        <v>201210</v>
      </c>
      <c r="L400" s="19">
        <f>VLOOKUP($P400,매칭테이블!$G:$J,2,0)*H400</f>
        <v>197600</v>
      </c>
      <c r="M400" s="19">
        <f>L400-L400*VLOOKUP($P400,매칭테이블!$G:$J,3,0)</f>
        <v>186040.4</v>
      </c>
      <c r="N400" s="19">
        <f>VLOOKUP($P400,매칭테이블!$G:$J,4,0)*H400</f>
        <v>12776</v>
      </c>
      <c r="O400" s="20">
        <f t="shared" si="72"/>
        <v>179636.36363636362</v>
      </c>
      <c r="P400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401" spans="2:16" x14ac:dyDescent="0.3">
      <c r="B401" s="2">
        <v>44187</v>
      </c>
      <c r="C401" s="19" t="str">
        <f t="shared" si="73"/>
        <v>화</v>
      </c>
      <c r="E401" s="17" t="str">
        <f>INDEX(매칭테이블!C:C,MATCH(RD!G401,매칭테이블!D:D,0))</f>
        <v>트리트먼트</v>
      </c>
      <c r="F401" t="s">
        <v>91</v>
      </c>
      <c r="G401" t="s">
        <v>120</v>
      </c>
      <c r="H401">
        <v>2</v>
      </c>
      <c r="I401" s="17" t="str">
        <f>VLOOKUP(G401,매칭테이블!D:E,2,0)</f>
        <v>트리트먼트 3set</v>
      </c>
      <c r="J401">
        <v>201210</v>
      </c>
      <c r="L401" s="19">
        <f>VLOOKUP($P401,매칭테이블!$G:$J,2,0)*H401</f>
        <v>140400</v>
      </c>
      <c r="M401" s="19">
        <f>L401-L401*VLOOKUP($P401,매칭테이블!$G:$J,3,0)</f>
        <v>132186.6</v>
      </c>
      <c r="N401" s="19">
        <f>VLOOKUP($P401,매칭테이블!$G:$J,4,0)*H401</f>
        <v>9582</v>
      </c>
      <c r="O401" s="20">
        <f t="shared" si="72"/>
        <v>127636.36363636363</v>
      </c>
      <c r="P401" s="19" t="str">
        <f t="shared" si="67"/>
        <v>카페24트리트먼트HAIR RÉ:COVERY 15 Hairpack Treatment [라베나 리커버리 15 헤어팩 트리트먼트]제품선택=헤어팩 트리트먼트 3개 세트 10% 추가할인201210</v>
      </c>
    </row>
    <row r="402" spans="2:16" x14ac:dyDescent="0.3">
      <c r="B402" s="2">
        <v>44187</v>
      </c>
      <c r="C402" s="19" t="str">
        <f t="shared" si="73"/>
        <v>화</v>
      </c>
      <c r="E402" s="17" t="str">
        <f>INDEX(매칭테이블!C:C,MATCH(RD!G402,매칭테이블!D:D,0))</f>
        <v>트리트먼트</v>
      </c>
      <c r="F402" t="s">
        <v>91</v>
      </c>
      <c r="G402" t="s">
        <v>117</v>
      </c>
      <c r="H402">
        <v>4</v>
      </c>
      <c r="I402" s="17" t="str">
        <f>VLOOKUP(G402,매칭테이블!D:E,2,0)</f>
        <v>트리트먼트+뉴트리셔스밤</v>
      </c>
      <c r="J402">
        <v>201210</v>
      </c>
      <c r="L402" s="19">
        <f>VLOOKUP($P402,매칭테이블!$G:$J,2,0)*H402</f>
        <v>193420</v>
      </c>
      <c r="M402" s="19">
        <f>L402-L402*VLOOKUP($P402,매칭테이블!$G:$J,3,0)</f>
        <v>182104.93</v>
      </c>
      <c r="N402" s="19">
        <f>VLOOKUP($P402,매칭테이블!$G:$J,4,0)*H402</f>
        <v>12708</v>
      </c>
      <c r="O402" s="20">
        <f t="shared" si="72"/>
        <v>175836.36363636362</v>
      </c>
      <c r="P402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403" spans="2:16" x14ac:dyDescent="0.3">
      <c r="B403" s="2">
        <v>44187</v>
      </c>
      <c r="C403" s="19" t="str">
        <f t="shared" si="73"/>
        <v>화</v>
      </c>
      <c r="E403" s="17" t="str">
        <f>INDEX(매칭테이블!C:C,MATCH(RD!G403,매칭테이블!D:D,0))</f>
        <v>뉴트리셔스밤</v>
      </c>
      <c r="F403" t="s">
        <v>91</v>
      </c>
      <c r="G403" t="s">
        <v>118</v>
      </c>
      <c r="H403">
        <v>6</v>
      </c>
      <c r="I403" s="17" t="str">
        <f>VLOOKUP(G403,매칭테이블!D:E,2,0)</f>
        <v>뉴트리셔스밤</v>
      </c>
      <c r="J403">
        <v>201210</v>
      </c>
      <c r="L403" s="19">
        <f>VLOOKUP($P403,매칭테이블!$G:$J,2,0)*H403</f>
        <v>149400</v>
      </c>
      <c r="M403" s="19">
        <f>L403-L403*VLOOKUP($P403,매칭테이블!$G:$J,3,0)</f>
        <v>140660.1</v>
      </c>
      <c r="N403" s="19">
        <f>VLOOKUP($P403,매칭테이블!$G:$J,4,0)*H403</f>
        <v>9480</v>
      </c>
      <c r="O403" s="20">
        <f t="shared" si="72"/>
        <v>135818.18181818179</v>
      </c>
      <c r="P403" s="19" t="str">
        <f t="shared" si="67"/>
        <v>카페24뉴트리셔스밤HAIR RÉ:COVERY 15 Nutritious Balm [라베나 리커버리 15 뉴트리셔스 밤]제품선택=헤어 리커버리 15 뉴트리셔스 밤201210</v>
      </c>
    </row>
    <row r="404" spans="2:16" x14ac:dyDescent="0.3">
      <c r="B404" s="2">
        <v>44187</v>
      </c>
      <c r="C404" s="19" t="str">
        <f t="shared" si="73"/>
        <v>화</v>
      </c>
      <c r="E404" s="17" t="str">
        <f>INDEX(매칭테이블!C:C,MATCH(RD!G404,매칭테이블!D:D,0))</f>
        <v>뉴트리셔스밤</v>
      </c>
      <c r="F404" t="s">
        <v>91</v>
      </c>
      <c r="G404" t="s">
        <v>121</v>
      </c>
      <c r="H404">
        <v>2</v>
      </c>
      <c r="I404" s="17" t="str">
        <f>VLOOKUP(G404,매칭테이블!D:E,2,0)</f>
        <v>뉴트리셔스밤 2set</v>
      </c>
      <c r="J404">
        <v>201210</v>
      </c>
      <c r="L404" s="19">
        <f>VLOOKUP($P404,매칭테이블!$G:$J,2,0)*H404</f>
        <v>94620</v>
      </c>
      <c r="M404" s="19">
        <f>L404-L404*VLOOKUP($P404,매칭테이블!$G:$J,3,0)</f>
        <v>89084.73</v>
      </c>
      <c r="N404" s="19">
        <f>VLOOKUP($P404,매칭테이블!$G:$J,4,0)*H404</f>
        <v>6320</v>
      </c>
      <c r="O404" s="20">
        <f t="shared" si="72"/>
        <v>86018.181818181809</v>
      </c>
      <c r="P404" s="19" t="str">
        <f t="shared" si="67"/>
        <v>카페24뉴트리셔스밤HAIR RÉ:COVERY 15 Nutritious Balm [라베나 리커버리 15 뉴트리셔스 밤]제품선택=뉴트리셔스 밤 2개 세트 5% 추가할인201210</v>
      </c>
    </row>
    <row r="405" spans="2:16" x14ac:dyDescent="0.3">
      <c r="B405" s="2">
        <v>44187</v>
      </c>
      <c r="C405" s="19" t="str">
        <f t="shared" si="73"/>
        <v>화</v>
      </c>
      <c r="E405" s="17" t="str">
        <f>INDEX(매칭테이블!C:C,MATCH(RD!G405,매칭테이블!D:D,0))</f>
        <v>뉴트리셔스밤</v>
      </c>
      <c r="F405" t="s">
        <v>91</v>
      </c>
      <c r="G405" t="s">
        <v>119</v>
      </c>
      <c r="H405">
        <v>1</v>
      </c>
      <c r="I405" s="17" t="str">
        <f>VLOOKUP(G405,매칭테이블!D:E,2,0)</f>
        <v>뉴트리셔스밤 3set</v>
      </c>
      <c r="J405">
        <v>201210</v>
      </c>
      <c r="L405" s="19">
        <f>VLOOKUP($P405,매칭테이블!$G:$J,2,0)*H405</f>
        <v>67230</v>
      </c>
      <c r="M405" s="19">
        <f>L405-L405*VLOOKUP($P405,매칭테이블!$G:$J,3,0)</f>
        <v>63297.044999999998</v>
      </c>
      <c r="N405" s="19">
        <f>VLOOKUP($P405,매칭테이블!$G:$J,4,0)*H405</f>
        <v>4740</v>
      </c>
      <c r="O405" s="20">
        <f t="shared" si="72"/>
        <v>61118.181818181816</v>
      </c>
      <c r="P405" s="19" t="str">
        <f t="shared" si="67"/>
        <v>카페24뉴트리셔스밤HAIR RÉ:COVERY 15 Nutritious Balm [라베나 리커버리 15 뉴트리셔스 밤]제품선택=뉴트리셔스 밤 3개 세트 10% 추가할인201210</v>
      </c>
    </row>
    <row r="406" spans="2:16" x14ac:dyDescent="0.3">
      <c r="B406" s="2">
        <v>44187</v>
      </c>
      <c r="C406" s="19" t="str">
        <f t="shared" si="73"/>
        <v>화</v>
      </c>
      <c r="E406" s="17" t="str">
        <f>INDEX(매칭테이블!C:C,MATCH(RD!G406,매칭테이블!D:D,0))</f>
        <v>뉴트리셔스밤</v>
      </c>
      <c r="F406" t="s">
        <v>91</v>
      </c>
      <c r="G406" t="s">
        <v>122</v>
      </c>
      <c r="H406">
        <v>5</v>
      </c>
      <c r="I406" s="17" t="str">
        <f>VLOOKUP(G406,매칭테이블!D:E,2,0)</f>
        <v>트리트먼트+뉴트리셔스밤</v>
      </c>
      <c r="J406">
        <v>201210</v>
      </c>
      <c r="L406" s="19">
        <f>VLOOKUP($P406,매칭테이블!$G:$J,2,0)*H406</f>
        <v>241775</v>
      </c>
      <c r="M406" s="19">
        <f>L406-L406*VLOOKUP($P406,매칭테이블!$G:$J,3,0)</f>
        <v>227631.16250000001</v>
      </c>
      <c r="N406" s="19">
        <f>VLOOKUP($P406,매칭테이블!$G:$J,4,0)*H406</f>
        <v>15885</v>
      </c>
      <c r="O406" s="20">
        <f t="shared" si="72"/>
        <v>219795.45454545453</v>
      </c>
      <c r="P406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407" spans="2:16" x14ac:dyDescent="0.3">
      <c r="B407" s="2">
        <v>44187</v>
      </c>
      <c r="C407" s="19" t="str">
        <f t="shared" si="73"/>
        <v>화</v>
      </c>
      <c r="E407" s="17" t="str">
        <f>INDEX(매칭테이블!C:C,MATCH(RD!G407,매칭테이블!D:D,0))</f>
        <v>샴푸</v>
      </c>
      <c r="F407" t="s">
        <v>91</v>
      </c>
      <c r="G407" t="s">
        <v>92</v>
      </c>
      <c r="H407">
        <v>9</v>
      </c>
      <c r="I407" s="17" t="str">
        <f>VLOOKUP(G407,매칭테이블!D:E,2,0)</f>
        <v>리바이탈 샴푸</v>
      </c>
      <c r="J407">
        <v>201210</v>
      </c>
      <c r="L407" s="19">
        <f>VLOOKUP($P407,매칭테이블!$G:$J,2,0)*H407</f>
        <v>242100</v>
      </c>
      <c r="M407" s="19">
        <f>L407-L407*VLOOKUP($P407,매칭테이블!$G:$J,3,0)</f>
        <v>227937.15</v>
      </c>
      <c r="N407" s="19">
        <f>VLOOKUP($P407,매칭테이블!$G:$J,4,0)*H407</f>
        <v>27180</v>
      </c>
      <c r="O407" s="20">
        <f t="shared" si="72"/>
        <v>220090.90909090906</v>
      </c>
      <c r="P407" s="19" t="str">
        <f t="shared" si="67"/>
        <v>카페24샴푸HAIR RÉ:COVERY 15 Revital Shampoo [라베나 리커버리 15 리바이탈 샴푸]제품선택=헤어 리커버리 15 리바이탈 샴푸 - 500ml201210</v>
      </c>
    </row>
    <row r="408" spans="2:16" x14ac:dyDescent="0.3">
      <c r="B408" s="2">
        <v>44187</v>
      </c>
      <c r="C408" s="19" t="str">
        <f t="shared" si="73"/>
        <v>화</v>
      </c>
      <c r="E408" s="17" t="str">
        <f>INDEX(매칭테이블!C:C,MATCH(RD!G408,매칭테이블!D:D,0))</f>
        <v>샴푸</v>
      </c>
      <c r="F408" t="s">
        <v>91</v>
      </c>
      <c r="G408" t="s">
        <v>93</v>
      </c>
      <c r="H408">
        <v>7</v>
      </c>
      <c r="I408" s="17" t="str">
        <f>VLOOKUP(G408,매칭테이블!D:E,2,0)</f>
        <v>리바이탈 샴푸</v>
      </c>
      <c r="J408">
        <v>201210</v>
      </c>
      <c r="L408" s="19">
        <f>VLOOKUP($P408,매칭테이블!$G:$J,2,0)*H408</f>
        <v>357770</v>
      </c>
      <c r="M408" s="19">
        <f>L408-L408*VLOOKUP($P408,매칭테이블!$G:$J,3,0)</f>
        <v>336840.45500000002</v>
      </c>
      <c r="N408" s="19">
        <f>VLOOKUP($P408,매칭테이블!$G:$J,4,0)*H408</f>
        <v>42280</v>
      </c>
      <c r="O408" s="20">
        <f t="shared" si="72"/>
        <v>325245.45454545453</v>
      </c>
      <c r="P408" s="19" t="str">
        <f t="shared" si="67"/>
        <v>카페24샴푸HAIR RÉ:COVERY 15 Revital Shampoo [라베나 리커버리 15 리바이탈 샴푸]제품선택=리바이탈 샴푸 2개 세트 5%추가할인201210</v>
      </c>
    </row>
    <row r="409" spans="2:16" x14ac:dyDescent="0.3">
      <c r="B409" s="2">
        <v>44187</v>
      </c>
      <c r="C409" s="19" t="str">
        <f t="shared" si="73"/>
        <v>화</v>
      </c>
      <c r="E409" s="17" t="str">
        <f>INDEX(매칭테이블!C:C,MATCH(RD!G409,매칭테이블!D:D,0))</f>
        <v>샴푸</v>
      </c>
      <c r="F409" t="s">
        <v>91</v>
      </c>
      <c r="G409" t="s">
        <v>94</v>
      </c>
      <c r="H409">
        <v>10</v>
      </c>
      <c r="I409" s="17" t="str">
        <f>VLOOKUP(G409,매칭테이블!D:E,2,0)</f>
        <v>리바이탈 샴푸 3set</v>
      </c>
      <c r="J409">
        <v>201210</v>
      </c>
      <c r="L409" s="19">
        <f>VLOOKUP($P409,매칭테이블!$G:$J,2,0)*H409</f>
        <v>726300</v>
      </c>
      <c r="M409" s="19">
        <f>L409-L409*VLOOKUP($P409,매칭테이블!$G:$J,3,0)</f>
        <v>683811.45</v>
      </c>
      <c r="N409" s="19">
        <f>VLOOKUP($P409,매칭테이블!$G:$J,4,0)*H409</f>
        <v>90600</v>
      </c>
      <c r="O409" s="20">
        <f t="shared" si="72"/>
        <v>660272.72727272718</v>
      </c>
      <c r="P409" s="19" t="str">
        <f t="shared" si="67"/>
        <v>카페24샴푸HAIR RÉ:COVERY 15 Revital Shampoo [라베나 리커버리 15 리바이탈 샴푸]제품선택=리바이탈 샴푸 3개 세트 10% 추가할인201210</v>
      </c>
    </row>
    <row r="410" spans="2:16" x14ac:dyDescent="0.3">
      <c r="B410" s="2">
        <v>44188</v>
      </c>
      <c r="C410" s="19" t="str">
        <f t="shared" si="73"/>
        <v>수</v>
      </c>
      <c r="E410" s="17" t="str">
        <f>INDEX(매칭테이블!C:C,MATCH(RD!G410,매칭테이블!D:D,0))</f>
        <v>트리트먼트</v>
      </c>
      <c r="F410" t="s">
        <v>91</v>
      </c>
      <c r="G410" t="s">
        <v>115</v>
      </c>
      <c r="H410">
        <v>26</v>
      </c>
      <c r="I410" s="17" t="str">
        <f>VLOOKUP(G410,매칭테이블!D:E,2,0)</f>
        <v>트리트먼트</v>
      </c>
      <c r="J410">
        <v>201210</v>
      </c>
      <c r="L410" s="19">
        <f>VLOOKUP($P410,매칭테이블!$G:$J,2,0)*H410</f>
        <v>676000</v>
      </c>
      <c r="M410" s="19">
        <f>L410-L410*VLOOKUP($P410,매칭테이블!$G:$J,3,0)</f>
        <v>636454</v>
      </c>
      <c r="N410" s="19">
        <f>VLOOKUP($P410,매칭테이블!$G:$J,4,0)*H410</f>
        <v>41522</v>
      </c>
      <c r="O410" s="20">
        <f t="shared" ref="O410:O419" si="74">L410/1.1</f>
        <v>614545.45454545447</v>
      </c>
      <c r="P410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411" spans="2:16" x14ac:dyDescent="0.3">
      <c r="B411" s="2">
        <v>44188</v>
      </c>
      <c r="C411" s="19" t="str">
        <f t="shared" ref="C411:C420" si="75">TEXT(B411,"aaa")</f>
        <v>수</v>
      </c>
      <c r="E411" s="17" t="str">
        <f>INDEX(매칭테이블!C:C,MATCH(RD!G411,매칭테이블!D:D,0))</f>
        <v>트리트먼트</v>
      </c>
      <c r="F411" t="s">
        <v>91</v>
      </c>
      <c r="G411" t="s">
        <v>116</v>
      </c>
      <c r="H411">
        <v>4</v>
      </c>
      <c r="I411" s="17" t="str">
        <f>VLOOKUP(G411,매칭테이블!D:E,2,0)</f>
        <v>트리트먼트 2set</v>
      </c>
      <c r="J411">
        <v>201210</v>
      </c>
      <c r="L411" s="19">
        <f>VLOOKUP($P411,매칭테이블!$G:$J,2,0)*H411</f>
        <v>197600</v>
      </c>
      <c r="M411" s="19">
        <f>L411-L411*VLOOKUP($P411,매칭테이블!$G:$J,3,0)</f>
        <v>186040.4</v>
      </c>
      <c r="N411" s="19">
        <f>VLOOKUP($P411,매칭테이블!$G:$J,4,0)*H411</f>
        <v>12776</v>
      </c>
      <c r="O411" s="20">
        <f t="shared" si="74"/>
        <v>179636.36363636362</v>
      </c>
      <c r="P411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412" spans="2:16" x14ac:dyDescent="0.3">
      <c r="B412" s="2">
        <v>44188</v>
      </c>
      <c r="C412" s="19" t="str">
        <f t="shared" si="75"/>
        <v>수</v>
      </c>
      <c r="E412" s="17" t="str">
        <f>INDEX(매칭테이블!C:C,MATCH(RD!G412,매칭테이블!D:D,0))</f>
        <v>트리트먼트</v>
      </c>
      <c r="F412" t="s">
        <v>91</v>
      </c>
      <c r="G412" t="s">
        <v>117</v>
      </c>
      <c r="H412">
        <v>5</v>
      </c>
      <c r="I412" s="17" t="str">
        <f>VLOOKUP(G412,매칭테이블!D:E,2,0)</f>
        <v>트리트먼트+뉴트리셔스밤</v>
      </c>
      <c r="J412">
        <v>201210</v>
      </c>
      <c r="L412" s="19">
        <f>VLOOKUP($P412,매칭테이블!$G:$J,2,0)*H412</f>
        <v>241775</v>
      </c>
      <c r="M412" s="19">
        <f>L412-L412*VLOOKUP($P412,매칭테이블!$G:$J,3,0)</f>
        <v>227631.16250000001</v>
      </c>
      <c r="N412" s="19">
        <f>VLOOKUP($P412,매칭테이블!$G:$J,4,0)*H412</f>
        <v>15885</v>
      </c>
      <c r="O412" s="20">
        <f t="shared" si="74"/>
        <v>219795.45454545453</v>
      </c>
      <c r="P412" s="19" t="str">
        <f t="shared" si="67"/>
        <v>카페24트리트먼트HAIR RÉ:COVERY 15 Hairpack Treatment [라베나 리커버리 15 헤어팩 트리트먼트]제품선택=헤어팩 트리트먼트 1개 + 뉴트리셔스밤 1개 세트 5% 추가할인201210</v>
      </c>
    </row>
    <row r="413" spans="2:16" x14ac:dyDescent="0.3">
      <c r="B413" s="2">
        <v>44188</v>
      </c>
      <c r="C413" s="19" t="str">
        <f t="shared" si="75"/>
        <v>수</v>
      </c>
      <c r="E413" s="17" t="str">
        <f>INDEX(매칭테이블!C:C,MATCH(RD!G413,매칭테이블!D:D,0))</f>
        <v>뉴트리셔스밤</v>
      </c>
      <c r="F413" t="s">
        <v>91</v>
      </c>
      <c r="G413" t="s">
        <v>118</v>
      </c>
      <c r="H413">
        <v>29</v>
      </c>
      <c r="I413" s="17" t="str">
        <f>VLOOKUP(G413,매칭테이블!D:E,2,0)</f>
        <v>뉴트리셔스밤</v>
      </c>
      <c r="J413">
        <v>201210</v>
      </c>
      <c r="L413" s="19">
        <f>VLOOKUP($P413,매칭테이블!$G:$J,2,0)*H413</f>
        <v>722100</v>
      </c>
      <c r="M413" s="19">
        <f>L413-L413*VLOOKUP($P413,매칭테이블!$G:$J,3,0)</f>
        <v>679857.15</v>
      </c>
      <c r="N413" s="19">
        <f>VLOOKUP($P413,매칭테이블!$G:$J,4,0)*H413</f>
        <v>45820</v>
      </c>
      <c r="O413" s="20">
        <f t="shared" si="74"/>
        <v>656454.54545454541</v>
      </c>
      <c r="P413" s="19" t="str">
        <f t="shared" si="67"/>
        <v>카페24뉴트리셔스밤HAIR RÉ:COVERY 15 Nutritious Balm [라베나 리커버리 15 뉴트리셔스 밤]제품선택=헤어 리커버리 15 뉴트리셔스 밤201210</v>
      </c>
    </row>
    <row r="414" spans="2:16" x14ac:dyDescent="0.3">
      <c r="B414" s="2">
        <v>44188</v>
      </c>
      <c r="C414" s="19" t="str">
        <f t="shared" si="75"/>
        <v>수</v>
      </c>
      <c r="E414" s="17" t="str">
        <f>INDEX(매칭테이블!C:C,MATCH(RD!G414,매칭테이블!D:D,0))</f>
        <v>뉴트리셔스밤</v>
      </c>
      <c r="F414" t="s">
        <v>91</v>
      </c>
      <c r="G414" t="s">
        <v>121</v>
      </c>
      <c r="H414">
        <v>9</v>
      </c>
      <c r="I414" s="17" t="str">
        <f>VLOOKUP(G414,매칭테이블!D:E,2,0)</f>
        <v>뉴트리셔스밤 2set</v>
      </c>
      <c r="J414">
        <v>201210</v>
      </c>
      <c r="L414" s="19">
        <f>VLOOKUP($P414,매칭테이블!$G:$J,2,0)*H414</f>
        <v>425790</v>
      </c>
      <c r="M414" s="19">
        <f>L414-L414*VLOOKUP($P414,매칭테이블!$G:$J,3,0)</f>
        <v>400881.28499999997</v>
      </c>
      <c r="N414" s="19">
        <f>VLOOKUP($P414,매칭테이블!$G:$J,4,0)*H414</f>
        <v>28440</v>
      </c>
      <c r="O414" s="20">
        <f t="shared" si="74"/>
        <v>387081.81818181818</v>
      </c>
      <c r="P414" s="19" t="str">
        <f t="shared" si="67"/>
        <v>카페24뉴트리셔스밤HAIR RÉ:COVERY 15 Nutritious Balm [라베나 리커버리 15 뉴트리셔스 밤]제품선택=뉴트리셔스 밤 2개 세트 5% 추가할인201210</v>
      </c>
    </row>
    <row r="415" spans="2:16" x14ac:dyDescent="0.3">
      <c r="B415" s="2">
        <v>44188</v>
      </c>
      <c r="C415" s="19" t="str">
        <f t="shared" si="75"/>
        <v>수</v>
      </c>
      <c r="E415" s="17" t="str">
        <f>INDEX(매칭테이블!C:C,MATCH(RD!G415,매칭테이블!D:D,0))</f>
        <v>뉴트리셔스밤</v>
      </c>
      <c r="F415" t="s">
        <v>91</v>
      </c>
      <c r="G415" t="s">
        <v>119</v>
      </c>
      <c r="H415">
        <v>1</v>
      </c>
      <c r="I415" s="17" t="str">
        <f>VLOOKUP(G415,매칭테이블!D:E,2,0)</f>
        <v>뉴트리셔스밤 3set</v>
      </c>
      <c r="J415">
        <v>201210</v>
      </c>
      <c r="L415" s="19">
        <f>VLOOKUP($P415,매칭테이블!$G:$J,2,0)*H415</f>
        <v>67230</v>
      </c>
      <c r="M415" s="19">
        <f>L415-L415*VLOOKUP($P415,매칭테이블!$G:$J,3,0)</f>
        <v>63297.044999999998</v>
      </c>
      <c r="N415" s="19">
        <f>VLOOKUP($P415,매칭테이블!$G:$J,4,0)*H415</f>
        <v>4740</v>
      </c>
      <c r="O415" s="20">
        <f t="shared" si="74"/>
        <v>61118.181818181816</v>
      </c>
      <c r="P415" s="19" t="str">
        <f t="shared" si="67"/>
        <v>카페24뉴트리셔스밤HAIR RÉ:COVERY 15 Nutritious Balm [라베나 리커버리 15 뉴트리셔스 밤]제품선택=뉴트리셔스 밤 3개 세트 10% 추가할인201210</v>
      </c>
    </row>
    <row r="416" spans="2:16" x14ac:dyDescent="0.3">
      <c r="B416" s="2">
        <v>44188</v>
      </c>
      <c r="C416" s="19" t="str">
        <f t="shared" si="75"/>
        <v>수</v>
      </c>
      <c r="E416" s="17" t="str">
        <f>INDEX(매칭테이블!C:C,MATCH(RD!G416,매칭테이블!D:D,0))</f>
        <v>뉴트리셔스밤</v>
      </c>
      <c r="F416" t="s">
        <v>91</v>
      </c>
      <c r="G416" t="s">
        <v>122</v>
      </c>
      <c r="H416">
        <v>6</v>
      </c>
      <c r="I416" s="17" t="str">
        <f>VLOOKUP(G416,매칭테이블!D:E,2,0)</f>
        <v>트리트먼트+뉴트리셔스밤</v>
      </c>
      <c r="J416">
        <v>201210</v>
      </c>
      <c r="L416" s="19">
        <f>VLOOKUP($P416,매칭테이블!$G:$J,2,0)*H416</f>
        <v>290130</v>
      </c>
      <c r="M416" s="19">
        <f>L416-L416*VLOOKUP($P416,매칭테이블!$G:$J,3,0)</f>
        <v>273157.39500000002</v>
      </c>
      <c r="N416" s="19">
        <f>VLOOKUP($P416,매칭테이블!$G:$J,4,0)*H416</f>
        <v>19062</v>
      </c>
      <c r="O416" s="20">
        <f t="shared" si="74"/>
        <v>263754.54545454541</v>
      </c>
      <c r="P416" s="19" t="str">
        <f t="shared" si="67"/>
        <v>카페24뉴트리셔스밤HAIR RÉ:COVERY 15 Nutritious Balm [라베나 리커버리 15 뉴트리셔스 밤]제품선택=뉴트리셔스밤 1개 + 헤어팩 트리트먼트 1개 세트 5%추가할인201210</v>
      </c>
    </row>
    <row r="417" spans="2:16" x14ac:dyDescent="0.3">
      <c r="B417" s="2">
        <v>44188</v>
      </c>
      <c r="C417" s="19" t="str">
        <f t="shared" si="75"/>
        <v>수</v>
      </c>
      <c r="E417" s="17" t="str">
        <f>INDEX(매칭테이블!C:C,MATCH(RD!G417,매칭테이블!D:D,0))</f>
        <v>샴푸</v>
      </c>
      <c r="F417" t="s">
        <v>91</v>
      </c>
      <c r="G417" t="s">
        <v>92</v>
      </c>
      <c r="H417">
        <v>20</v>
      </c>
      <c r="I417" s="17" t="str">
        <f>VLOOKUP(G417,매칭테이블!D:E,2,0)</f>
        <v>리바이탈 샴푸</v>
      </c>
      <c r="J417">
        <v>201210</v>
      </c>
      <c r="L417" s="19">
        <f>VLOOKUP($P417,매칭테이블!$G:$J,2,0)*H417</f>
        <v>538000</v>
      </c>
      <c r="M417" s="19">
        <f>L417-L417*VLOOKUP($P417,매칭테이블!$G:$J,3,0)</f>
        <v>506527</v>
      </c>
      <c r="N417" s="19">
        <f>VLOOKUP($P417,매칭테이블!$G:$J,4,0)*H417</f>
        <v>60400</v>
      </c>
      <c r="O417" s="20">
        <f t="shared" si="74"/>
        <v>489090.90909090906</v>
      </c>
      <c r="P417" s="19" t="str">
        <f t="shared" si="67"/>
        <v>카페24샴푸HAIR RÉ:COVERY 15 Revital Shampoo [라베나 리커버리 15 리바이탈 샴푸]제품선택=헤어 리커버리 15 리바이탈 샴푸 - 500ml201210</v>
      </c>
    </row>
    <row r="418" spans="2:16" x14ac:dyDescent="0.3">
      <c r="B418" s="2">
        <v>44188</v>
      </c>
      <c r="C418" s="19" t="str">
        <f t="shared" si="75"/>
        <v>수</v>
      </c>
      <c r="E418" s="17" t="str">
        <f>INDEX(매칭테이블!C:C,MATCH(RD!G418,매칭테이블!D:D,0))</f>
        <v>샴푸</v>
      </c>
      <c r="F418" t="s">
        <v>91</v>
      </c>
      <c r="G418" t="s">
        <v>93</v>
      </c>
      <c r="H418">
        <v>1</v>
      </c>
      <c r="I418" s="17" t="str">
        <f>VLOOKUP(G418,매칭테이블!D:E,2,0)</f>
        <v>리바이탈 샴푸</v>
      </c>
      <c r="J418">
        <v>201210</v>
      </c>
      <c r="L418" s="19">
        <f>VLOOKUP($P418,매칭테이블!$G:$J,2,0)*H418</f>
        <v>51110</v>
      </c>
      <c r="M418" s="19">
        <f>L418-L418*VLOOKUP($P418,매칭테이블!$G:$J,3,0)</f>
        <v>48120.065000000002</v>
      </c>
      <c r="N418" s="19">
        <f>VLOOKUP($P418,매칭테이블!$G:$J,4,0)*H418</f>
        <v>6040</v>
      </c>
      <c r="O418" s="20">
        <f t="shared" si="74"/>
        <v>46463.63636363636</v>
      </c>
      <c r="P418" s="19" t="str">
        <f t="shared" si="67"/>
        <v>카페24샴푸HAIR RÉ:COVERY 15 Revital Shampoo [라베나 리커버리 15 리바이탈 샴푸]제품선택=리바이탈 샴푸 2개 세트 5%추가할인201210</v>
      </c>
    </row>
    <row r="419" spans="2:16" x14ac:dyDescent="0.3">
      <c r="B419" s="2">
        <v>44188</v>
      </c>
      <c r="C419" s="19" t="str">
        <f t="shared" si="75"/>
        <v>수</v>
      </c>
      <c r="E419" s="17" t="str">
        <f>INDEX(매칭테이블!C:C,MATCH(RD!G419,매칭테이블!D:D,0))</f>
        <v>샴푸</v>
      </c>
      <c r="F419" t="s">
        <v>91</v>
      </c>
      <c r="G419" t="s">
        <v>94</v>
      </c>
      <c r="H419">
        <v>3</v>
      </c>
      <c r="I419" s="17" t="str">
        <f>VLOOKUP(G419,매칭테이블!D:E,2,0)</f>
        <v>리바이탈 샴푸 3set</v>
      </c>
      <c r="J419">
        <v>201210</v>
      </c>
      <c r="L419" s="19">
        <f>VLOOKUP($P419,매칭테이블!$G:$J,2,0)*H419</f>
        <v>217890</v>
      </c>
      <c r="M419" s="19">
        <f>L419-L419*VLOOKUP($P419,매칭테이블!$G:$J,3,0)</f>
        <v>205143.435</v>
      </c>
      <c r="N419" s="19">
        <f>VLOOKUP($P419,매칭테이블!$G:$J,4,0)*H419</f>
        <v>27180</v>
      </c>
      <c r="O419" s="20">
        <f t="shared" si="74"/>
        <v>198081.81818181818</v>
      </c>
      <c r="P419" s="19" t="str">
        <f t="shared" si="67"/>
        <v>카페24샴푸HAIR RÉ:COVERY 15 Revital Shampoo [라베나 리커버리 15 리바이탈 샴푸]제품선택=리바이탈 샴푸 3개 세트 10% 추가할인201210</v>
      </c>
    </row>
    <row r="420" spans="2:16" x14ac:dyDescent="0.3">
      <c r="B420" s="2">
        <v>44189</v>
      </c>
      <c r="C420" s="19" t="str">
        <f t="shared" si="75"/>
        <v>목</v>
      </c>
      <c r="E420" s="17" t="str">
        <f>INDEX(매칭테이블!C:C,MATCH(RD!G420,매칭테이블!D:D,0))</f>
        <v>샴푸</v>
      </c>
      <c r="F420" t="s">
        <v>95</v>
      </c>
      <c r="G420" t="s">
        <v>123</v>
      </c>
      <c r="H420">
        <v>30</v>
      </c>
      <c r="I420" s="17" t="str">
        <f>VLOOKUP(G420,매칭테이블!D:E,2,0)</f>
        <v>리바이탈 샴푸</v>
      </c>
      <c r="J420">
        <v>201210</v>
      </c>
      <c r="L420" s="19">
        <f>VLOOKUP($P420,매칭테이블!$G:$J,2,0)*H420</f>
        <v>0</v>
      </c>
      <c r="M420" s="19">
        <f>L420-L420*VLOOKUP($P420,매칭테이블!$G:$J,3,0)</f>
        <v>0</v>
      </c>
      <c r="N420" s="19">
        <f>VLOOKUP($P420,매칭테이블!$G:$J,4,0)*H420</f>
        <v>90600</v>
      </c>
      <c r="O420" s="20">
        <f t="shared" ref="O420:O431" si="76">L420/1.1</f>
        <v>0</v>
      </c>
      <c r="P420" s="19" t="str">
        <f t="shared" si="67"/>
        <v>라베나 CS샴푸헤어 리커버리 15 리바이탈 샴푸201210</v>
      </c>
    </row>
    <row r="421" spans="2:16" x14ac:dyDescent="0.3">
      <c r="B421" s="2">
        <v>44189</v>
      </c>
      <c r="C421" s="19" t="str">
        <f t="shared" ref="C421:C432" si="77">TEXT(B421,"aaa")</f>
        <v>목</v>
      </c>
      <c r="E421" s="17" t="str">
        <f>INDEX(매칭테이블!C:C,MATCH(RD!G421,매칭테이블!D:D,0))</f>
        <v>트리트먼트</v>
      </c>
      <c r="F421" t="s">
        <v>91</v>
      </c>
      <c r="G421" t="s">
        <v>115</v>
      </c>
      <c r="H421">
        <v>18</v>
      </c>
      <c r="I421" s="17" t="str">
        <f>VLOOKUP(G421,매칭테이블!D:E,2,0)</f>
        <v>트리트먼트</v>
      </c>
      <c r="J421">
        <v>201210</v>
      </c>
      <c r="L421" s="19">
        <f>VLOOKUP($P421,매칭테이블!$G:$J,2,0)*H421</f>
        <v>468000</v>
      </c>
      <c r="M421" s="19">
        <f>L421-L421*VLOOKUP($P421,매칭테이블!$G:$J,3,0)</f>
        <v>440622</v>
      </c>
      <c r="N421" s="19">
        <f>VLOOKUP($P421,매칭테이블!$G:$J,4,0)*H421</f>
        <v>28746</v>
      </c>
      <c r="O421" s="20">
        <f t="shared" si="76"/>
        <v>425454.54545454541</v>
      </c>
      <c r="P421" s="19" t="str">
        <f t="shared" si="67"/>
        <v>카페24트리트먼트HAIR RÉ:COVERY 15 Hairpack Treatment [라베나 리커버리 15 헤어팩 트리트먼트]제품선택=헤어 리커버리 15 헤어팩 트리트먼트201210</v>
      </c>
    </row>
    <row r="422" spans="2:16" x14ac:dyDescent="0.3">
      <c r="B422" s="2">
        <v>44189</v>
      </c>
      <c r="C422" s="19" t="str">
        <f t="shared" si="77"/>
        <v>목</v>
      </c>
      <c r="E422" s="17" t="str">
        <f>INDEX(매칭테이블!C:C,MATCH(RD!G422,매칭테이블!D:D,0))</f>
        <v>트리트먼트</v>
      </c>
      <c r="F422" t="s">
        <v>91</v>
      </c>
      <c r="G422" t="s">
        <v>116</v>
      </c>
      <c r="H422">
        <v>4</v>
      </c>
      <c r="I422" s="17" t="str">
        <f>VLOOKUP(G422,매칭테이블!D:E,2,0)</f>
        <v>트리트먼트 2set</v>
      </c>
      <c r="J422">
        <v>201210</v>
      </c>
      <c r="L422" s="19">
        <f>VLOOKUP($P422,매칭테이블!$G:$J,2,0)*H422</f>
        <v>197600</v>
      </c>
      <c r="M422" s="19">
        <f>L422-L422*VLOOKUP($P422,매칭테이블!$G:$J,3,0)</f>
        <v>186040.4</v>
      </c>
      <c r="N422" s="19">
        <f>VLOOKUP($P422,매칭테이블!$G:$J,4,0)*H422</f>
        <v>12776</v>
      </c>
      <c r="O422" s="20">
        <f t="shared" si="76"/>
        <v>179636.36363636362</v>
      </c>
      <c r="P422" s="19" t="str">
        <f t="shared" si="67"/>
        <v>카페24트리트먼트HAIR RÉ:COVERY 15 Hairpack Treatment [라베나 리커버리 15 헤어팩 트리트먼트]제품선택=헤어팩 트리트먼트 2개 세트 5% 추가할인201210</v>
      </c>
    </row>
    <row r="423" spans="2:16" x14ac:dyDescent="0.3">
      <c r="B423" s="2">
        <v>44189</v>
      </c>
      <c r="C423" s="19" t="str">
        <f t="shared" si="77"/>
        <v>목</v>
      </c>
      <c r="E423" s="17" t="str">
        <f>INDEX(매칭테이블!C:C,MATCH(RD!G423,매칭테이블!D:D,0))</f>
        <v>트리트먼트</v>
      </c>
      <c r="F423" t="s">
        <v>91</v>
      </c>
      <c r="G423" t="s">
        <v>120</v>
      </c>
      <c r="H423">
        <v>2</v>
      </c>
      <c r="I423" s="17" t="str">
        <f>VLOOKUP(G423,매칭테이블!D:E,2,0)</f>
        <v>트리트먼트 3set</v>
      </c>
      <c r="J423">
        <v>201210</v>
      </c>
      <c r="L423" s="19">
        <f>VLOOKUP($P423,매칭테이블!$G:$J,2,0)*H423</f>
        <v>140400</v>
      </c>
      <c r="M423" s="19">
        <f>L423-L423*VLOOKUP($P423,매칭테이블!$G:$J,3,0)</f>
        <v>132186.6</v>
      </c>
      <c r="N423" s="19">
        <f>VLOOKUP($P423,매칭테이블!$G:$J,4,0)*H423</f>
        <v>9582</v>
      </c>
      <c r="O423" s="20">
        <f t="shared" si="76"/>
        <v>127636.36363636363</v>
      </c>
      <c r="P423" s="19" t="str">
        <f t="shared" si="67"/>
        <v>카페24트리트먼트HAIR RÉ:COVERY 15 Hairpack Treatment [라베나 리커버리 15 헤어팩 트리트먼트]제품선택=헤어팩 트리트먼트 3개 세트 10% 추가할인201210</v>
      </c>
    </row>
    <row r="424" spans="2:16" x14ac:dyDescent="0.3">
      <c r="B424" s="2">
        <v>44189</v>
      </c>
      <c r="C424" s="19" t="str">
        <f t="shared" si="77"/>
        <v>목</v>
      </c>
      <c r="E424" s="17" t="str">
        <f>INDEX(매칭테이블!C:C,MATCH(RD!G424,매칭테이블!D:D,0))</f>
        <v>트리트먼트</v>
      </c>
      <c r="F424" t="s">
        <v>91</v>
      </c>
      <c r="G424" t="s">
        <v>117</v>
      </c>
      <c r="H424">
        <v>5</v>
      </c>
      <c r="I424" s="17" t="str">
        <f>VLOOKUP(G424,매칭테이블!D:E,2,0)</f>
        <v>트리트먼트+뉴트리셔스밤</v>
      </c>
      <c r="J424">
        <v>201210</v>
      </c>
      <c r="L424" s="19">
        <f>VLOOKUP($P424,매칭테이블!$G:$J,2,0)*H424</f>
        <v>241775</v>
      </c>
      <c r="M424" s="19">
        <f>L424-L424*VLOOKUP($P424,매칭테이블!$G:$J,3,0)</f>
        <v>227631.16250000001</v>
      </c>
      <c r="N424" s="19">
        <f>VLOOKUP($P424,매칭테이블!$G:$J,4,0)*H424</f>
        <v>15885</v>
      </c>
      <c r="O424" s="20">
        <f t="shared" si="76"/>
        <v>219795.45454545453</v>
      </c>
      <c r="P424" s="19" t="str">
        <f t="shared" ref="P424:P487" si="78">F424&amp;E424&amp;G424&amp;J424</f>
        <v>카페24트리트먼트HAIR RÉ:COVERY 15 Hairpack Treatment [라베나 리커버리 15 헤어팩 트리트먼트]제품선택=헤어팩 트리트먼트 1개 + 뉴트리셔스밤 1개 세트 5% 추가할인201210</v>
      </c>
    </row>
    <row r="425" spans="2:16" x14ac:dyDescent="0.3">
      <c r="B425" s="2">
        <v>44189</v>
      </c>
      <c r="C425" s="19" t="str">
        <f t="shared" si="77"/>
        <v>목</v>
      </c>
      <c r="E425" s="17" t="str">
        <f>INDEX(매칭테이블!C:C,MATCH(RD!G425,매칭테이블!D:D,0))</f>
        <v>뉴트리셔스밤</v>
      </c>
      <c r="F425" t="s">
        <v>91</v>
      </c>
      <c r="G425" t="s">
        <v>118</v>
      </c>
      <c r="H425">
        <v>5</v>
      </c>
      <c r="I425" s="17" t="str">
        <f>VLOOKUP(G425,매칭테이블!D:E,2,0)</f>
        <v>뉴트리셔스밤</v>
      </c>
      <c r="J425">
        <v>201210</v>
      </c>
      <c r="L425" s="19">
        <f>VLOOKUP($P425,매칭테이블!$G:$J,2,0)*H425</f>
        <v>124500</v>
      </c>
      <c r="M425" s="19">
        <f>L425-L425*VLOOKUP($P425,매칭테이블!$G:$J,3,0)</f>
        <v>117216.75</v>
      </c>
      <c r="N425" s="19">
        <f>VLOOKUP($P425,매칭테이블!$G:$J,4,0)*H425</f>
        <v>7900</v>
      </c>
      <c r="O425" s="20">
        <f t="shared" si="76"/>
        <v>113181.81818181818</v>
      </c>
      <c r="P425" s="19" t="str">
        <f t="shared" si="78"/>
        <v>카페24뉴트리셔스밤HAIR RÉ:COVERY 15 Nutritious Balm [라베나 리커버리 15 뉴트리셔스 밤]제품선택=헤어 리커버리 15 뉴트리셔스 밤201210</v>
      </c>
    </row>
    <row r="426" spans="2:16" x14ac:dyDescent="0.3">
      <c r="B426" s="2">
        <v>44189</v>
      </c>
      <c r="C426" s="19" t="str">
        <f t="shared" si="77"/>
        <v>목</v>
      </c>
      <c r="E426" s="17" t="str">
        <f>INDEX(매칭테이블!C:C,MATCH(RD!G426,매칭테이블!D:D,0))</f>
        <v>뉴트리셔스밤</v>
      </c>
      <c r="F426" t="s">
        <v>91</v>
      </c>
      <c r="G426" t="s">
        <v>121</v>
      </c>
      <c r="H426">
        <v>1</v>
      </c>
      <c r="I426" s="17" t="str">
        <f>VLOOKUP(G426,매칭테이블!D:E,2,0)</f>
        <v>뉴트리셔스밤 2set</v>
      </c>
      <c r="J426">
        <v>201210</v>
      </c>
      <c r="L426" s="19">
        <f>VLOOKUP($P426,매칭테이블!$G:$J,2,0)*H426</f>
        <v>47310</v>
      </c>
      <c r="M426" s="19">
        <f>L426-L426*VLOOKUP($P426,매칭테이블!$G:$J,3,0)</f>
        <v>44542.364999999998</v>
      </c>
      <c r="N426" s="19">
        <f>VLOOKUP($P426,매칭테이블!$G:$J,4,0)*H426</f>
        <v>3160</v>
      </c>
      <c r="O426" s="20">
        <f t="shared" si="76"/>
        <v>43009.090909090904</v>
      </c>
      <c r="P426" s="19" t="str">
        <f t="shared" si="78"/>
        <v>카페24뉴트리셔스밤HAIR RÉ:COVERY 15 Nutritious Balm [라베나 리커버리 15 뉴트리셔스 밤]제품선택=뉴트리셔스 밤 2개 세트 5% 추가할인201210</v>
      </c>
    </row>
    <row r="427" spans="2:16" x14ac:dyDescent="0.3">
      <c r="B427" s="2">
        <v>44189</v>
      </c>
      <c r="C427" s="19" t="str">
        <f t="shared" si="77"/>
        <v>목</v>
      </c>
      <c r="E427" s="17" t="str">
        <f>INDEX(매칭테이블!C:C,MATCH(RD!G427,매칭테이블!D:D,0))</f>
        <v>뉴트리셔스밤</v>
      </c>
      <c r="F427" t="s">
        <v>91</v>
      </c>
      <c r="G427" t="s">
        <v>119</v>
      </c>
      <c r="H427">
        <v>2</v>
      </c>
      <c r="I427" s="17" t="str">
        <f>VLOOKUP(G427,매칭테이블!D:E,2,0)</f>
        <v>뉴트리셔스밤 3set</v>
      </c>
      <c r="J427">
        <v>201210</v>
      </c>
      <c r="L427" s="19">
        <f>VLOOKUP($P427,매칭테이블!$G:$J,2,0)*H427</f>
        <v>134460</v>
      </c>
      <c r="M427" s="19">
        <f>L427-L427*VLOOKUP($P427,매칭테이블!$G:$J,3,0)</f>
        <v>126594.09</v>
      </c>
      <c r="N427" s="19">
        <f>VLOOKUP($P427,매칭테이블!$G:$J,4,0)*H427</f>
        <v>9480</v>
      </c>
      <c r="O427" s="20">
        <f t="shared" si="76"/>
        <v>122236.36363636363</v>
      </c>
      <c r="P427" s="19" t="str">
        <f t="shared" si="78"/>
        <v>카페24뉴트리셔스밤HAIR RÉ:COVERY 15 Nutritious Balm [라베나 리커버리 15 뉴트리셔스 밤]제품선택=뉴트리셔스 밤 3개 세트 10% 추가할인201210</v>
      </c>
    </row>
    <row r="428" spans="2:16" x14ac:dyDescent="0.3">
      <c r="B428" s="2">
        <v>44189</v>
      </c>
      <c r="C428" s="19" t="str">
        <f t="shared" si="77"/>
        <v>목</v>
      </c>
      <c r="E428" s="17" t="str">
        <f>INDEX(매칭테이블!C:C,MATCH(RD!G428,매칭테이블!D:D,0))</f>
        <v>뉴트리셔스밤</v>
      </c>
      <c r="F428" t="s">
        <v>91</v>
      </c>
      <c r="G428" t="s">
        <v>122</v>
      </c>
      <c r="H428">
        <v>4</v>
      </c>
      <c r="I428" s="17" t="str">
        <f>VLOOKUP(G428,매칭테이블!D:E,2,0)</f>
        <v>트리트먼트+뉴트리셔스밤</v>
      </c>
      <c r="J428">
        <v>201210</v>
      </c>
      <c r="L428" s="19">
        <f>VLOOKUP($P428,매칭테이블!$G:$J,2,0)*H428</f>
        <v>193420</v>
      </c>
      <c r="M428" s="19">
        <f>L428-L428*VLOOKUP($P428,매칭테이블!$G:$J,3,0)</f>
        <v>182104.93</v>
      </c>
      <c r="N428" s="19">
        <f>VLOOKUP($P428,매칭테이블!$G:$J,4,0)*H428</f>
        <v>12708</v>
      </c>
      <c r="O428" s="20">
        <f t="shared" si="76"/>
        <v>175836.36363636362</v>
      </c>
      <c r="P428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29" spans="2:16" x14ac:dyDescent="0.3">
      <c r="B429" s="2">
        <v>44189</v>
      </c>
      <c r="C429" s="19" t="str">
        <f t="shared" si="77"/>
        <v>목</v>
      </c>
      <c r="E429" s="17" t="str">
        <f>INDEX(매칭테이블!C:C,MATCH(RD!G429,매칭테이블!D:D,0))</f>
        <v>샴푸</v>
      </c>
      <c r="F429" t="s">
        <v>91</v>
      </c>
      <c r="G429" t="s">
        <v>92</v>
      </c>
      <c r="H429">
        <v>13</v>
      </c>
      <c r="I429" s="17" t="str">
        <f>VLOOKUP(G429,매칭테이블!D:E,2,0)</f>
        <v>리바이탈 샴푸</v>
      </c>
      <c r="J429">
        <v>201210</v>
      </c>
      <c r="L429" s="19">
        <f>VLOOKUP($P429,매칭테이블!$G:$J,2,0)*H429</f>
        <v>349700</v>
      </c>
      <c r="M429" s="19">
        <f>L429-L429*VLOOKUP($P429,매칭테이블!$G:$J,3,0)</f>
        <v>329242.55</v>
      </c>
      <c r="N429" s="19">
        <f>VLOOKUP($P429,매칭테이블!$G:$J,4,0)*H429</f>
        <v>39260</v>
      </c>
      <c r="O429" s="20">
        <f t="shared" si="76"/>
        <v>317909.09090909088</v>
      </c>
      <c r="P429" s="19" t="str">
        <f t="shared" si="78"/>
        <v>카페24샴푸HAIR RÉ:COVERY 15 Revital Shampoo [라베나 리커버리 15 리바이탈 샴푸]제품선택=헤어 리커버리 15 리바이탈 샴푸 - 500ml201210</v>
      </c>
    </row>
    <row r="430" spans="2:16" x14ac:dyDescent="0.3">
      <c r="B430" s="2">
        <v>44189</v>
      </c>
      <c r="C430" s="19" t="str">
        <f t="shared" si="77"/>
        <v>목</v>
      </c>
      <c r="E430" s="17" t="str">
        <f>INDEX(매칭테이블!C:C,MATCH(RD!G430,매칭테이블!D:D,0))</f>
        <v>샴푸</v>
      </c>
      <c r="F430" t="s">
        <v>91</v>
      </c>
      <c r="G430" t="s">
        <v>93</v>
      </c>
      <c r="H430">
        <v>6</v>
      </c>
      <c r="I430" s="17" t="str">
        <f>VLOOKUP(G430,매칭테이블!D:E,2,0)</f>
        <v>리바이탈 샴푸</v>
      </c>
      <c r="J430">
        <v>201210</v>
      </c>
      <c r="L430" s="19">
        <f>VLOOKUP($P430,매칭테이블!$G:$J,2,0)*H430</f>
        <v>306660</v>
      </c>
      <c r="M430" s="19">
        <f>L430-L430*VLOOKUP($P430,매칭테이블!$G:$J,3,0)</f>
        <v>288720.39</v>
      </c>
      <c r="N430" s="19">
        <f>VLOOKUP($P430,매칭테이블!$G:$J,4,0)*H430</f>
        <v>36240</v>
      </c>
      <c r="O430" s="20">
        <f t="shared" si="76"/>
        <v>278781.81818181818</v>
      </c>
      <c r="P430" s="19" t="str">
        <f t="shared" si="78"/>
        <v>카페24샴푸HAIR RÉ:COVERY 15 Revital Shampoo [라베나 리커버리 15 리바이탈 샴푸]제품선택=리바이탈 샴푸 2개 세트 5%추가할인201210</v>
      </c>
    </row>
    <row r="431" spans="2:16" x14ac:dyDescent="0.3">
      <c r="B431" s="2">
        <v>44189</v>
      </c>
      <c r="C431" s="19" t="str">
        <f t="shared" si="77"/>
        <v>목</v>
      </c>
      <c r="E431" s="17" t="str">
        <f>INDEX(매칭테이블!C:C,MATCH(RD!G431,매칭테이블!D:D,0))</f>
        <v>샴푸</v>
      </c>
      <c r="F431" t="s">
        <v>91</v>
      </c>
      <c r="G431" t="s">
        <v>94</v>
      </c>
      <c r="H431">
        <v>4</v>
      </c>
      <c r="I431" s="17" t="str">
        <f>VLOOKUP(G431,매칭테이블!D:E,2,0)</f>
        <v>리바이탈 샴푸 3set</v>
      </c>
      <c r="J431">
        <v>201210</v>
      </c>
      <c r="L431" s="19">
        <f>VLOOKUP($P431,매칭테이블!$G:$J,2,0)*H431</f>
        <v>290520</v>
      </c>
      <c r="M431" s="19">
        <f>L431-L431*VLOOKUP($P431,매칭테이블!$G:$J,3,0)</f>
        <v>273524.58</v>
      </c>
      <c r="N431" s="19">
        <f>VLOOKUP($P431,매칭테이블!$G:$J,4,0)*H431</f>
        <v>36240</v>
      </c>
      <c r="O431" s="20">
        <f t="shared" si="76"/>
        <v>264109.09090909088</v>
      </c>
      <c r="P431" s="19" t="str">
        <f t="shared" si="78"/>
        <v>카페24샴푸HAIR RÉ:COVERY 15 Revital Shampoo [라베나 리커버리 15 리바이탈 샴푸]제품선택=리바이탈 샴푸 3개 세트 10% 추가할인201210</v>
      </c>
    </row>
    <row r="432" spans="2:16" x14ac:dyDescent="0.3">
      <c r="B432" s="2">
        <v>44190</v>
      </c>
      <c r="C432" s="19" t="str">
        <f t="shared" si="77"/>
        <v>금</v>
      </c>
      <c r="E432" s="17" t="str">
        <f>INDEX(매칭테이블!C:C,MATCH(RD!G432,매칭테이블!D:D,0))</f>
        <v>트리트먼트</v>
      </c>
      <c r="F432" t="s">
        <v>91</v>
      </c>
      <c r="G432" t="s">
        <v>115</v>
      </c>
      <c r="H432">
        <v>11</v>
      </c>
      <c r="I432" s="17" t="str">
        <f>VLOOKUP(G432,매칭테이블!D:E,2,0)</f>
        <v>트리트먼트</v>
      </c>
      <c r="J432">
        <v>201210</v>
      </c>
      <c r="L432" s="19">
        <f>VLOOKUP($P432,매칭테이블!$G:$J,2,0)*H432</f>
        <v>286000</v>
      </c>
      <c r="M432" s="19">
        <f>L432-L432*VLOOKUP($P432,매칭테이블!$G:$J,3,0)</f>
        <v>269269</v>
      </c>
      <c r="N432" s="19">
        <f>VLOOKUP($P432,매칭테이블!$G:$J,4,0)*H432</f>
        <v>17567</v>
      </c>
      <c r="O432" s="20">
        <f t="shared" ref="O432:O441" si="79">L432/1.1</f>
        <v>259999.99999999997</v>
      </c>
      <c r="P432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33" spans="2:16" x14ac:dyDescent="0.3">
      <c r="B433" s="2">
        <v>44190</v>
      </c>
      <c r="C433" s="19" t="str">
        <f t="shared" ref="C433:C442" si="80">TEXT(B433,"aaa")</f>
        <v>금</v>
      </c>
      <c r="E433" s="17" t="str">
        <f>INDEX(매칭테이블!C:C,MATCH(RD!G433,매칭테이블!D:D,0))</f>
        <v>트리트먼트</v>
      </c>
      <c r="F433" t="s">
        <v>91</v>
      </c>
      <c r="G433" t="s">
        <v>116</v>
      </c>
      <c r="H433">
        <v>6</v>
      </c>
      <c r="I433" s="17" t="str">
        <f>VLOOKUP(G433,매칭테이블!D:E,2,0)</f>
        <v>트리트먼트 2set</v>
      </c>
      <c r="J433">
        <v>201210</v>
      </c>
      <c r="L433" s="19">
        <f>VLOOKUP($P433,매칭테이블!$G:$J,2,0)*H433</f>
        <v>296400</v>
      </c>
      <c r="M433" s="19">
        <f>L433-L433*VLOOKUP($P433,매칭테이블!$G:$J,3,0)</f>
        <v>279060.59999999998</v>
      </c>
      <c r="N433" s="19">
        <f>VLOOKUP($P433,매칭테이블!$G:$J,4,0)*H433</f>
        <v>19164</v>
      </c>
      <c r="O433" s="20">
        <f t="shared" si="79"/>
        <v>269454.54545454541</v>
      </c>
      <c r="P433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34" spans="2:16" x14ac:dyDescent="0.3">
      <c r="B434" s="2">
        <v>44190</v>
      </c>
      <c r="C434" s="19" t="str">
        <f t="shared" si="80"/>
        <v>금</v>
      </c>
      <c r="E434" s="17" t="str">
        <f>INDEX(매칭테이블!C:C,MATCH(RD!G434,매칭테이블!D:D,0))</f>
        <v>트리트먼트</v>
      </c>
      <c r="F434" t="s">
        <v>91</v>
      </c>
      <c r="G434" t="s">
        <v>117</v>
      </c>
      <c r="H434">
        <v>1</v>
      </c>
      <c r="I434" s="17" t="str">
        <f>VLOOKUP(G434,매칭테이블!D:E,2,0)</f>
        <v>트리트먼트+뉴트리셔스밤</v>
      </c>
      <c r="J434">
        <v>201210</v>
      </c>
      <c r="L434" s="19">
        <f>VLOOKUP($P434,매칭테이블!$G:$J,2,0)*H434</f>
        <v>48355</v>
      </c>
      <c r="M434" s="19">
        <f>L434-L434*VLOOKUP($P434,매칭테이블!$G:$J,3,0)</f>
        <v>45526.232499999998</v>
      </c>
      <c r="N434" s="19">
        <f>VLOOKUP($P434,매칭테이블!$G:$J,4,0)*H434</f>
        <v>3177</v>
      </c>
      <c r="O434" s="20">
        <f t="shared" si="79"/>
        <v>43959.090909090904</v>
      </c>
      <c r="P434" s="19" t="str">
        <f t="shared" si="78"/>
        <v>카페24트리트먼트HAIR RÉ:COVERY 15 Hairpack Treatment [라베나 리커버리 15 헤어팩 트리트먼트]제품선택=헤어팩 트리트먼트 1개 + 뉴트리셔스밤 1개 세트 5% 추가할인201210</v>
      </c>
    </row>
    <row r="435" spans="2:16" x14ac:dyDescent="0.3">
      <c r="B435" s="2">
        <v>44190</v>
      </c>
      <c r="C435" s="19" t="str">
        <f t="shared" si="80"/>
        <v>금</v>
      </c>
      <c r="E435" s="17" t="str">
        <f>INDEX(매칭테이블!C:C,MATCH(RD!G435,매칭테이블!D:D,0))</f>
        <v>뉴트리셔스밤</v>
      </c>
      <c r="F435" t="s">
        <v>91</v>
      </c>
      <c r="G435" t="s">
        <v>118</v>
      </c>
      <c r="H435">
        <v>20</v>
      </c>
      <c r="I435" s="17" t="str">
        <f>VLOOKUP(G435,매칭테이블!D:E,2,0)</f>
        <v>뉴트리셔스밤</v>
      </c>
      <c r="J435">
        <v>201210</v>
      </c>
      <c r="L435" s="19">
        <f>VLOOKUP($P435,매칭테이블!$G:$J,2,0)*H435</f>
        <v>498000</v>
      </c>
      <c r="M435" s="19">
        <f>L435-L435*VLOOKUP($P435,매칭테이블!$G:$J,3,0)</f>
        <v>468867</v>
      </c>
      <c r="N435" s="19">
        <f>VLOOKUP($P435,매칭테이블!$G:$J,4,0)*H435</f>
        <v>31600</v>
      </c>
      <c r="O435" s="20">
        <f t="shared" si="79"/>
        <v>452727.27272727271</v>
      </c>
      <c r="P435" s="19" t="str">
        <f t="shared" si="78"/>
        <v>카페24뉴트리셔스밤HAIR RÉ:COVERY 15 Nutritious Balm [라베나 리커버리 15 뉴트리셔스 밤]제품선택=헤어 리커버리 15 뉴트리셔스 밤201210</v>
      </c>
    </row>
    <row r="436" spans="2:16" x14ac:dyDescent="0.3">
      <c r="B436" s="2">
        <v>44190</v>
      </c>
      <c r="C436" s="19" t="str">
        <f t="shared" si="80"/>
        <v>금</v>
      </c>
      <c r="E436" s="17" t="str">
        <f>INDEX(매칭테이블!C:C,MATCH(RD!G436,매칭테이블!D:D,0))</f>
        <v>뉴트리셔스밤</v>
      </c>
      <c r="F436" t="s">
        <v>91</v>
      </c>
      <c r="G436" t="s">
        <v>121</v>
      </c>
      <c r="H436">
        <v>5</v>
      </c>
      <c r="I436" s="17" t="str">
        <f>VLOOKUP(G436,매칭테이블!D:E,2,0)</f>
        <v>뉴트리셔스밤 2set</v>
      </c>
      <c r="J436">
        <v>201210</v>
      </c>
      <c r="L436" s="19">
        <f>VLOOKUP($P436,매칭테이블!$G:$J,2,0)*H436</f>
        <v>236550</v>
      </c>
      <c r="M436" s="19">
        <f>L436-L436*VLOOKUP($P436,매칭테이블!$G:$J,3,0)</f>
        <v>222711.82500000001</v>
      </c>
      <c r="N436" s="19">
        <f>VLOOKUP($P436,매칭테이블!$G:$J,4,0)*H436</f>
        <v>15800</v>
      </c>
      <c r="O436" s="20">
        <f t="shared" si="79"/>
        <v>215045.45454545453</v>
      </c>
      <c r="P436" s="19" t="str">
        <f t="shared" si="78"/>
        <v>카페24뉴트리셔스밤HAIR RÉ:COVERY 15 Nutritious Balm [라베나 리커버리 15 뉴트리셔스 밤]제품선택=뉴트리셔스 밤 2개 세트 5% 추가할인201210</v>
      </c>
    </row>
    <row r="437" spans="2:16" x14ac:dyDescent="0.3">
      <c r="B437" s="2">
        <v>44190</v>
      </c>
      <c r="C437" s="19" t="str">
        <f t="shared" si="80"/>
        <v>금</v>
      </c>
      <c r="E437" s="17" t="str">
        <f>INDEX(매칭테이블!C:C,MATCH(RD!G437,매칭테이블!D:D,0))</f>
        <v>뉴트리셔스밤</v>
      </c>
      <c r="F437" t="s">
        <v>91</v>
      </c>
      <c r="G437" t="s">
        <v>119</v>
      </c>
      <c r="H437">
        <v>3</v>
      </c>
      <c r="I437" s="17" t="str">
        <f>VLOOKUP(G437,매칭테이블!D:E,2,0)</f>
        <v>뉴트리셔스밤 3set</v>
      </c>
      <c r="J437">
        <v>201210</v>
      </c>
      <c r="L437" s="19">
        <f>VLOOKUP($P437,매칭테이블!$G:$J,2,0)*H437</f>
        <v>201690</v>
      </c>
      <c r="M437" s="19">
        <f>L437-L437*VLOOKUP($P437,매칭테이블!$G:$J,3,0)</f>
        <v>189891.13500000001</v>
      </c>
      <c r="N437" s="19">
        <f>VLOOKUP($P437,매칭테이블!$G:$J,4,0)*H437</f>
        <v>14220</v>
      </c>
      <c r="O437" s="20">
        <f t="shared" si="79"/>
        <v>183354.54545454544</v>
      </c>
      <c r="P437" s="19" t="str">
        <f t="shared" si="78"/>
        <v>카페24뉴트리셔스밤HAIR RÉ:COVERY 15 Nutritious Balm [라베나 리커버리 15 뉴트리셔스 밤]제품선택=뉴트리셔스 밤 3개 세트 10% 추가할인201210</v>
      </c>
    </row>
    <row r="438" spans="2:16" x14ac:dyDescent="0.3">
      <c r="B438" s="2">
        <v>44190</v>
      </c>
      <c r="C438" s="19" t="str">
        <f t="shared" si="80"/>
        <v>금</v>
      </c>
      <c r="E438" s="17" t="str">
        <f>INDEX(매칭테이블!C:C,MATCH(RD!G438,매칭테이블!D:D,0))</f>
        <v>뉴트리셔스밤</v>
      </c>
      <c r="F438" t="s">
        <v>91</v>
      </c>
      <c r="G438" t="s">
        <v>122</v>
      </c>
      <c r="H438">
        <v>5</v>
      </c>
      <c r="I438" s="17" t="str">
        <f>VLOOKUP(G438,매칭테이블!D:E,2,0)</f>
        <v>트리트먼트+뉴트리셔스밤</v>
      </c>
      <c r="J438">
        <v>201210</v>
      </c>
      <c r="L438" s="19">
        <f>VLOOKUP($P438,매칭테이블!$G:$J,2,0)*H438</f>
        <v>241775</v>
      </c>
      <c r="M438" s="19">
        <f>L438-L438*VLOOKUP($P438,매칭테이블!$G:$J,3,0)</f>
        <v>227631.16250000001</v>
      </c>
      <c r="N438" s="19">
        <f>VLOOKUP($P438,매칭테이블!$G:$J,4,0)*H438</f>
        <v>15885</v>
      </c>
      <c r="O438" s="20">
        <f t="shared" si="79"/>
        <v>219795.45454545453</v>
      </c>
      <c r="P438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39" spans="2:16" x14ac:dyDescent="0.3">
      <c r="B439" s="2">
        <v>44190</v>
      </c>
      <c r="C439" s="19" t="str">
        <f t="shared" si="80"/>
        <v>금</v>
      </c>
      <c r="E439" s="17" t="str">
        <f>INDEX(매칭테이블!C:C,MATCH(RD!G439,매칭테이블!D:D,0))</f>
        <v>샴푸</v>
      </c>
      <c r="F439" t="s">
        <v>91</v>
      </c>
      <c r="G439" t="s">
        <v>92</v>
      </c>
      <c r="H439">
        <v>13</v>
      </c>
      <c r="I439" s="17" t="str">
        <f>VLOOKUP(G439,매칭테이블!D:E,2,0)</f>
        <v>리바이탈 샴푸</v>
      </c>
      <c r="J439">
        <v>201210</v>
      </c>
      <c r="L439" s="19">
        <f>VLOOKUP($P439,매칭테이블!$G:$J,2,0)*H439</f>
        <v>349700</v>
      </c>
      <c r="M439" s="19">
        <f>L439-L439*VLOOKUP($P439,매칭테이블!$G:$J,3,0)</f>
        <v>329242.55</v>
      </c>
      <c r="N439" s="19">
        <f>VLOOKUP($P439,매칭테이블!$G:$J,4,0)*H439</f>
        <v>39260</v>
      </c>
      <c r="O439" s="20">
        <f t="shared" si="79"/>
        <v>317909.09090909088</v>
      </c>
      <c r="P439" s="19" t="str">
        <f t="shared" si="78"/>
        <v>카페24샴푸HAIR RÉ:COVERY 15 Revital Shampoo [라베나 리커버리 15 리바이탈 샴푸]제품선택=헤어 리커버리 15 리바이탈 샴푸 - 500ml201210</v>
      </c>
    </row>
    <row r="440" spans="2:16" x14ac:dyDescent="0.3">
      <c r="B440" s="2">
        <v>44190</v>
      </c>
      <c r="C440" s="19" t="str">
        <f t="shared" si="80"/>
        <v>금</v>
      </c>
      <c r="E440" s="17" t="str">
        <f>INDEX(매칭테이블!C:C,MATCH(RD!G440,매칭테이블!D:D,0))</f>
        <v>샴푸</v>
      </c>
      <c r="F440" t="s">
        <v>91</v>
      </c>
      <c r="G440" t="s">
        <v>93</v>
      </c>
      <c r="H440">
        <v>3</v>
      </c>
      <c r="I440" s="17" t="str">
        <f>VLOOKUP(G440,매칭테이블!D:E,2,0)</f>
        <v>리바이탈 샴푸</v>
      </c>
      <c r="J440">
        <v>201210</v>
      </c>
      <c r="L440" s="19">
        <f>VLOOKUP($P440,매칭테이블!$G:$J,2,0)*H440</f>
        <v>153330</v>
      </c>
      <c r="M440" s="19">
        <f>L440-L440*VLOOKUP($P440,매칭테이블!$G:$J,3,0)</f>
        <v>144360.19500000001</v>
      </c>
      <c r="N440" s="19">
        <f>VLOOKUP($P440,매칭테이블!$G:$J,4,0)*H440</f>
        <v>18120</v>
      </c>
      <c r="O440" s="20">
        <f t="shared" si="79"/>
        <v>139390.90909090909</v>
      </c>
      <c r="P440" s="19" t="str">
        <f t="shared" si="78"/>
        <v>카페24샴푸HAIR RÉ:COVERY 15 Revital Shampoo [라베나 리커버리 15 리바이탈 샴푸]제품선택=리바이탈 샴푸 2개 세트 5%추가할인201210</v>
      </c>
    </row>
    <row r="441" spans="2:16" x14ac:dyDescent="0.3">
      <c r="B441" s="2">
        <v>44190</v>
      </c>
      <c r="C441" s="19" t="str">
        <f t="shared" si="80"/>
        <v>금</v>
      </c>
      <c r="E441" s="17" t="str">
        <f>INDEX(매칭테이블!C:C,MATCH(RD!G441,매칭테이블!D:D,0))</f>
        <v>샴푸</v>
      </c>
      <c r="F441" t="s">
        <v>91</v>
      </c>
      <c r="G441" t="s">
        <v>94</v>
      </c>
      <c r="H441">
        <v>2</v>
      </c>
      <c r="I441" s="17" t="str">
        <f>VLOOKUP(G441,매칭테이블!D:E,2,0)</f>
        <v>리바이탈 샴푸 3set</v>
      </c>
      <c r="J441">
        <v>201210</v>
      </c>
      <c r="L441" s="19">
        <f>VLOOKUP($P441,매칭테이블!$G:$J,2,0)*H441</f>
        <v>145260</v>
      </c>
      <c r="M441" s="19">
        <f>L441-L441*VLOOKUP($P441,매칭테이블!$G:$J,3,0)</f>
        <v>136762.29</v>
      </c>
      <c r="N441" s="19">
        <f>VLOOKUP($P441,매칭테이블!$G:$J,4,0)*H441</f>
        <v>18120</v>
      </c>
      <c r="O441" s="20">
        <f t="shared" si="79"/>
        <v>132054.54545454544</v>
      </c>
      <c r="P441" s="19" t="str">
        <f t="shared" si="78"/>
        <v>카페24샴푸HAIR RÉ:COVERY 15 Revital Shampoo [라베나 리커버리 15 리바이탈 샴푸]제품선택=리바이탈 샴푸 3개 세트 10% 추가할인201210</v>
      </c>
    </row>
    <row r="442" spans="2:16" x14ac:dyDescent="0.3">
      <c r="B442" s="2">
        <v>44191</v>
      </c>
      <c r="C442" s="19" t="str">
        <f t="shared" si="80"/>
        <v>토</v>
      </c>
      <c r="E442" s="17" t="str">
        <f>INDEX(매칭테이블!C:C,MATCH(RD!G442,매칭테이블!D:D,0))</f>
        <v>트리트먼트</v>
      </c>
      <c r="F442" t="s">
        <v>91</v>
      </c>
      <c r="G442" t="s">
        <v>115</v>
      </c>
      <c r="H442">
        <v>7</v>
      </c>
      <c r="I442" s="17" t="str">
        <f>VLOOKUP(G442,매칭테이블!D:E,2,0)</f>
        <v>트리트먼트</v>
      </c>
      <c r="J442">
        <v>201210</v>
      </c>
      <c r="L442" s="19">
        <f>VLOOKUP($P442,매칭테이블!$G:$J,2,0)*H442</f>
        <v>182000</v>
      </c>
      <c r="M442" s="19">
        <f>L442-L442*VLOOKUP($P442,매칭테이블!$G:$J,3,0)</f>
        <v>171353</v>
      </c>
      <c r="N442" s="19">
        <f>VLOOKUP($P442,매칭테이블!$G:$J,4,0)*H442</f>
        <v>11179</v>
      </c>
      <c r="O442" s="20">
        <f t="shared" ref="O442:O449" si="81">L442/1.1</f>
        <v>165454.54545454544</v>
      </c>
      <c r="P442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43" spans="2:16" x14ac:dyDescent="0.3">
      <c r="B443" s="2">
        <v>44191</v>
      </c>
      <c r="C443" s="19" t="str">
        <f t="shared" ref="C443:C450" si="82">TEXT(B443,"aaa")</f>
        <v>토</v>
      </c>
      <c r="E443" s="17" t="str">
        <f>INDEX(매칭테이블!C:C,MATCH(RD!G443,매칭테이블!D:D,0))</f>
        <v>트리트먼트</v>
      </c>
      <c r="F443" t="s">
        <v>91</v>
      </c>
      <c r="G443" t="s">
        <v>116</v>
      </c>
      <c r="H443">
        <v>2</v>
      </c>
      <c r="I443" s="17" t="str">
        <f>VLOOKUP(G443,매칭테이블!D:E,2,0)</f>
        <v>트리트먼트 2set</v>
      </c>
      <c r="J443">
        <v>201210</v>
      </c>
      <c r="L443" s="19">
        <f>VLOOKUP($P443,매칭테이블!$G:$J,2,0)*H443</f>
        <v>98800</v>
      </c>
      <c r="M443" s="19">
        <f>L443-L443*VLOOKUP($P443,매칭테이블!$G:$J,3,0)</f>
        <v>93020.2</v>
      </c>
      <c r="N443" s="19">
        <f>VLOOKUP($P443,매칭테이블!$G:$J,4,0)*H443</f>
        <v>6388</v>
      </c>
      <c r="O443" s="20">
        <f t="shared" si="81"/>
        <v>89818.181818181809</v>
      </c>
      <c r="P443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44" spans="2:16" x14ac:dyDescent="0.3">
      <c r="B444" s="2">
        <v>44191</v>
      </c>
      <c r="C444" s="19" t="str">
        <f t="shared" si="82"/>
        <v>토</v>
      </c>
      <c r="E444" s="17" t="str">
        <f>INDEX(매칭테이블!C:C,MATCH(RD!G444,매칭테이블!D:D,0))</f>
        <v>뉴트리셔스밤</v>
      </c>
      <c r="F444" t="s">
        <v>91</v>
      </c>
      <c r="G444" t="s">
        <v>118</v>
      </c>
      <c r="H444">
        <v>10</v>
      </c>
      <c r="I444" s="17" t="str">
        <f>VLOOKUP(G444,매칭테이블!D:E,2,0)</f>
        <v>뉴트리셔스밤</v>
      </c>
      <c r="J444">
        <v>201210</v>
      </c>
      <c r="L444" s="19">
        <f>VLOOKUP($P444,매칭테이블!$G:$J,2,0)*H444</f>
        <v>249000</v>
      </c>
      <c r="M444" s="19">
        <f>L444-L444*VLOOKUP($P444,매칭테이블!$G:$J,3,0)</f>
        <v>234433.5</v>
      </c>
      <c r="N444" s="19">
        <f>VLOOKUP($P444,매칭테이블!$G:$J,4,0)*H444</f>
        <v>15800</v>
      </c>
      <c r="O444" s="20">
        <f t="shared" si="81"/>
        <v>226363.63636363635</v>
      </c>
      <c r="P444" s="19" t="str">
        <f t="shared" si="78"/>
        <v>카페24뉴트리셔스밤HAIR RÉ:COVERY 15 Nutritious Balm [라베나 리커버리 15 뉴트리셔스 밤]제품선택=헤어 리커버리 15 뉴트리셔스 밤201210</v>
      </c>
    </row>
    <row r="445" spans="2:16" x14ac:dyDescent="0.3">
      <c r="B445" s="2">
        <v>44191</v>
      </c>
      <c r="C445" s="19" t="str">
        <f t="shared" si="82"/>
        <v>토</v>
      </c>
      <c r="E445" s="17" t="str">
        <f>INDEX(매칭테이블!C:C,MATCH(RD!G445,매칭테이블!D:D,0))</f>
        <v>뉴트리셔스밤</v>
      </c>
      <c r="F445" t="s">
        <v>91</v>
      </c>
      <c r="G445" t="s">
        <v>121</v>
      </c>
      <c r="H445">
        <v>2</v>
      </c>
      <c r="I445" s="17" t="str">
        <f>VLOOKUP(G445,매칭테이블!D:E,2,0)</f>
        <v>뉴트리셔스밤 2set</v>
      </c>
      <c r="J445">
        <v>201210</v>
      </c>
      <c r="L445" s="19">
        <f>VLOOKUP($P445,매칭테이블!$G:$J,2,0)*H445</f>
        <v>94620</v>
      </c>
      <c r="M445" s="19">
        <f>L445-L445*VLOOKUP($P445,매칭테이블!$G:$J,3,0)</f>
        <v>89084.73</v>
      </c>
      <c r="N445" s="19">
        <f>VLOOKUP($P445,매칭테이블!$G:$J,4,0)*H445</f>
        <v>6320</v>
      </c>
      <c r="O445" s="20">
        <f t="shared" si="81"/>
        <v>86018.181818181809</v>
      </c>
      <c r="P445" s="19" t="str">
        <f t="shared" si="78"/>
        <v>카페24뉴트리셔스밤HAIR RÉ:COVERY 15 Nutritious Balm [라베나 리커버리 15 뉴트리셔스 밤]제품선택=뉴트리셔스 밤 2개 세트 5% 추가할인201210</v>
      </c>
    </row>
    <row r="446" spans="2:16" x14ac:dyDescent="0.3">
      <c r="B446" s="2">
        <v>44191</v>
      </c>
      <c r="C446" s="19" t="str">
        <f t="shared" si="82"/>
        <v>토</v>
      </c>
      <c r="E446" s="17" t="str">
        <f>INDEX(매칭테이블!C:C,MATCH(RD!G446,매칭테이블!D:D,0))</f>
        <v>뉴트리셔스밤</v>
      </c>
      <c r="F446" t="s">
        <v>91</v>
      </c>
      <c r="G446" t="s">
        <v>122</v>
      </c>
      <c r="H446">
        <v>2</v>
      </c>
      <c r="I446" s="17" t="str">
        <f>VLOOKUP(G446,매칭테이블!D:E,2,0)</f>
        <v>트리트먼트+뉴트리셔스밤</v>
      </c>
      <c r="J446">
        <v>201210</v>
      </c>
      <c r="L446" s="19">
        <f>VLOOKUP($P446,매칭테이블!$G:$J,2,0)*H446</f>
        <v>96710</v>
      </c>
      <c r="M446" s="19">
        <f>L446-L446*VLOOKUP($P446,매칭테이블!$G:$J,3,0)</f>
        <v>91052.464999999997</v>
      </c>
      <c r="N446" s="19">
        <f>VLOOKUP($P446,매칭테이블!$G:$J,4,0)*H446</f>
        <v>6354</v>
      </c>
      <c r="O446" s="20">
        <f t="shared" si="81"/>
        <v>87918.181818181809</v>
      </c>
      <c r="P446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47" spans="2:16" x14ac:dyDescent="0.3">
      <c r="B447" s="2">
        <v>44191</v>
      </c>
      <c r="C447" s="19" t="str">
        <f t="shared" si="82"/>
        <v>토</v>
      </c>
      <c r="E447" s="17" t="str">
        <f>INDEX(매칭테이블!C:C,MATCH(RD!G447,매칭테이블!D:D,0))</f>
        <v>샴푸</v>
      </c>
      <c r="F447" t="s">
        <v>91</v>
      </c>
      <c r="G447" t="s">
        <v>92</v>
      </c>
      <c r="H447">
        <v>7</v>
      </c>
      <c r="I447" s="17" t="str">
        <f>VLOOKUP(G447,매칭테이블!D:E,2,0)</f>
        <v>리바이탈 샴푸</v>
      </c>
      <c r="J447">
        <v>201210</v>
      </c>
      <c r="L447" s="19">
        <f>VLOOKUP($P447,매칭테이블!$G:$J,2,0)*H447</f>
        <v>188300</v>
      </c>
      <c r="M447" s="19">
        <f>L447-L447*VLOOKUP($P447,매칭테이블!$G:$J,3,0)</f>
        <v>177284.45</v>
      </c>
      <c r="N447" s="19">
        <f>VLOOKUP($P447,매칭테이블!$G:$J,4,0)*H447</f>
        <v>21140</v>
      </c>
      <c r="O447" s="20">
        <f t="shared" si="81"/>
        <v>171181.81818181818</v>
      </c>
      <c r="P447" s="19" t="str">
        <f t="shared" si="78"/>
        <v>카페24샴푸HAIR RÉ:COVERY 15 Revital Shampoo [라베나 리커버리 15 리바이탈 샴푸]제품선택=헤어 리커버리 15 리바이탈 샴푸 - 500ml201210</v>
      </c>
    </row>
    <row r="448" spans="2:16" x14ac:dyDescent="0.3">
      <c r="B448" s="2">
        <v>44191</v>
      </c>
      <c r="C448" s="19" t="str">
        <f t="shared" si="82"/>
        <v>토</v>
      </c>
      <c r="E448" s="17" t="str">
        <f>INDEX(매칭테이블!C:C,MATCH(RD!G448,매칭테이블!D:D,0))</f>
        <v>샴푸</v>
      </c>
      <c r="F448" t="s">
        <v>91</v>
      </c>
      <c r="G448" t="s">
        <v>93</v>
      </c>
      <c r="H448">
        <v>1</v>
      </c>
      <c r="I448" s="17" t="str">
        <f>VLOOKUP(G448,매칭테이블!D:E,2,0)</f>
        <v>리바이탈 샴푸</v>
      </c>
      <c r="J448">
        <v>201210</v>
      </c>
      <c r="L448" s="19">
        <f>VLOOKUP($P448,매칭테이블!$G:$J,2,0)*H448</f>
        <v>51110</v>
      </c>
      <c r="M448" s="19">
        <f>L448-L448*VLOOKUP($P448,매칭테이블!$G:$J,3,0)</f>
        <v>48120.065000000002</v>
      </c>
      <c r="N448" s="19">
        <f>VLOOKUP($P448,매칭테이블!$G:$J,4,0)*H448</f>
        <v>6040</v>
      </c>
      <c r="O448" s="20">
        <f t="shared" si="81"/>
        <v>46463.63636363636</v>
      </c>
      <c r="P448" s="19" t="str">
        <f t="shared" si="78"/>
        <v>카페24샴푸HAIR RÉ:COVERY 15 Revital Shampoo [라베나 리커버리 15 리바이탈 샴푸]제품선택=리바이탈 샴푸 2개 세트 5%추가할인201210</v>
      </c>
    </row>
    <row r="449" spans="2:16" x14ac:dyDescent="0.3">
      <c r="B449" s="2">
        <v>44191</v>
      </c>
      <c r="C449" s="19" t="str">
        <f t="shared" si="82"/>
        <v>토</v>
      </c>
      <c r="E449" s="17" t="str">
        <f>INDEX(매칭테이블!C:C,MATCH(RD!G449,매칭테이블!D:D,0))</f>
        <v>샴푸</v>
      </c>
      <c r="F449" t="s">
        <v>91</v>
      </c>
      <c r="G449" t="s">
        <v>94</v>
      </c>
      <c r="H449">
        <v>2</v>
      </c>
      <c r="I449" s="17" t="str">
        <f>VLOOKUP(G449,매칭테이블!D:E,2,0)</f>
        <v>리바이탈 샴푸 3set</v>
      </c>
      <c r="J449">
        <v>201210</v>
      </c>
      <c r="L449" s="19">
        <f>VLOOKUP($P449,매칭테이블!$G:$J,2,0)*H449</f>
        <v>145260</v>
      </c>
      <c r="M449" s="19">
        <f>L449-L449*VLOOKUP($P449,매칭테이블!$G:$J,3,0)</f>
        <v>136762.29</v>
      </c>
      <c r="N449" s="19">
        <f>VLOOKUP($P449,매칭테이블!$G:$J,4,0)*H449</f>
        <v>18120</v>
      </c>
      <c r="O449" s="20">
        <f t="shared" si="81"/>
        <v>132054.54545454544</v>
      </c>
      <c r="P449" s="19" t="str">
        <f t="shared" si="78"/>
        <v>카페24샴푸HAIR RÉ:COVERY 15 Revital Shampoo [라베나 리커버리 15 리바이탈 샴푸]제품선택=리바이탈 샴푸 3개 세트 10% 추가할인201210</v>
      </c>
    </row>
    <row r="450" spans="2:16" x14ac:dyDescent="0.3">
      <c r="B450" s="2">
        <v>44192</v>
      </c>
      <c r="C450" s="19" t="str">
        <f t="shared" si="82"/>
        <v>일</v>
      </c>
      <c r="E450" s="17" t="str">
        <f>INDEX(매칭테이블!C:C,MATCH(RD!G450,매칭테이블!D:D,0))</f>
        <v>트리트먼트</v>
      </c>
      <c r="F450" t="s">
        <v>91</v>
      </c>
      <c r="G450" t="s">
        <v>115</v>
      </c>
      <c r="H450">
        <v>16</v>
      </c>
      <c r="I450" s="17" t="str">
        <f>VLOOKUP(G450,매칭테이블!D:E,2,0)</f>
        <v>트리트먼트</v>
      </c>
      <c r="J450">
        <v>201210</v>
      </c>
      <c r="L450" s="19">
        <f>VLOOKUP($P450,매칭테이블!$G:$J,2,0)*H450</f>
        <v>416000</v>
      </c>
      <c r="M450" s="19">
        <f>L450-L450*VLOOKUP($P450,매칭테이블!$G:$J,3,0)</f>
        <v>391664</v>
      </c>
      <c r="N450" s="19">
        <f>VLOOKUP($P450,매칭테이블!$G:$J,4,0)*H450</f>
        <v>25552</v>
      </c>
      <c r="O450" s="20">
        <f t="shared" ref="O450:O460" si="83">L450/1.1</f>
        <v>378181.81818181818</v>
      </c>
      <c r="P450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51" spans="2:16" x14ac:dyDescent="0.3">
      <c r="B451" s="2">
        <v>44192</v>
      </c>
      <c r="C451" s="19" t="str">
        <f t="shared" ref="C451:C461" si="84">TEXT(B451,"aaa")</f>
        <v>일</v>
      </c>
      <c r="E451" s="17" t="str">
        <f>INDEX(매칭테이블!C:C,MATCH(RD!G451,매칭테이블!D:D,0))</f>
        <v>트리트먼트</v>
      </c>
      <c r="F451" t="s">
        <v>91</v>
      </c>
      <c r="G451" t="s">
        <v>116</v>
      </c>
      <c r="H451">
        <v>7</v>
      </c>
      <c r="I451" s="17" t="str">
        <f>VLOOKUP(G451,매칭테이블!D:E,2,0)</f>
        <v>트리트먼트 2set</v>
      </c>
      <c r="J451">
        <v>201210</v>
      </c>
      <c r="L451" s="19">
        <f>VLOOKUP($P451,매칭테이블!$G:$J,2,0)*H451</f>
        <v>345800</v>
      </c>
      <c r="M451" s="19">
        <f>L451-L451*VLOOKUP($P451,매칭테이블!$G:$J,3,0)</f>
        <v>325570.7</v>
      </c>
      <c r="N451" s="19">
        <f>VLOOKUP($P451,매칭테이블!$G:$J,4,0)*H451</f>
        <v>22358</v>
      </c>
      <c r="O451" s="20">
        <f t="shared" si="83"/>
        <v>314363.63636363635</v>
      </c>
      <c r="P451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52" spans="2:16" x14ac:dyDescent="0.3">
      <c r="B452" s="2">
        <v>44192</v>
      </c>
      <c r="C452" s="19" t="str">
        <f t="shared" si="84"/>
        <v>일</v>
      </c>
      <c r="E452" s="17" t="str">
        <f>INDEX(매칭테이블!C:C,MATCH(RD!G452,매칭테이블!D:D,0))</f>
        <v>트리트먼트</v>
      </c>
      <c r="F452" t="s">
        <v>91</v>
      </c>
      <c r="G452" t="s">
        <v>120</v>
      </c>
      <c r="H452">
        <v>3</v>
      </c>
      <c r="I452" s="17" t="str">
        <f>VLOOKUP(G452,매칭테이블!D:E,2,0)</f>
        <v>트리트먼트 3set</v>
      </c>
      <c r="J452">
        <v>201210</v>
      </c>
      <c r="L452" s="19">
        <f>VLOOKUP($P452,매칭테이블!$G:$J,2,0)*H452</f>
        <v>210600</v>
      </c>
      <c r="M452" s="19">
        <f>L452-L452*VLOOKUP($P452,매칭테이블!$G:$J,3,0)</f>
        <v>198279.9</v>
      </c>
      <c r="N452" s="19">
        <f>VLOOKUP($P452,매칭테이블!$G:$J,4,0)*H452</f>
        <v>14373</v>
      </c>
      <c r="O452" s="20">
        <f t="shared" si="83"/>
        <v>191454.54545454544</v>
      </c>
      <c r="P452" s="19" t="str">
        <f t="shared" si="78"/>
        <v>카페24트리트먼트HAIR RÉ:COVERY 15 Hairpack Treatment [라베나 리커버리 15 헤어팩 트리트먼트]제품선택=헤어팩 트리트먼트 3개 세트 10% 추가할인201210</v>
      </c>
    </row>
    <row r="453" spans="2:16" x14ac:dyDescent="0.3">
      <c r="B453" s="2">
        <v>44192</v>
      </c>
      <c r="C453" s="19" t="str">
        <f t="shared" si="84"/>
        <v>일</v>
      </c>
      <c r="E453" s="17" t="str">
        <f>INDEX(매칭테이블!C:C,MATCH(RD!G453,매칭테이블!D:D,0))</f>
        <v>트리트먼트</v>
      </c>
      <c r="F453" t="s">
        <v>91</v>
      </c>
      <c r="G453" t="s">
        <v>117</v>
      </c>
      <c r="H453">
        <v>1</v>
      </c>
      <c r="I453" s="17" t="str">
        <f>VLOOKUP(G453,매칭테이블!D:E,2,0)</f>
        <v>트리트먼트+뉴트리셔스밤</v>
      </c>
      <c r="J453">
        <v>201210</v>
      </c>
      <c r="L453" s="19">
        <f>VLOOKUP($P453,매칭테이블!$G:$J,2,0)*H453</f>
        <v>48355</v>
      </c>
      <c r="M453" s="19">
        <f>L453-L453*VLOOKUP($P453,매칭테이블!$G:$J,3,0)</f>
        <v>45526.232499999998</v>
      </c>
      <c r="N453" s="19">
        <f>VLOOKUP($P453,매칭테이블!$G:$J,4,0)*H453</f>
        <v>3177</v>
      </c>
      <c r="O453" s="20">
        <f t="shared" si="83"/>
        <v>43959.090909090904</v>
      </c>
      <c r="P453" s="19" t="str">
        <f t="shared" si="78"/>
        <v>카페24트리트먼트HAIR RÉ:COVERY 15 Hairpack Treatment [라베나 리커버리 15 헤어팩 트리트먼트]제품선택=헤어팩 트리트먼트 1개 + 뉴트리셔스밤 1개 세트 5% 추가할인201210</v>
      </c>
    </row>
    <row r="454" spans="2:16" x14ac:dyDescent="0.3">
      <c r="B454" s="2">
        <v>44192</v>
      </c>
      <c r="C454" s="19" t="str">
        <f t="shared" si="84"/>
        <v>일</v>
      </c>
      <c r="E454" s="17" t="str">
        <f>INDEX(매칭테이블!C:C,MATCH(RD!G454,매칭테이블!D:D,0))</f>
        <v>뉴트리셔스밤</v>
      </c>
      <c r="F454" t="s">
        <v>91</v>
      </c>
      <c r="G454" t="s">
        <v>118</v>
      </c>
      <c r="H454">
        <v>24</v>
      </c>
      <c r="I454" s="17" t="str">
        <f>VLOOKUP(G454,매칭테이블!D:E,2,0)</f>
        <v>뉴트리셔스밤</v>
      </c>
      <c r="J454">
        <v>201210</v>
      </c>
      <c r="L454" s="19">
        <f>VLOOKUP($P454,매칭테이블!$G:$J,2,0)*H454</f>
        <v>597600</v>
      </c>
      <c r="M454" s="19">
        <f>L454-L454*VLOOKUP($P454,매칭테이블!$G:$J,3,0)</f>
        <v>562640.4</v>
      </c>
      <c r="N454" s="19">
        <f>VLOOKUP($P454,매칭테이블!$G:$J,4,0)*H454</f>
        <v>37920</v>
      </c>
      <c r="O454" s="20">
        <f t="shared" si="83"/>
        <v>543272.72727272718</v>
      </c>
      <c r="P454" s="19" t="str">
        <f t="shared" si="78"/>
        <v>카페24뉴트리셔스밤HAIR RÉ:COVERY 15 Nutritious Balm [라베나 리커버리 15 뉴트리셔스 밤]제품선택=헤어 리커버리 15 뉴트리셔스 밤201210</v>
      </c>
    </row>
    <row r="455" spans="2:16" x14ac:dyDescent="0.3">
      <c r="B455" s="2">
        <v>44192</v>
      </c>
      <c r="C455" s="19" t="str">
        <f t="shared" si="84"/>
        <v>일</v>
      </c>
      <c r="E455" s="17" t="str">
        <f>INDEX(매칭테이블!C:C,MATCH(RD!G455,매칭테이블!D:D,0))</f>
        <v>뉴트리셔스밤</v>
      </c>
      <c r="F455" t="s">
        <v>91</v>
      </c>
      <c r="G455" t="s">
        <v>121</v>
      </c>
      <c r="H455">
        <v>7</v>
      </c>
      <c r="I455" s="17" t="str">
        <f>VLOOKUP(G455,매칭테이블!D:E,2,0)</f>
        <v>뉴트리셔스밤 2set</v>
      </c>
      <c r="J455">
        <v>201210</v>
      </c>
      <c r="L455" s="19">
        <f>VLOOKUP($P455,매칭테이블!$G:$J,2,0)*H455</f>
        <v>331170</v>
      </c>
      <c r="M455" s="19">
        <f>L455-L455*VLOOKUP($P455,매칭테이블!$G:$J,3,0)</f>
        <v>311796.55499999999</v>
      </c>
      <c r="N455" s="19">
        <f>VLOOKUP($P455,매칭테이블!$G:$J,4,0)*H455</f>
        <v>22120</v>
      </c>
      <c r="O455" s="20">
        <f t="shared" si="83"/>
        <v>301063.63636363635</v>
      </c>
      <c r="P455" s="19" t="str">
        <f t="shared" si="78"/>
        <v>카페24뉴트리셔스밤HAIR RÉ:COVERY 15 Nutritious Balm [라베나 리커버리 15 뉴트리셔스 밤]제품선택=뉴트리셔스 밤 2개 세트 5% 추가할인201210</v>
      </c>
    </row>
    <row r="456" spans="2:16" x14ac:dyDescent="0.3">
      <c r="B456" s="2">
        <v>44192</v>
      </c>
      <c r="C456" s="19" t="str">
        <f t="shared" si="84"/>
        <v>일</v>
      </c>
      <c r="E456" s="17" t="str">
        <f>INDEX(매칭테이블!C:C,MATCH(RD!G456,매칭테이블!D:D,0))</f>
        <v>뉴트리셔스밤</v>
      </c>
      <c r="F456" t="s">
        <v>91</v>
      </c>
      <c r="G456" t="s">
        <v>119</v>
      </c>
      <c r="H456">
        <v>1</v>
      </c>
      <c r="I456" s="17" t="str">
        <f>VLOOKUP(G456,매칭테이블!D:E,2,0)</f>
        <v>뉴트리셔스밤 3set</v>
      </c>
      <c r="J456">
        <v>201210</v>
      </c>
      <c r="L456" s="19">
        <f>VLOOKUP($P456,매칭테이블!$G:$J,2,0)*H456</f>
        <v>67230</v>
      </c>
      <c r="M456" s="19">
        <f>L456-L456*VLOOKUP($P456,매칭테이블!$G:$J,3,0)</f>
        <v>63297.044999999998</v>
      </c>
      <c r="N456" s="19">
        <f>VLOOKUP($P456,매칭테이블!$G:$J,4,0)*H456</f>
        <v>4740</v>
      </c>
      <c r="O456" s="20">
        <f t="shared" si="83"/>
        <v>61118.181818181816</v>
      </c>
      <c r="P456" s="19" t="str">
        <f t="shared" si="78"/>
        <v>카페24뉴트리셔스밤HAIR RÉ:COVERY 15 Nutritious Balm [라베나 리커버리 15 뉴트리셔스 밤]제품선택=뉴트리셔스 밤 3개 세트 10% 추가할인201210</v>
      </c>
    </row>
    <row r="457" spans="2:16" x14ac:dyDescent="0.3">
      <c r="B457" s="2">
        <v>44192</v>
      </c>
      <c r="C457" s="19" t="str">
        <f t="shared" si="84"/>
        <v>일</v>
      </c>
      <c r="E457" s="17" t="str">
        <f>INDEX(매칭테이블!C:C,MATCH(RD!G457,매칭테이블!D:D,0))</f>
        <v>뉴트리셔스밤</v>
      </c>
      <c r="F457" t="s">
        <v>91</v>
      </c>
      <c r="G457" t="s">
        <v>122</v>
      </c>
      <c r="H457">
        <v>2</v>
      </c>
      <c r="I457" s="17" t="str">
        <f>VLOOKUP(G457,매칭테이블!D:E,2,0)</f>
        <v>트리트먼트+뉴트리셔스밤</v>
      </c>
      <c r="J457">
        <v>201210</v>
      </c>
      <c r="L457" s="19">
        <f>VLOOKUP($P457,매칭테이블!$G:$J,2,0)*H457</f>
        <v>96710</v>
      </c>
      <c r="M457" s="19">
        <f>L457-L457*VLOOKUP($P457,매칭테이블!$G:$J,3,0)</f>
        <v>91052.464999999997</v>
      </c>
      <c r="N457" s="19">
        <f>VLOOKUP($P457,매칭테이블!$G:$J,4,0)*H457</f>
        <v>6354</v>
      </c>
      <c r="O457" s="20">
        <f t="shared" si="83"/>
        <v>87918.181818181809</v>
      </c>
      <c r="P457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58" spans="2:16" x14ac:dyDescent="0.3">
      <c r="B458" s="2">
        <v>44192</v>
      </c>
      <c r="C458" s="19" t="str">
        <f t="shared" si="84"/>
        <v>일</v>
      </c>
      <c r="E458" s="17" t="str">
        <f>INDEX(매칭테이블!C:C,MATCH(RD!G458,매칭테이블!D:D,0))</f>
        <v>샴푸</v>
      </c>
      <c r="F458" t="s">
        <v>91</v>
      </c>
      <c r="G458" t="s">
        <v>92</v>
      </c>
      <c r="H458">
        <v>11</v>
      </c>
      <c r="I458" s="17" t="str">
        <f>VLOOKUP(G458,매칭테이블!D:E,2,0)</f>
        <v>리바이탈 샴푸</v>
      </c>
      <c r="J458">
        <v>201210</v>
      </c>
      <c r="L458" s="19">
        <f>VLOOKUP($P458,매칭테이블!$G:$J,2,0)*H458</f>
        <v>295900</v>
      </c>
      <c r="M458" s="19">
        <f>L458-L458*VLOOKUP($P458,매칭테이블!$G:$J,3,0)</f>
        <v>278589.84999999998</v>
      </c>
      <c r="N458" s="19">
        <f>VLOOKUP($P458,매칭테이블!$G:$J,4,0)*H458</f>
        <v>33220</v>
      </c>
      <c r="O458" s="20">
        <f t="shared" si="83"/>
        <v>269000</v>
      </c>
      <c r="P458" s="19" t="str">
        <f t="shared" si="78"/>
        <v>카페24샴푸HAIR RÉ:COVERY 15 Revital Shampoo [라베나 리커버리 15 리바이탈 샴푸]제품선택=헤어 리커버리 15 리바이탈 샴푸 - 500ml201210</v>
      </c>
    </row>
    <row r="459" spans="2:16" x14ac:dyDescent="0.3">
      <c r="B459" s="2">
        <v>44192</v>
      </c>
      <c r="C459" s="19" t="str">
        <f t="shared" si="84"/>
        <v>일</v>
      </c>
      <c r="E459" s="17" t="str">
        <f>INDEX(매칭테이블!C:C,MATCH(RD!G459,매칭테이블!D:D,0))</f>
        <v>샴푸</v>
      </c>
      <c r="F459" t="s">
        <v>91</v>
      </c>
      <c r="G459" t="s">
        <v>93</v>
      </c>
      <c r="H459">
        <v>2</v>
      </c>
      <c r="I459" s="17" t="str">
        <f>VLOOKUP(G459,매칭테이블!D:E,2,0)</f>
        <v>리바이탈 샴푸</v>
      </c>
      <c r="J459">
        <v>201210</v>
      </c>
      <c r="L459" s="19">
        <f>VLOOKUP($P459,매칭테이블!$G:$J,2,0)*H459</f>
        <v>102220</v>
      </c>
      <c r="M459" s="19">
        <f>L459-L459*VLOOKUP($P459,매칭테이블!$G:$J,3,0)</f>
        <v>96240.13</v>
      </c>
      <c r="N459" s="19">
        <f>VLOOKUP($P459,매칭테이블!$G:$J,4,0)*H459</f>
        <v>12080</v>
      </c>
      <c r="O459" s="20">
        <f t="shared" si="83"/>
        <v>92927.272727272721</v>
      </c>
      <c r="P459" s="19" t="str">
        <f t="shared" si="78"/>
        <v>카페24샴푸HAIR RÉ:COVERY 15 Revital Shampoo [라베나 리커버리 15 리바이탈 샴푸]제품선택=리바이탈 샴푸 2개 세트 5%추가할인201210</v>
      </c>
    </row>
    <row r="460" spans="2:16" x14ac:dyDescent="0.3">
      <c r="B460" s="2">
        <v>44192</v>
      </c>
      <c r="C460" s="19" t="str">
        <f t="shared" si="84"/>
        <v>일</v>
      </c>
      <c r="E460" s="17" t="str">
        <f>INDEX(매칭테이블!C:C,MATCH(RD!G460,매칭테이블!D:D,0))</f>
        <v>샴푸</v>
      </c>
      <c r="F460" t="s">
        <v>91</v>
      </c>
      <c r="G460" t="s">
        <v>94</v>
      </c>
      <c r="H460">
        <v>3</v>
      </c>
      <c r="I460" s="17" t="str">
        <f>VLOOKUP(G460,매칭테이블!D:E,2,0)</f>
        <v>리바이탈 샴푸 3set</v>
      </c>
      <c r="J460">
        <v>201210</v>
      </c>
      <c r="L460" s="19">
        <f>VLOOKUP($P460,매칭테이블!$G:$J,2,0)*H460</f>
        <v>217890</v>
      </c>
      <c r="M460" s="19">
        <f>L460-L460*VLOOKUP($P460,매칭테이블!$G:$J,3,0)</f>
        <v>205143.435</v>
      </c>
      <c r="N460" s="19">
        <f>VLOOKUP($P460,매칭테이블!$G:$J,4,0)*H460</f>
        <v>27180</v>
      </c>
      <c r="O460" s="20">
        <f t="shared" si="83"/>
        <v>198081.81818181818</v>
      </c>
      <c r="P460" s="19" t="str">
        <f t="shared" si="78"/>
        <v>카페24샴푸HAIR RÉ:COVERY 15 Revital Shampoo [라베나 리커버리 15 리바이탈 샴푸]제품선택=리바이탈 샴푸 3개 세트 10% 추가할인201210</v>
      </c>
    </row>
    <row r="461" spans="2:16" x14ac:dyDescent="0.3">
      <c r="B461" s="2">
        <v>44193</v>
      </c>
      <c r="C461" s="19" t="str">
        <f t="shared" si="84"/>
        <v>월</v>
      </c>
      <c r="E461" s="17" t="str">
        <f>INDEX(매칭테이블!C:C,MATCH(RD!G461,매칭테이블!D:D,0))</f>
        <v>트리트먼트</v>
      </c>
      <c r="F461" t="s">
        <v>91</v>
      </c>
      <c r="G461" t="s">
        <v>115</v>
      </c>
      <c r="H461">
        <v>15</v>
      </c>
      <c r="I461" s="17" t="str">
        <f>VLOOKUP(G461,매칭테이블!D:E,2,0)</f>
        <v>트리트먼트</v>
      </c>
      <c r="J461">
        <v>201210</v>
      </c>
      <c r="L461" s="19">
        <f>VLOOKUP($P461,매칭테이블!$G:$J,2,0)*H461</f>
        <v>390000</v>
      </c>
      <c r="M461" s="19">
        <f>L461-L461*VLOOKUP($P461,매칭테이블!$G:$J,3,0)</f>
        <v>367185</v>
      </c>
      <c r="N461" s="19">
        <f>VLOOKUP($P461,매칭테이블!$G:$J,4,0)*H461</f>
        <v>23955</v>
      </c>
      <c r="O461" s="20">
        <f t="shared" ref="O461:O471" si="85">L461/1.1</f>
        <v>354545.45454545453</v>
      </c>
      <c r="P461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62" spans="2:16" x14ac:dyDescent="0.3">
      <c r="B462" s="2">
        <v>44193</v>
      </c>
      <c r="C462" s="19" t="str">
        <f t="shared" ref="C462:C472" si="86">TEXT(B462,"aaa")</f>
        <v>월</v>
      </c>
      <c r="E462" s="17" t="str">
        <f>INDEX(매칭테이블!C:C,MATCH(RD!G462,매칭테이블!D:D,0))</f>
        <v>트리트먼트</v>
      </c>
      <c r="F462" t="s">
        <v>91</v>
      </c>
      <c r="G462" t="s">
        <v>116</v>
      </c>
      <c r="H462">
        <v>4</v>
      </c>
      <c r="I462" s="17" t="str">
        <f>VLOOKUP(G462,매칭테이블!D:E,2,0)</f>
        <v>트리트먼트 2set</v>
      </c>
      <c r="J462">
        <v>201210</v>
      </c>
      <c r="L462" s="19">
        <f>VLOOKUP($P462,매칭테이블!$G:$J,2,0)*H462</f>
        <v>197600</v>
      </c>
      <c r="M462" s="19">
        <f>L462-L462*VLOOKUP($P462,매칭테이블!$G:$J,3,0)</f>
        <v>186040.4</v>
      </c>
      <c r="N462" s="19">
        <f>VLOOKUP($P462,매칭테이블!$G:$J,4,0)*H462</f>
        <v>12776</v>
      </c>
      <c r="O462" s="20">
        <f t="shared" si="85"/>
        <v>179636.36363636362</v>
      </c>
      <c r="P462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63" spans="2:16" x14ac:dyDescent="0.3">
      <c r="B463" s="2">
        <v>44193</v>
      </c>
      <c r="C463" s="19" t="str">
        <f t="shared" si="86"/>
        <v>월</v>
      </c>
      <c r="E463" s="17" t="str">
        <f>INDEX(매칭테이블!C:C,MATCH(RD!G463,매칭테이블!D:D,0))</f>
        <v>트리트먼트</v>
      </c>
      <c r="F463" t="s">
        <v>91</v>
      </c>
      <c r="G463" t="s">
        <v>120</v>
      </c>
      <c r="H463">
        <v>4</v>
      </c>
      <c r="I463" s="17" t="str">
        <f>VLOOKUP(G463,매칭테이블!D:E,2,0)</f>
        <v>트리트먼트 3set</v>
      </c>
      <c r="J463">
        <v>201210</v>
      </c>
      <c r="L463" s="19">
        <f>VLOOKUP($P463,매칭테이블!$G:$J,2,0)*H463</f>
        <v>280800</v>
      </c>
      <c r="M463" s="19">
        <f>L463-L463*VLOOKUP($P463,매칭테이블!$G:$J,3,0)</f>
        <v>264373.2</v>
      </c>
      <c r="N463" s="19">
        <f>VLOOKUP($P463,매칭테이블!$G:$J,4,0)*H463</f>
        <v>19164</v>
      </c>
      <c r="O463" s="20">
        <f t="shared" si="85"/>
        <v>255272.72727272726</v>
      </c>
      <c r="P463" s="19" t="str">
        <f t="shared" si="78"/>
        <v>카페24트리트먼트HAIR RÉ:COVERY 15 Hairpack Treatment [라베나 리커버리 15 헤어팩 트리트먼트]제품선택=헤어팩 트리트먼트 3개 세트 10% 추가할인201210</v>
      </c>
    </row>
    <row r="464" spans="2:16" x14ac:dyDescent="0.3">
      <c r="B464" s="2">
        <v>44193</v>
      </c>
      <c r="C464" s="19" t="str">
        <f t="shared" si="86"/>
        <v>월</v>
      </c>
      <c r="E464" s="17" t="str">
        <f>INDEX(매칭테이블!C:C,MATCH(RD!G464,매칭테이블!D:D,0))</f>
        <v>트리트먼트</v>
      </c>
      <c r="F464" t="s">
        <v>91</v>
      </c>
      <c r="G464" t="s">
        <v>117</v>
      </c>
      <c r="H464">
        <v>6</v>
      </c>
      <c r="I464" s="17" t="str">
        <f>VLOOKUP(G464,매칭테이블!D:E,2,0)</f>
        <v>트리트먼트+뉴트리셔스밤</v>
      </c>
      <c r="J464">
        <v>201210</v>
      </c>
      <c r="L464" s="19">
        <f>VLOOKUP($P464,매칭테이블!$G:$J,2,0)*H464</f>
        <v>290130</v>
      </c>
      <c r="M464" s="19">
        <f>L464-L464*VLOOKUP($P464,매칭테이블!$G:$J,3,0)</f>
        <v>273157.39500000002</v>
      </c>
      <c r="N464" s="19">
        <f>VLOOKUP($P464,매칭테이블!$G:$J,4,0)*H464</f>
        <v>19062</v>
      </c>
      <c r="O464" s="20">
        <f t="shared" si="85"/>
        <v>263754.54545454541</v>
      </c>
      <c r="P464" s="19" t="str">
        <f t="shared" si="78"/>
        <v>카페24트리트먼트HAIR RÉ:COVERY 15 Hairpack Treatment [라베나 리커버리 15 헤어팩 트리트먼트]제품선택=헤어팩 트리트먼트 1개 + 뉴트리셔스밤 1개 세트 5% 추가할인201210</v>
      </c>
    </row>
    <row r="465" spans="2:16" x14ac:dyDescent="0.3">
      <c r="B465" s="2">
        <v>44193</v>
      </c>
      <c r="C465" s="19" t="str">
        <f t="shared" si="86"/>
        <v>월</v>
      </c>
      <c r="E465" s="17" t="str">
        <f>INDEX(매칭테이블!C:C,MATCH(RD!G465,매칭테이블!D:D,0))</f>
        <v>뉴트리셔스밤</v>
      </c>
      <c r="F465" t="s">
        <v>91</v>
      </c>
      <c r="G465" t="s">
        <v>118</v>
      </c>
      <c r="H465">
        <v>20</v>
      </c>
      <c r="I465" s="17" t="str">
        <f>VLOOKUP(G465,매칭테이블!D:E,2,0)</f>
        <v>뉴트리셔스밤</v>
      </c>
      <c r="J465">
        <v>201210</v>
      </c>
      <c r="L465" s="19">
        <f>VLOOKUP($P465,매칭테이블!$G:$J,2,0)*H465</f>
        <v>498000</v>
      </c>
      <c r="M465" s="19">
        <f>L465-L465*VLOOKUP($P465,매칭테이블!$G:$J,3,0)</f>
        <v>468867</v>
      </c>
      <c r="N465" s="19">
        <f>VLOOKUP($P465,매칭테이블!$G:$J,4,0)*H465</f>
        <v>31600</v>
      </c>
      <c r="O465" s="20">
        <f t="shared" si="85"/>
        <v>452727.27272727271</v>
      </c>
      <c r="P465" s="19" t="str">
        <f t="shared" si="78"/>
        <v>카페24뉴트리셔스밤HAIR RÉ:COVERY 15 Nutritious Balm [라베나 리커버리 15 뉴트리셔스 밤]제품선택=헤어 리커버리 15 뉴트리셔스 밤201210</v>
      </c>
    </row>
    <row r="466" spans="2:16" x14ac:dyDescent="0.3">
      <c r="B466" s="2">
        <v>44193</v>
      </c>
      <c r="C466" s="19" t="str">
        <f t="shared" si="86"/>
        <v>월</v>
      </c>
      <c r="E466" s="17" t="str">
        <f>INDEX(매칭테이블!C:C,MATCH(RD!G466,매칭테이블!D:D,0))</f>
        <v>뉴트리셔스밤</v>
      </c>
      <c r="F466" t="s">
        <v>91</v>
      </c>
      <c r="G466" t="s">
        <v>121</v>
      </c>
      <c r="H466">
        <v>3</v>
      </c>
      <c r="I466" s="17" t="str">
        <f>VLOOKUP(G466,매칭테이블!D:E,2,0)</f>
        <v>뉴트리셔스밤 2set</v>
      </c>
      <c r="J466">
        <v>201210</v>
      </c>
      <c r="L466" s="19">
        <f>VLOOKUP($P466,매칭테이블!$G:$J,2,0)*H466</f>
        <v>141930</v>
      </c>
      <c r="M466" s="19">
        <f>L466-L466*VLOOKUP($P466,매칭테이블!$G:$J,3,0)</f>
        <v>133627.095</v>
      </c>
      <c r="N466" s="19">
        <f>VLOOKUP($P466,매칭테이블!$G:$J,4,0)*H466</f>
        <v>9480</v>
      </c>
      <c r="O466" s="20">
        <f t="shared" si="85"/>
        <v>129027.27272727272</v>
      </c>
      <c r="P466" s="19" t="str">
        <f t="shared" si="78"/>
        <v>카페24뉴트리셔스밤HAIR RÉ:COVERY 15 Nutritious Balm [라베나 리커버리 15 뉴트리셔스 밤]제품선택=뉴트리셔스 밤 2개 세트 5% 추가할인201210</v>
      </c>
    </row>
    <row r="467" spans="2:16" x14ac:dyDescent="0.3">
      <c r="B467" s="2">
        <v>44193</v>
      </c>
      <c r="C467" s="19" t="str">
        <f t="shared" si="86"/>
        <v>월</v>
      </c>
      <c r="E467" s="17" t="str">
        <f>INDEX(매칭테이블!C:C,MATCH(RD!G467,매칭테이블!D:D,0))</f>
        <v>뉴트리셔스밤</v>
      </c>
      <c r="F467" t="s">
        <v>91</v>
      </c>
      <c r="G467" t="s">
        <v>119</v>
      </c>
      <c r="H467">
        <v>1</v>
      </c>
      <c r="I467" s="17" t="str">
        <f>VLOOKUP(G467,매칭테이블!D:E,2,0)</f>
        <v>뉴트리셔스밤 3set</v>
      </c>
      <c r="J467">
        <v>201210</v>
      </c>
      <c r="L467" s="19">
        <f>VLOOKUP($P467,매칭테이블!$G:$J,2,0)*H467</f>
        <v>67230</v>
      </c>
      <c r="M467" s="19">
        <f>L467-L467*VLOOKUP($P467,매칭테이블!$G:$J,3,0)</f>
        <v>63297.044999999998</v>
      </c>
      <c r="N467" s="19">
        <f>VLOOKUP($P467,매칭테이블!$G:$J,4,0)*H467</f>
        <v>4740</v>
      </c>
      <c r="O467" s="20">
        <f t="shared" si="85"/>
        <v>61118.181818181816</v>
      </c>
      <c r="P467" s="19" t="str">
        <f t="shared" si="78"/>
        <v>카페24뉴트리셔스밤HAIR RÉ:COVERY 15 Nutritious Balm [라베나 리커버리 15 뉴트리셔스 밤]제품선택=뉴트리셔스 밤 3개 세트 10% 추가할인201210</v>
      </c>
    </row>
    <row r="468" spans="2:16" x14ac:dyDescent="0.3">
      <c r="B468" s="2">
        <v>44193</v>
      </c>
      <c r="C468" s="19" t="str">
        <f t="shared" si="86"/>
        <v>월</v>
      </c>
      <c r="E468" s="17" t="str">
        <f>INDEX(매칭테이블!C:C,MATCH(RD!G468,매칭테이블!D:D,0))</f>
        <v>뉴트리셔스밤</v>
      </c>
      <c r="F468" t="s">
        <v>91</v>
      </c>
      <c r="G468" t="s">
        <v>122</v>
      </c>
      <c r="H468">
        <v>5</v>
      </c>
      <c r="I468" s="17" t="str">
        <f>VLOOKUP(G468,매칭테이블!D:E,2,0)</f>
        <v>트리트먼트+뉴트리셔스밤</v>
      </c>
      <c r="J468">
        <v>201210</v>
      </c>
      <c r="L468" s="19">
        <f>VLOOKUP($P468,매칭테이블!$G:$J,2,0)*H468</f>
        <v>241775</v>
      </c>
      <c r="M468" s="19">
        <f>L468-L468*VLOOKUP($P468,매칭테이블!$G:$J,3,0)</f>
        <v>227631.16250000001</v>
      </c>
      <c r="N468" s="19">
        <f>VLOOKUP($P468,매칭테이블!$G:$J,4,0)*H468</f>
        <v>15885</v>
      </c>
      <c r="O468" s="20">
        <f t="shared" si="85"/>
        <v>219795.45454545453</v>
      </c>
      <c r="P468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69" spans="2:16" x14ac:dyDescent="0.3">
      <c r="B469" s="2">
        <v>44193</v>
      </c>
      <c r="C469" s="19" t="str">
        <f t="shared" si="86"/>
        <v>월</v>
      </c>
      <c r="E469" s="17" t="str">
        <f>INDEX(매칭테이블!C:C,MATCH(RD!G469,매칭테이블!D:D,0))</f>
        <v>샴푸</v>
      </c>
      <c r="F469" t="s">
        <v>91</v>
      </c>
      <c r="G469" t="s">
        <v>92</v>
      </c>
      <c r="H469">
        <v>15</v>
      </c>
      <c r="I469" s="17" t="str">
        <f>VLOOKUP(G469,매칭테이블!D:E,2,0)</f>
        <v>리바이탈 샴푸</v>
      </c>
      <c r="J469">
        <v>201210</v>
      </c>
      <c r="L469" s="19">
        <f>VLOOKUP($P469,매칭테이블!$G:$J,2,0)*H469</f>
        <v>403500</v>
      </c>
      <c r="M469" s="19">
        <f>L469-L469*VLOOKUP($P469,매칭테이블!$G:$J,3,0)</f>
        <v>379895.25</v>
      </c>
      <c r="N469" s="19">
        <f>VLOOKUP($P469,매칭테이블!$G:$J,4,0)*H469</f>
        <v>45300</v>
      </c>
      <c r="O469" s="20">
        <f t="shared" si="85"/>
        <v>366818.18181818177</v>
      </c>
      <c r="P469" s="19" t="str">
        <f t="shared" si="78"/>
        <v>카페24샴푸HAIR RÉ:COVERY 15 Revital Shampoo [라베나 리커버리 15 리바이탈 샴푸]제품선택=헤어 리커버리 15 리바이탈 샴푸 - 500ml201210</v>
      </c>
    </row>
    <row r="470" spans="2:16" x14ac:dyDescent="0.3">
      <c r="B470" s="2">
        <v>44193</v>
      </c>
      <c r="C470" s="19" t="str">
        <f t="shared" si="86"/>
        <v>월</v>
      </c>
      <c r="E470" s="17" t="str">
        <f>INDEX(매칭테이블!C:C,MATCH(RD!G470,매칭테이블!D:D,0))</f>
        <v>샴푸</v>
      </c>
      <c r="F470" t="s">
        <v>91</v>
      </c>
      <c r="G470" t="s">
        <v>93</v>
      </c>
      <c r="H470">
        <v>5</v>
      </c>
      <c r="I470" s="17" t="str">
        <f>VLOOKUP(G470,매칭테이블!D:E,2,0)</f>
        <v>리바이탈 샴푸</v>
      </c>
      <c r="J470">
        <v>201210</v>
      </c>
      <c r="L470" s="19">
        <f>VLOOKUP($P470,매칭테이블!$G:$J,2,0)*H470</f>
        <v>255550</v>
      </c>
      <c r="M470" s="19">
        <f>L470-L470*VLOOKUP($P470,매칭테이블!$G:$J,3,0)</f>
        <v>240600.32500000001</v>
      </c>
      <c r="N470" s="19">
        <f>VLOOKUP($P470,매칭테이블!$G:$J,4,0)*H470</f>
        <v>30200</v>
      </c>
      <c r="O470" s="20">
        <f t="shared" si="85"/>
        <v>232318.18181818179</v>
      </c>
      <c r="P470" s="19" t="str">
        <f t="shared" si="78"/>
        <v>카페24샴푸HAIR RÉ:COVERY 15 Revital Shampoo [라베나 리커버리 15 리바이탈 샴푸]제품선택=리바이탈 샴푸 2개 세트 5%추가할인201210</v>
      </c>
    </row>
    <row r="471" spans="2:16" x14ac:dyDescent="0.3">
      <c r="B471" s="2">
        <v>44193</v>
      </c>
      <c r="C471" s="19" t="str">
        <f t="shared" si="86"/>
        <v>월</v>
      </c>
      <c r="E471" s="17" t="str">
        <f>INDEX(매칭테이블!C:C,MATCH(RD!G471,매칭테이블!D:D,0))</f>
        <v>샴푸</v>
      </c>
      <c r="F471" t="s">
        <v>91</v>
      </c>
      <c r="G471" t="s">
        <v>94</v>
      </c>
      <c r="H471">
        <v>3</v>
      </c>
      <c r="I471" s="17" t="str">
        <f>VLOOKUP(G471,매칭테이블!D:E,2,0)</f>
        <v>리바이탈 샴푸 3set</v>
      </c>
      <c r="J471">
        <v>201210</v>
      </c>
      <c r="L471" s="19">
        <f>VLOOKUP($P471,매칭테이블!$G:$J,2,0)*H471</f>
        <v>217890</v>
      </c>
      <c r="M471" s="19">
        <f>L471-L471*VLOOKUP($P471,매칭테이블!$G:$J,3,0)</f>
        <v>205143.435</v>
      </c>
      <c r="N471" s="19">
        <f>VLOOKUP($P471,매칭테이블!$G:$J,4,0)*H471</f>
        <v>27180</v>
      </c>
      <c r="O471" s="20">
        <f t="shared" si="85"/>
        <v>198081.81818181818</v>
      </c>
      <c r="P471" s="19" t="str">
        <f t="shared" si="78"/>
        <v>카페24샴푸HAIR RÉ:COVERY 15 Revital Shampoo [라베나 리커버리 15 리바이탈 샴푸]제품선택=리바이탈 샴푸 3개 세트 10% 추가할인201210</v>
      </c>
    </row>
    <row r="472" spans="2:16" x14ac:dyDescent="0.3">
      <c r="B472" s="2">
        <v>44194</v>
      </c>
      <c r="C472" s="19" t="str">
        <f t="shared" si="86"/>
        <v>화</v>
      </c>
      <c r="E472" s="17" t="str">
        <f>INDEX(매칭테이블!C:C,MATCH(RD!G472,매칭테이블!D:D,0))</f>
        <v>트리트먼트</v>
      </c>
      <c r="F472" t="s">
        <v>91</v>
      </c>
      <c r="G472" t="s">
        <v>115</v>
      </c>
      <c r="H472">
        <v>8</v>
      </c>
      <c r="I472" s="17" t="str">
        <f>VLOOKUP(G472,매칭테이블!D:E,2,0)</f>
        <v>트리트먼트</v>
      </c>
      <c r="J472">
        <v>201210</v>
      </c>
      <c r="L472" s="19">
        <f>VLOOKUP($P472,매칭테이블!$G:$J,2,0)*H472</f>
        <v>208000</v>
      </c>
      <c r="M472" s="19">
        <f>L472-L472*VLOOKUP($P472,매칭테이블!$G:$J,3,0)</f>
        <v>195832</v>
      </c>
      <c r="N472" s="19">
        <f>VLOOKUP($P472,매칭테이블!$G:$J,4,0)*H472</f>
        <v>12776</v>
      </c>
      <c r="O472" s="20">
        <f t="shared" ref="O472:O482" si="87">L472/1.1</f>
        <v>189090.90909090909</v>
      </c>
      <c r="P472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73" spans="2:16" x14ac:dyDescent="0.3">
      <c r="B473" s="2">
        <v>44194</v>
      </c>
      <c r="C473" s="19" t="str">
        <f t="shared" ref="C473:C483" si="88">TEXT(B473,"aaa")</f>
        <v>화</v>
      </c>
      <c r="E473" s="17" t="str">
        <f>INDEX(매칭테이블!C:C,MATCH(RD!G473,매칭테이블!D:D,0))</f>
        <v>트리트먼트</v>
      </c>
      <c r="F473" t="s">
        <v>91</v>
      </c>
      <c r="G473" t="s">
        <v>116</v>
      </c>
      <c r="H473">
        <v>4</v>
      </c>
      <c r="I473" s="17" t="str">
        <f>VLOOKUP(G473,매칭테이블!D:E,2,0)</f>
        <v>트리트먼트 2set</v>
      </c>
      <c r="J473">
        <v>201210</v>
      </c>
      <c r="L473" s="19">
        <f>VLOOKUP($P473,매칭테이블!$G:$J,2,0)*H473</f>
        <v>197600</v>
      </c>
      <c r="M473" s="19">
        <f>L473-L473*VLOOKUP($P473,매칭테이블!$G:$J,3,0)</f>
        <v>186040.4</v>
      </c>
      <c r="N473" s="19">
        <f>VLOOKUP($P473,매칭테이블!$G:$J,4,0)*H473</f>
        <v>12776</v>
      </c>
      <c r="O473" s="20">
        <f t="shared" si="87"/>
        <v>179636.36363636362</v>
      </c>
      <c r="P473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74" spans="2:16" x14ac:dyDescent="0.3">
      <c r="B474" s="2">
        <v>44194</v>
      </c>
      <c r="C474" s="19" t="str">
        <f t="shared" si="88"/>
        <v>화</v>
      </c>
      <c r="E474" s="17" t="str">
        <f>INDEX(매칭테이블!C:C,MATCH(RD!G474,매칭테이블!D:D,0))</f>
        <v>트리트먼트</v>
      </c>
      <c r="F474" t="s">
        <v>91</v>
      </c>
      <c r="G474" t="s">
        <v>120</v>
      </c>
      <c r="H474">
        <v>1</v>
      </c>
      <c r="I474" s="17" t="str">
        <f>VLOOKUP(G474,매칭테이블!D:E,2,0)</f>
        <v>트리트먼트 3set</v>
      </c>
      <c r="J474">
        <v>201210</v>
      </c>
      <c r="L474" s="19">
        <f>VLOOKUP($P474,매칭테이블!$G:$J,2,0)*H474</f>
        <v>70200</v>
      </c>
      <c r="M474" s="19">
        <f>L474-L474*VLOOKUP($P474,매칭테이블!$G:$J,3,0)</f>
        <v>66093.3</v>
      </c>
      <c r="N474" s="19">
        <f>VLOOKUP($P474,매칭테이블!$G:$J,4,0)*H474</f>
        <v>4791</v>
      </c>
      <c r="O474" s="20">
        <f t="shared" si="87"/>
        <v>63818.181818181816</v>
      </c>
      <c r="P474" s="19" t="str">
        <f t="shared" si="78"/>
        <v>카페24트리트먼트HAIR RÉ:COVERY 15 Hairpack Treatment [라베나 리커버리 15 헤어팩 트리트먼트]제품선택=헤어팩 트리트먼트 3개 세트 10% 추가할인201210</v>
      </c>
    </row>
    <row r="475" spans="2:16" x14ac:dyDescent="0.3">
      <c r="B475" s="2">
        <v>44194</v>
      </c>
      <c r="C475" s="19" t="str">
        <f t="shared" si="88"/>
        <v>화</v>
      </c>
      <c r="E475" s="17" t="str">
        <f>INDEX(매칭테이블!C:C,MATCH(RD!G475,매칭테이블!D:D,0))</f>
        <v>트리트먼트</v>
      </c>
      <c r="F475" t="s">
        <v>91</v>
      </c>
      <c r="G475" t="s">
        <v>117</v>
      </c>
      <c r="H475">
        <v>1</v>
      </c>
      <c r="I475" s="17" t="str">
        <f>VLOOKUP(G475,매칭테이블!D:E,2,0)</f>
        <v>트리트먼트+뉴트리셔스밤</v>
      </c>
      <c r="J475">
        <v>201210</v>
      </c>
      <c r="L475" s="19">
        <f>VLOOKUP($P475,매칭테이블!$G:$J,2,0)*H475</f>
        <v>48355</v>
      </c>
      <c r="M475" s="19">
        <f>L475-L475*VLOOKUP($P475,매칭테이블!$G:$J,3,0)</f>
        <v>45526.232499999998</v>
      </c>
      <c r="N475" s="19">
        <f>VLOOKUP($P475,매칭테이블!$G:$J,4,0)*H475</f>
        <v>3177</v>
      </c>
      <c r="O475" s="20">
        <f t="shared" si="87"/>
        <v>43959.090909090904</v>
      </c>
      <c r="P475" s="19" t="str">
        <f t="shared" si="78"/>
        <v>카페24트리트먼트HAIR RÉ:COVERY 15 Hairpack Treatment [라베나 리커버리 15 헤어팩 트리트먼트]제품선택=헤어팩 트리트먼트 1개 + 뉴트리셔스밤 1개 세트 5% 추가할인201210</v>
      </c>
    </row>
    <row r="476" spans="2:16" x14ac:dyDescent="0.3">
      <c r="B476" s="2">
        <v>44194</v>
      </c>
      <c r="C476" s="19" t="str">
        <f t="shared" si="88"/>
        <v>화</v>
      </c>
      <c r="E476" s="17" t="str">
        <f>INDEX(매칭테이블!C:C,MATCH(RD!G476,매칭테이블!D:D,0))</f>
        <v>뉴트리셔스밤</v>
      </c>
      <c r="F476" t="s">
        <v>91</v>
      </c>
      <c r="G476" t="s">
        <v>118</v>
      </c>
      <c r="H476">
        <v>21</v>
      </c>
      <c r="I476" s="17" t="str">
        <f>VLOOKUP(G476,매칭테이블!D:E,2,0)</f>
        <v>뉴트리셔스밤</v>
      </c>
      <c r="J476">
        <v>201210</v>
      </c>
      <c r="L476" s="19">
        <f>VLOOKUP($P476,매칭테이블!$G:$J,2,0)*H476</f>
        <v>522900</v>
      </c>
      <c r="M476" s="19">
        <f>L476-L476*VLOOKUP($P476,매칭테이블!$G:$J,3,0)</f>
        <v>492310.35</v>
      </c>
      <c r="N476" s="19">
        <f>VLOOKUP($P476,매칭테이블!$G:$J,4,0)*H476</f>
        <v>33180</v>
      </c>
      <c r="O476" s="20">
        <f t="shared" si="87"/>
        <v>475363.63636363635</v>
      </c>
      <c r="P476" s="19" t="str">
        <f t="shared" si="78"/>
        <v>카페24뉴트리셔스밤HAIR RÉ:COVERY 15 Nutritious Balm [라베나 리커버리 15 뉴트리셔스 밤]제품선택=헤어 리커버리 15 뉴트리셔스 밤201210</v>
      </c>
    </row>
    <row r="477" spans="2:16" x14ac:dyDescent="0.3">
      <c r="B477" s="2">
        <v>44194</v>
      </c>
      <c r="C477" s="19" t="str">
        <f t="shared" si="88"/>
        <v>화</v>
      </c>
      <c r="E477" s="17" t="str">
        <f>INDEX(매칭테이블!C:C,MATCH(RD!G477,매칭테이블!D:D,0))</f>
        <v>뉴트리셔스밤</v>
      </c>
      <c r="F477" t="s">
        <v>91</v>
      </c>
      <c r="G477" t="s">
        <v>121</v>
      </c>
      <c r="H477">
        <v>5</v>
      </c>
      <c r="I477" s="17" t="str">
        <f>VLOOKUP(G477,매칭테이블!D:E,2,0)</f>
        <v>뉴트리셔스밤 2set</v>
      </c>
      <c r="J477">
        <v>201210</v>
      </c>
      <c r="L477" s="19">
        <f>VLOOKUP($P477,매칭테이블!$G:$J,2,0)*H477</f>
        <v>236550</v>
      </c>
      <c r="M477" s="19">
        <f>L477-L477*VLOOKUP($P477,매칭테이블!$G:$J,3,0)</f>
        <v>222711.82500000001</v>
      </c>
      <c r="N477" s="19">
        <f>VLOOKUP($P477,매칭테이블!$G:$J,4,0)*H477</f>
        <v>15800</v>
      </c>
      <c r="O477" s="20">
        <f t="shared" si="87"/>
        <v>215045.45454545453</v>
      </c>
      <c r="P477" s="19" t="str">
        <f t="shared" si="78"/>
        <v>카페24뉴트리셔스밤HAIR RÉ:COVERY 15 Nutritious Balm [라베나 리커버리 15 뉴트리셔스 밤]제품선택=뉴트리셔스 밤 2개 세트 5% 추가할인201210</v>
      </c>
    </row>
    <row r="478" spans="2:16" x14ac:dyDescent="0.3">
      <c r="B478" s="2">
        <v>44194</v>
      </c>
      <c r="C478" s="19" t="str">
        <f t="shared" si="88"/>
        <v>화</v>
      </c>
      <c r="E478" s="17" t="str">
        <f>INDEX(매칭테이블!C:C,MATCH(RD!G478,매칭테이블!D:D,0))</f>
        <v>뉴트리셔스밤</v>
      </c>
      <c r="F478" t="s">
        <v>91</v>
      </c>
      <c r="G478" t="s">
        <v>119</v>
      </c>
      <c r="H478">
        <v>1</v>
      </c>
      <c r="I478" s="17" t="str">
        <f>VLOOKUP(G478,매칭테이블!D:E,2,0)</f>
        <v>뉴트리셔스밤 3set</v>
      </c>
      <c r="J478">
        <v>201210</v>
      </c>
      <c r="L478" s="19">
        <f>VLOOKUP($P478,매칭테이블!$G:$J,2,0)*H478</f>
        <v>67230</v>
      </c>
      <c r="M478" s="19">
        <f>L478-L478*VLOOKUP($P478,매칭테이블!$G:$J,3,0)</f>
        <v>63297.044999999998</v>
      </c>
      <c r="N478" s="19">
        <f>VLOOKUP($P478,매칭테이블!$G:$J,4,0)*H478</f>
        <v>4740</v>
      </c>
      <c r="O478" s="20">
        <f t="shared" si="87"/>
        <v>61118.181818181816</v>
      </c>
      <c r="P478" s="19" t="str">
        <f t="shared" si="78"/>
        <v>카페24뉴트리셔스밤HAIR RÉ:COVERY 15 Nutritious Balm [라베나 리커버리 15 뉴트리셔스 밤]제품선택=뉴트리셔스 밤 3개 세트 10% 추가할인201210</v>
      </c>
    </row>
    <row r="479" spans="2:16" x14ac:dyDescent="0.3">
      <c r="B479" s="2">
        <v>44194</v>
      </c>
      <c r="C479" s="19" t="str">
        <f t="shared" si="88"/>
        <v>화</v>
      </c>
      <c r="E479" s="17" t="str">
        <f>INDEX(매칭테이블!C:C,MATCH(RD!G479,매칭테이블!D:D,0))</f>
        <v>뉴트리셔스밤</v>
      </c>
      <c r="F479" t="s">
        <v>91</v>
      </c>
      <c r="G479" t="s">
        <v>122</v>
      </c>
      <c r="H479">
        <v>2</v>
      </c>
      <c r="I479" s="17" t="str">
        <f>VLOOKUP(G479,매칭테이블!D:E,2,0)</f>
        <v>트리트먼트+뉴트리셔스밤</v>
      </c>
      <c r="J479">
        <v>201210</v>
      </c>
      <c r="L479" s="19">
        <f>VLOOKUP($P479,매칭테이블!$G:$J,2,0)*H479</f>
        <v>96710</v>
      </c>
      <c r="M479" s="19">
        <f>L479-L479*VLOOKUP($P479,매칭테이블!$G:$J,3,0)</f>
        <v>91052.464999999997</v>
      </c>
      <c r="N479" s="19">
        <f>VLOOKUP($P479,매칭테이블!$G:$J,4,0)*H479</f>
        <v>6354</v>
      </c>
      <c r="O479" s="20">
        <f t="shared" si="87"/>
        <v>87918.181818181809</v>
      </c>
      <c r="P479" s="19" t="str">
        <f t="shared" si="78"/>
        <v>카페24뉴트리셔스밤HAIR RÉ:COVERY 15 Nutritious Balm [라베나 리커버리 15 뉴트리셔스 밤]제품선택=뉴트리셔스밤 1개 + 헤어팩 트리트먼트 1개 세트 5%추가할인201210</v>
      </c>
    </row>
    <row r="480" spans="2:16" x14ac:dyDescent="0.3">
      <c r="B480" s="2">
        <v>44194</v>
      </c>
      <c r="C480" s="19" t="str">
        <f t="shared" si="88"/>
        <v>화</v>
      </c>
      <c r="E480" s="17" t="str">
        <f>INDEX(매칭테이블!C:C,MATCH(RD!G480,매칭테이블!D:D,0))</f>
        <v>샴푸</v>
      </c>
      <c r="F480" t="s">
        <v>91</v>
      </c>
      <c r="G480" t="s">
        <v>92</v>
      </c>
      <c r="H480">
        <v>7</v>
      </c>
      <c r="I480" s="17" t="str">
        <f>VLOOKUP(G480,매칭테이블!D:E,2,0)</f>
        <v>리바이탈 샴푸</v>
      </c>
      <c r="J480">
        <v>201210</v>
      </c>
      <c r="L480" s="19">
        <f>VLOOKUP($P480,매칭테이블!$G:$J,2,0)*H480</f>
        <v>188300</v>
      </c>
      <c r="M480" s="19">
        <f>L480-L480*VLOOKUP($P480,매칭테이블!$G:$J,3,0)</f>
        <v>177284.45</v>
      </c>
      <c r="N480" s="19">
        <f>VLOOKUP($P480,매칭테이블!$G:$J,4,0)*H480</f>
        <v>21140</v>
      </c>
      <c r="O480" s="20">
        <f t="shared" si="87"/>
        <v>171181.81818181818</v>
      </c>
      <c r="P480" s="19" t="str">
        <f t="shared" si="78"/>
        <v>카페24샴푸HAIR RÉ:COVERY 15 Revital Shampoo [라베나 리커버리 15 리바이탈 샴푸]제품선택=헤어 리커버리 15 리바이탈 샴푸 - 500ml201210</v>
      </c>
    </row>
    <row r="481" spans="2:16" x14ac:dyDescent="0.3">
      <c r="B481" s="2">
        <v>44194</v>
      </c>
      <c r="C481" s="19" t="str">
        <f t="shared" si="88"/>
        <v>화</v>
      </c>
      <c r="E481" s="17" t="str">
        <f>INDEX(매칭테이블!C:C,MATCH(RD!G481,매칭테이블!D:D,0))</f>
        <v>샴푸</v>
      </c>
      <c r="F481" t="s">
        <v>91</v>
      </c>
      <c r="G481" t="s">
        <v>93</v>
      </c>
      <c r="H481">
        <v>1</v>
      </c>
      <c r="I481" s="17" t="str">
        <f>VLOOKUP(G481,매칭테이블!D:E,2,0)</f>
        <v>리바이탈 샴푸</v>
      </c>
      <c r="J481">
        <v>201210</v>
      </c>
      <c r="L481" s="19">
        <f>VLOOKUP($P481,매칭테이블!$G:$J,2,0)*H481</f>
        <v>51110</v>
      </c>
      <c r="M481" s="19">
        <f>L481-L481*VLOOKUP($P481,매칭테이블!$G:$J,3,0)</f>
        <v>48120.065000000002</v>
      </c>
      <c r="N481" s="19">
        <f>VLOOKUP($P481,매칭테이블!$G:$J,4,0)*H481</f>
        <v>6040</v>
      </c>
      <c r="O481" s="20">
        <f t="shared" si="87"/>
        <v>46463.63636363636</v>
      </c>
      <c r="P481" s="19" t="str">
        <f t="shared" si="78"/>
        <v>카페24샴푸HAIR RÉ:COVERY 15 Revital Shampoo [라베나 리커버리 15 리바이탈 샴푸]제품선택=리바이탈 샴푸 2개 세트 5%추가할인201210</v>
      </c>
    </row>
    <row r="482" spans="2:16" x14ac:dyDescent="0.3">
      <c r="B482" s="2">
        <v>44194</v>
      </c>
      <c r="C482" s="19" t="str">
        <f t="shared" si="88"/>
        <v>화</v>
      </c>
      <c r="E482" s="17" t="str">
        <f>INDEX(매칭테이블!C:C,MATCH(RD!G482,매칭테이블!D:D,0))</f>
        <v>샴푸</v>
      </c>
      <c r="F482" t="s">
        <v>91</v>
      </c>
      <c r="G482" t="s">
        <v>94</v>
      </c>
      <c r="H482">
        <v>3</v>
      </c>
      <c r="I482" s="17" t="str">
        <f>VLOOKUP(G482,매칭테이블!D:E,2,0)</f>
        <v>리바이탈 샴푸 3set</v>
      </c>
      <c r="J482">
        <v>201210</v>
      </c>
      <c r="L482" s="19">
        <f>VLOOKUP($P482,매칭테이블!$G:$J,2,0)*H482</f>
        <v>217890</v>
      </c>
      <c r="M482" s="19">
        <f>L482-L482*VLOOKUP($P482,매칭테이블!$G:$J,3,0)</f>
        <v>205143.435</v>
      </c>
      <c r="N482" s="19">
        <f>VLOOKUP($P482,매칭테이블!$G:$J,4,0)*H482</f>
        <v>27180</v>
      </c>
      <c r="O482" s="20">
        <f t="shared" si="87"/>
        <v>198081.81818181818</v>
      </c>
      <c r="P482" s="19" t="str">
        <f t="shared" si="78"/>
        <v>카페24샴푸HAIR RÉ:COVERY 15 Revital Shampoo [라베나 리커버리 15 리바이탈 샴푸]제품선택=리바이탈 샴푸 3개 세트 10% 추가할인201210</v>
      </c>
    </row>
    <row r="483" spans="2:16" x14ac:dyDescent="0.3">
      <c r="B483" s="2">
        <v>44195</v>
      </c>
      <c r="C483" s="19" t="str">
        <f t="shared" si="88"/>
        <v>수</v>
      </c>
      <c r="E483" s="17" t="str">
        <f>INDEX(매칭테이블!C:C,MATCH(RD!G483,매칭테이블!D:D,0))</f>
        <v>트리트먼트</v>
      </c>
      <c r="F483" t="s">
        <v>91</v>
      </c>
      <c r="G483" t="s">
        <v>115</v>
      </c>
      <c r="H483">
        <v>7</v>
      </c>
      <c r="I483" s="17" t="str">
        <f>VLOOKUP(G483,매칭테이블!D:E,2,0)</f>
        <v>트리트먼트</v>
      </c>
      <c r="J483">
        <v>201210</v>
      </c>
      <c r="L483" s="19">
        <f>VLOOKUP($P483,매칭테이블!$G:$J,2,0)*H483</f>
        <v>182000</v>
      </c>
      <c r="M483" s="19">
        <f>L483-L483*VLOOKUP($P483,매칭테이블!$G:$J,3,0)</f>
        <v>171353</v>
      </c>
      <c r="N483" s="19">
        <f>VLOOKUP($P483,매칭테이블!$G:$J,4,0)*H483</f>
        <v>11179</v>
      </c>
      <c r="O483" s="20">
        <f t="shared" ref="O483" si="89">L483/1.1</f>
        <v>165454.54545454544</v>
      </c>
      <c r="P483" s="19" t="str">
        <f t="shared" si="78"/>
        <v>카페24트리트먼트HAIR RÉ:COVERY 15 Hairpack Treatment [라베나 리커버리 15 헤어팩 트리트먼트]제품선택=헤어 리커버리 15 헤어팩 트리트먼트201210</v>
      </c>
    </row>
    <row r="484" spans="2:16" x14ac:dyDescent="0.3">
      <c r="B484" s="2">
        <v>44195</v>
      </c>
      <c r="C484" s="19" t="str">
        <f t="shared" ref="C484:C493" si="90">TEXT(B484,"aaa")</f>
        <v>수</v>
      </c>
      <c r="E484" s="17" t="str">
        <f>INDEX(매칭테이블!C:C,MATCH(RD!G484,매칭테이블!D:D,0))</f>
        <v>트리트먼트</v>
      </c>
      <c r="F484" t="s">
        <v>91</v>
      </c>
      <c r="G484" t="s">
        <v>116</v>
      </c>
      <c r="H484">
        <v>3</v>
      </c>
      <c r="I484" s="17" t="str">
        <f>VLOOKUP(G484,매칭테이블!D:E,2,0)</f>
        <v>트리트먼트 2set</v>
      </c>
      <c r="J484">
        <v>201210</v>
      </c>
      <c r="L484" s="19">
        <f>VLOOKUP($P484,매칭테이블!$G:$J,2,0)*H484</f>
        <v>148200</v>
      </c>
      <c r="M484" s="19">
        <f>L484-L484*VLOOKUP($P484,매칭테이블!$G:$J,3,0)</f>
        <v>139530.29999999999</v>
      </c>
      <c r="N484" s="19">
        <f>VLOOKUP($P484,매칭테이블!$G:$J,4,0)*H484</f>
        <v>9582</v>
      </c>
      <c r="O484" s="20">
        <f t="shared" ref="O484:O492" si="91">L484/1.1</f>
        <v>134727.27272727271</v>
      </c>
      <c r="P484" s="19" t="str">
        <f t="shared" si="78"/>
        <v>카페24트리트먼트HAIR RÉ:COVERY 15 Hairpack Treatment [라베나 리커버리 15 헤어팩 트리트먼트]제품선택=헤어팩 트리트먼트 2개 세트 5% 추가할인201210</v>
      </c>
    </row>
    <row r="485" spans="2:16" x14ac:dyDescent="0.3">
      <c r="B485" s="2">
        <v>44195</v>
      </c>
      <c r="C485" s="19" t="str">
        <f t="shared" si="90"/>
        <v>수</v>
      </c>
      <c r="E485" s="17" t="str">
        <f>INDEX(매칭테이블!C:C,MATCH(RD!G485,매칭테이블!D:D,0))</f>
        <v>트리트먼트</v>
      </c>
      <c r="F485" t="s">
        <v>91</v>
      </c>
      <c r="G485" t="s">
        <v>120</v>
      </c>
      <c r="H485">
        <v>1</v>
      </c>
      <c r="I485" s="17" t="str">
        <f>VLOOKUP(G485,매칭테이블!D:E,2,0)</f>
        <v>트리트먼트 3set</v>
      </c>
      <c r="J485">
        <v>201210</v>
      </c>
      <c r="L485" s="19">
        <f>VLOOKUP($P485,매칭테이블!$G:$J,2,0)*H485</f>
        <v>70200</v>
      </c>
      <c r="M485" s="19">
        <f>L485-L485*VLOOKUP($P485,매칭테이블!$G:$J,3,0)</f>
        <v>66093.3</v>
      </c>
      <c r="N485" s="19">
        <f>VLOOKUP($P485,매칭테이블!$G:$J,4,0)*H485</f>
        <v>4791</v>
      </c>
      <c r="O485" s="20">
        <f t="shared" si="91"/>
        <v>63818.181818181816</v>
      </c>
      <c r="P485" s="19" t="str">
        <f t="shared" si="78"/>
        <v>카페24트리트먼트HAIR RÉ:COVERY 15 Hairpack Treatment [라베나 리커버리 15 헤어팩 트리트먼트]제품선택=헤어팩 트리트먼트 3개 세트 10% 추가할인201210</v>
      </c>
    </row>
    <row r="486" spans="2:16" x14ac:dyDescent="0.3">
      <c r="B486" s="2">
        <v>44195</v>
      </c>
      <c r="C486" s="19" t="str">
        <f t="shared" si="90"/>
        <v>수</v>
      </c>
      <c r="E486" s="17" t="str">
        <f>INDEX(매칭테이블!C:C,MATCH(RD!G486,매칭테이블!D:D,0))</f>
        <v>트리트먼트</v>
      </c>
      <c r="F486" t="s">
        <v>91</v>
      </c>
      <c r="G486" t="s">
        <v>117</v>
      </c>
      <c r="H486">
        <v>1</v>
      </c>
      <c r="I486" s="17" t="str">
        <f>VLOOKUP(G486,매칭테이블!D:E,2,0)</f>
        <v>트리트먼트+뉴트리셔스밤</v>
      </c>
      <c r="J486">
        <v>201210</v>
      </c>
      <c r="L486" s="19">
        <f>VLOOKUP($P486,매칭테이블!$G:$J,2,0)*H486</f>
        <v>48355</v>
      </c>
      <c r="M486" s="19">
        <f>L486-L486*VLOOKUP($P486,매칭테이블!$G:$J,3,0)</f>
        <v>45526.232499999998</v>
      </c>
      <c r="N486" s="19">
        <f>VLOOKUP($P486,매칭테이블!$G:$J,4,0)*H486</f>
        <v>3177</v>
      </c>
      <c r="O486" s="20">
        <f t="shared" si="91"/>
        <v>43959.090909090904</v>
      </c>
      <c r="P486" s="19" t="str">
        <f t="shared" si="78"/>
        <v>카페24트리트먼트HAIR RÉ:COVERY 15 Hairpack Treatment [라베나 리커버리 15 헤어팩 트리트먼트]제품선택=헤어팩 트리트먼트 1개 + 뉴트리셔스밤 1개 세트 5% 추가할인201210</v>
      </c>
    </row>
    <row r="487" spans="2:16" x14ac:dyDescent="0.3">
      <c r="B487" s="2">
        <v>44195</v>
      </c>
      <c r="C487" s="19" t="str">
        <f t="shared" si="90"/>
        <v>수</v>
      </c>
      <c r="E487" s="17" t="str">
        <f>INDEX(매칭테이블!C:C,MATCH(RD!G487,매칭테이블!D:D,0))</f>
        <v>뉴트리셔스밤</v>
      </c>
      <c r="F487" t="s">
        <v>91</v>
      </c>
      <c r="G487" t="s">
        <v>118</v>
      </c>
      <c r="H487">
        <v>11</v>
      </c>
      <c r="I487" s="17" t="str">
        <f>VLOOKUP(G487,매칭테이블!D:E,2,0)</f>
        <v>뉴트리셔스밤</v>
      </c>
      <c r="J487">
        <v>201210</v>
      </c>
      <c r="L487" s="19">
        <f>VLOOKUP($P487,매칭테이블!$G:$J,2,0)*H487</f>
        <v>273900</v>
      </c>
      <c r="M487" s="19">
        <f>L487-L487*VLOOKUP($P487,매칭테이블!$G:$J,3,0)</f>
        <v>257876.85</v>
      </c>
      <c r="N487" s="19">
        <f>VLOOKUP($P487,매칭테이블!$G:$J,4,0)*H487</f>
        <v>17380</v>
      </c>
      <c r="O487" s="20">
        <f t="shared" si="91"/>
        <v>248999.99999999997</v>
      </c>
      <c r="P487" s="19" t="str">
        <f t="shared" si="78"/>
        <v>카페24뉴트리셔스밤HAIR RÉ:COVERY 15 Nutritious Balm [라베나 리커버리 15 뉴트리셔스 밤]제품선택=헤어 리커버리 15 뉴트리셔스 밤201210</v>
      </c>
    </row>
    <row r="488" spans="2:16" x14ac:dyDescent="0.3">
      <c r="B488" s="2">
        <v>44195</v>
      </c>
      <c r="C488" s="19" t="str">
        <f t="shared" si="90"/>
        <v>수</v>
      </c>
      <c r="E488" s="17" t="str">
        <f>INDEX(매칭테이블!C:C,MATCH(RD!G488,매칭테이블!D:D,0))</f>
        <v>뉴트리셔스밤</v>
      </c>
      <c r="F488" t="s">
        <v>91</v>
      </c>
      <c r="G488" t="s">
        <v>121</v>
      </c>
      <c r="H488">
        <v>3</v>
      </c>
      <c r="I488" s="17" t="str">
        <f>VLOOKUP(G488,매칭테이블!D:E,2,0)</f>
        <v>뉴트리셔스밤 2set</v>
      </c>
      <c r="J488">
        <v>201210</v>
      </c>
      <c r="L488" s="19">
        <f>VLOOKUP($P488,매칭테이블!$G:$J,2,0)*H488</f>
        <v>141930</v>
      </c>
      <c r="M488" s="19">
        <f>L488-L488*VLOOKUP($P488,매칭테이블!$G:$J,3,0)</f>
        <v>133627.095</v>
      </c>
      <c r="N488" s="19">
        <f>VLOOKUP($P488,매칭테이블!$G:$J,4,0)*H488</f>
        <v>9480</v>
      </c>
      <c r="O488" s="20">
        <f t="shared" si="91"/>
        <v>129027.27272727272</v>
      </c>
      <c r="P488" s="19" t="str">
        <f t="shared" ref="P488:P551" si="92">F488&amp;E488&amp;G488&amp;J488</f>
        <v>카페24뉴트리셔스밤HAIR RÉ:COVERY 15 Nutritious Balm [라베나 리커버리 15 뉴트리셔스 밤]제품선택=뉴트리셔스 밤 2개 세트 5% 추가할인201210</v>
      </c>
    </row>
    <row r="489" spans="2:16" x14ac:dyDescent="0.3">
      <c r="B489" s="2">
        <v>44195</v>
      </c>
      <c r="C489" s="19" t="str">
        <f t="shared" si="90"/>
        <v>수</v>
      </c>
      <c r="E489" s="17" t="str">
        <f>INDEX(매칭테이블!C:C,MATCH(RD!G489,매칭테이블!D:D,0))</f>
        <v>뉴트리셔스밤</v>
      </c>
      <c r="F489" t="s">
        <v>91</v>
      </c>
      <c r="G489" t="s">
        <v>122</v>
      </c>
      <c r="H489">
        <v>3</v>
      </c>
      <c r="I489" s="17" t="str">
        <f>VLOOKUP(G489,매칭테이블!D:E,2,0)</f>
        <v>트리트먼트+뉴트리셔스밤</v>
      </c>
      <c r="J489">
        <v>201210</v>
      </c>
      <c r="L489" s="19">
        <f>VLOOKUP($P489,매칭테이블!$G:$J,2,0)*H489</f>
        <v>145065</v>
      </c>
      <c r="M489" s="19">
        <f>L489-L489*VLOOKUP($P489,매칭테이블!$G:$J,3,0)</f>
        <v>136578.69750000001</v>
      </c>
      <c r="N489" s="19">
        <f>VLOOKUP($P489,매칭테이블!$G:$J,4,0)*H489</f>
        <v>9531</v>
      </c>
      <c r="O489" s="20">
        <f t="shared" si="91"/>
        <v>131877.27272727271</v>
      </c>
      <c r="P489" s="19" t="str">
        <f t="shared" si="92"/>
        <v>카페24뉴트리셔스밤HAIR RÉ:COVERY 15 Nutritious Balm [라베나 리커버리 15 뉴트리셔스 밤]제품선택=뉴트리셔스밤 1개 + 헤어팩 트리트먼트 1개 세트 5%추가할인201210</v>
      </c>
    </row>
    <row r="490" spans="2:16" x14ac:dyDescent="0.3">
      <c r="B490" s="2">
        <v>44195</v>
      </c>
      <c r="C490" s="19" t="str">
        <f t="shared" si="90"/>
        <v>수</v>
      </c>
      <c r="E490" s="17" t="str">
        <f>INDEX(매칭테이블!C:C,MATCH(RD!G490,매칭테이블!D:D,0))</f>
        <v>샴푸</v>
      </c>
      <c r="F490" t="s">
        <v>91</v>
      </c>
      <c r="G490" t="s">
        <v>92</v>
      </c>
      <c r="H490">
        <v>12</v>
      </c>
      <c r="I490" s="17" t="str">
        <f>VLOOKUP(G490,매칭테이블!D:E,2,0)</f>
        <v>리바이탈 샴푸</v>
      </c>
      <c r="J490">
        <v>201210</v>
      </c>
      <c r="L490" s="19">
        <f>VLOOKUP($P490,매칭테이블!$G:$J,2,0)*H490</f>
        <v>322800</v>
      </c>
      <c r="M490" s="19">
        <f>L490-L490*VLOOKUP($P490,매칭테이블!$G:$J,3,0)</f>
        <v>303916.2</v>
      </c>
      <c r="N490" s="19">
        <f>VLOOKUP($P490,매칭테이블!$G:$J,4,0)*H490</f>
        <v>36240</v>
      </c>
      <c r="O490" s="20">
        <f t="shared" si="91"/>
        <v>293454.54545454541</v>
      </c>
      <c r="P490" s="19" t="str">
        <f t="shared" si="92"/>
        <v>카페24샴푸HAIR RÉ:COVERY 15 Revital Shampoo [라베나 리커버리 15 리바이탈 샴푸]제품선택=헤어 리커버리 15 리바이탈 샴푸 - 500ml201210</v>
      </c>
    </row>
    <row r="491" spans="2:16" x14ac:dyDescent="0.3">
      <c r="B491" s="2">
        <v>44195</v>
      </c>
      <c r="C491" s="19" t="str">
        <f t="shared" si="90"/>
        <v>수</v>
      </c>
      <c r="E491" s="17" t="str">
        <f>INDEX(매칭테이블!C:C,MATCH(RD!G491,매칭테이블!D:D,0))</f>
        <v>샴푸</v>
      </c>
      <c r="F491" t="s">
        <v>91</v>
      </c>
      <c r="G491" t="s">
        <v>93</v>
      </c>
      <c r="H491">
        <v>1</v>
      </c>
      <c r="I491" s="17" t="str">
        <f>VLOOKUP(G491,매칭테이블!D:E,2,0)</f>
        <v>리바이탈 샴푸</v>
      </c>
      <c r="J491">
        <v>201210</v>
      </c>
      <c r="L491" s="19">
        <f>VLOOKUP($P491,매칭테이블!$G:$J,2,0)*H491</f>
        <v>51110</v>
      </c>
      <c r="M491" s="19">
        <f>L491-L491*VLOOKUP($P491,매칭테이블!$G:$J,3,0)</f>
        <v>48120.065000000002</v>
      </c>
      <c r="N491" s="19">
        <f>VLOOKUP($P491,매칭테이블!$G:$J,4,0)*H491</f>
        <v>6040</v>
      </c>
      <c r="O491" s="20">
        <f t="shared" si="91"/>
        <v>46463.63636363636</v>
      </c>
      <c r="P491" s="19" t="str">
        <f t="shared" si="92"/>
        <v>카페24샴푸HAIR RÉ:COVERY 15 Revital Shampoo [라베나 리커버리 15 리바이탈 샴푸]제품선택=리바이탈 샴푸 2개 세트 5%추가할인201210</v>
      </c>
    </row>
    <row r="492" spans="2:16" x14ac:dyDescent="0.3">
      <c r="B492" s="2">
        <v>44195</v>
      </c>
      <c r="C492" s="19" t="str">
        <f t="shared" si="90"/>
        <v>수</v>
      </c>
      <c r="E492" s="17" t="str">
        <f>INDEX(매칭테이블!C:C,MATCH(RD!G492,매칭테이블!D:D,0))</f>
        <v>샴푸</v>
      </c>
      <c r="F492" t="s">
        <v>91</v>
      </c>
      <c r="G492" t="s">
        <v>94</v>
      </c>
      <c r="H492">
        <v>1</v>
      </c>
      <c r="I492" s="17" t="str">
        <f>VLOOKUP(G492,매칭테이블!D:E,2,0)</f>
        <v>리바이탈 샴푸 3set</v>
      </c>
      <c r="J492">
        <v>201210</v>
      </c>
      <c r="L492" s="19">
        <f>VLOOKUP($P492,매칭테이블!$G:$J,2,0)*H492</f>
        <v>72630</v>
      </c>
      <c r="M492" s="19">
        <f>L492-L492*VLOOKUP($P492,매칭테이블!$G:$J,3,0)</f>
        <v>68381.145000000004</v>
      </c>
      <c r="N492" s="19">
        <f>VLOOKUP($P492,매칭테이블!$G:$J,4,0)*H492</f>
        <v>9060</v>
      </c>
      <c r="O492" s="20">
        <f t="shared" si="91"/>
        <v>66027.272727272721</v>
      </c>
      <c r="P492" s="19" t="str">
        <f t="shared" si="92"/>
        <v>카페24샴푸HAIR RÉ:COVERY 15 Revital Shampoo [라베나 리커버리 15 리바이탈 샴푸]제품선택=리바이탈 샴푸 3개 세트 10% 추가할인201210</v>
      </c>
    </row>
    <row r="493" spans="2:16" x14ac:dyDescent="0.3">
      <c r="B493" s="2">
        <v>44196</v>
      </c>
      <c r="C493" s="19" t="str">
        <f t="shared" si="90"/>
        <v>목</v>
      </c>
      <c r="E493" s="17" t="str">
        <f>INDEX(매칭테이블!C:C,MATCH(RD!G493,매칭테이블!D:D,0))</f>
        <v>트리트먼트</v>
      </c>
      <c r="F493" t="s">
        <v>91</v>
      </c>
      <c r="G493" t="s">
        <v>115</v>
      </c>
      <c r="H493">
        <v>8</v>
      </c>
      <c r="I493" s="17" t="str">
        <f>VLOOKUP(G493,매칭테이블!D:E,2,0)</f>
        <v>트리트먼트</v>
      </c>
      <c r="J493">
        <v>201210</v>
      </c>
      <c r="L493" s="19">
        <f>VLOOKUP($P493,매칭테이블!$G:$J,2,0)*H493</f>
        <v>208000</v>
      </c>
      <c r="M493" s="19">
        <f>L493-L493*VLOOKUP($P493,매칭테이블!$G:$J,3,0)</f>
        <v>195832</v>
      </c>
      <c r="N493" s="19">
        <f>VLOOKUP($P493,매칭테이블!$G:$J,4,0)*H493</f>
        <v>12776</v>
      </c>
      <c r="O493" s="20">
        <f t="shared" ref="O493:O501" si="93">L493/1.1</f>
        <v>189090.90909090909</v>
      </c>
      <c r="P493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494" spans="2:16" x14ac:dyDescent="0.3">
      <c r="B494" s="2">
        <v>44196</v>
      </c>
      <c r="C494" s="19" t="str">
        <f t="shared" ref="C494:C502" si="94">TEXT(B494,"aaa")</f>
        <v>목</v>
      </c>
      <c r="E494" s="17" t="str">
        <f>INDEX(매칭테이블!C:C,MATCH(RD!G494,매칭테이블!D:D,0))</f>
        <v>트리트먼트</v>
      </c>
      <c r="F494" t="s">
        <v>91</v>
      </c>
      <c r="G494" t="s">
        <v>116</v>
      </c>
      <c r="H494">
        <v>2</v>
      </c>
      <c r="I494" s="17" t="str">
        <f>VLOOKUP(G494,매칭테이블!D:E,2,0)</f>
        <v>트리트먼트 2set</v>
      </c>
      <c r="J494">
        <v>201210</v>
      </c>
      <c r="L494" s="19">
        <f>VLOOKUP($P494,매칭테이블!$G:$J,2,0)*H494</f>
        <v>98800</v>
      </c>
      <c r="M494" s="19">
        <f>L494-L494*VLOOKUP($P494,매칭테이블!$G:$J,3,0)</f>
        <v>93020.2</v>
      </c>
      <c r="N494" s="19">
        <f>VLOOKUP($P494,매칭테이블!$G:$J,4,0)*H494</f>
        <v>6388</v>
      </c>
      <c r="O494" s="20">
        <f t="shared" si="93"/>
        <v>89818.181818181809</v>
      </c>
      <c r="P494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495" spans="2:16" x14ac:dyDescent="0.3">
      <c r="B495" s="2">
        <v>44196</v>
      </c>
      <c r="C495" s="19" t="str">
        <f t="shared" si="94"/>
        <v>목</v>
      </c>
      <c r="E495" s="17" t="str">
        <f>INDEX(매칭테이블!C:C,MATCH(RD!G495,매칭테이블!D:D,0))</f>
        <v>트리트먼트</v>
      </c>
      <c r="F495" t="s">
        <v>91</v>
      </c>
      <c r="G495" t="s">
        <v>120</v>
      </c>
      <c r="H495">
        <v>1</v>
      </c>
      <c r="I495" s="17" t="str">
        <f>VLOOKUP(G495,매칭테이블!D:E,2,0)</f>
        <v>트리트먼트 3set</v>
      </c>
      <c r="J495">
        <v>201210</v>
      </c>
      <c r="L495" s="19">
        <f>VLOOKUP($P495,매칭테이블!$G:$J,2,0)*H495</f>
        <v>70200</v>
      </c>
      <c r="M495" s="19">
        <f>L495-L495*VLOOKUP($P495,매칭테이블!$G:$J,3,0)</f>
        <v>66093.3</v>
      </c>
      <c r="N495" s="19">
        <f>VLOOKUP($P495,매칭테이블!$G:$J,4,0)*H495</f>
        <v>4791</v>
      </c>
      <c r="O495" s="20">
        <f t="shared" si="93"/>
        <v>63818.181818181816</v>
      </c>
      <c r="P495" s="19" t="str">
        <f t="shared" si="92"/>
        <v>카페24트리트먼트HAIR RÉ:COVERY 15 Hairpack Treatment [라베나 리커버리 15 헤어팩 트리트먼트]제품선택=헤어팩 트리트먼트 3개 세트 10% 추가할인201210</v>
      </c>
    </row>
    <row r="496" spans="2:16" x14ac:dyDescent="0.3">
      <c r="B496" s="2">
        <v>44196</v>
      </c>
      <c r="C496" s="19" t="str">
        <f t="shared" si="94"/>
        <v>목</v>
      </c>
      <c r="E496" s="17" t="str">
        <f>INDEX(매칭테이블!C:C,MATCH(RD!G496,매칭테이블!D:D,0))</f>
        <v>트리트먼트</v>
      </c>
      <c r="F496" t="s">
        <v>91</v>
      </c>
      <c r="G496" t="s">
        <v>117</v>
      </c>
      <c r="H496">
        <v>2</v>
      </c>
      <c r="I496" s="17" t="str">
        <f>VLOOKUP(G496,매칭테이블!D:E,2,0)</f>
        <v>트리트먼트+뉴트리셔스밤</v>
      </c>
      <c r="J496">
        <v>201210</v>
      </c>
      <c r="L496" s="19">
        <f>VLOOKUP($P496,매칭테이블!$G:$J,2,0)*H496</f>
        <v>96710</v>
      </c>
      <c r="M496" s="19">
        <f>L496-L496*VLOOKUP($P496,매칭테이블!$G:$J,3,0)</f>
        <v>91052.464999999997</v>
      </c>
      <c r="N496" s="19">
        <f>VLOOKUP($P496,매칭테이블!$G:$J,4,0)*H496</f>
        <v>6354</v>
      </c>
      <c r="O496" s="20">
        <f t="shared" si="93"/>
        <v>87918.181818181809</v>
      </c>
      <c r="P496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497" spans="2:16" x14ac:dyDescent="0.3">
      <c r="B497" s="2">
        <v>44196</v>
      </c>
      <c r="C497" s="19" t="str">
        <f t="shared" si="94"/>
        <v>목</v>
      </c>
      <c r="E497" s="17" t="str">
        <f>INDEX(매칭테이블!C:C,MATCH(RD!G497,매칭테이블!D:D,0))</f>
        <v>뉴트리셔스밤</v>
      </c>
      <c r="F497" t="s">
        <v>91</v>
      </c>
      <c r="G497" t="s">
        <v>118</v>
      </c>
      <c r="H497">
        <v>7</v>
      </c>
      <c r="I497" s="17" t="str">
        <f>VLOOKUP(G497,매칭테이블!D:E,2,0)</f>
        <v>뉴트리셔스밤</v>
      </c>
      <c r="J497">
        <v>201210</v>
      </c>
      <c r="L497" s="19">
        <f>VLOOKUP($P497,매칭테이블!$G:$J,2,0)*H497</f>
        <v>174300</v>
      </c>
      <c r="M497" s="19">
        <f>L497-L497*VLOOKUP($P497,매칭테이블!$G:$J,3,0)</f>
        <v>164103.45000000001</v>
      </c>
      <c r="N497" s="19">
        <f>VLOOKUP($P497,매칭테이블!$G:$J,4,0)*H497</f>
        <v>11060</v>
      </c>
      <c r="O497" s="20">
        <f t="shared" si="93"/>
        <v>158454.54545454544</v>
      </c>
      <c r="P497" s="19" t="str">
        <f t="shared" si="92"/>
        <v>카페24뉴트리셔스밤HAIR RÉ:COVERY 15 Nutritious Balm [라베나 리커버리 15 뉴트리셔스 밤]제품선택=헤어 리커버리 15 뉴트리셔스 밤201210</v>
      </c>
    </row>
    <row r="498" spans="2:16" x14ac:dyDescent="0.3">
      <c r="B498" s="2">
        <v>44196</v>
      </c>
      <c r="C498" s="19" t="str">
        <f t="shared" si="94"/>
        <v>목</v>
      </c>
      <c r="E498" s="17" t="str">
        <f>INDEX(매칭테이블!C:C,MATCH(RD!G498,매칭테이블!D:D,0))</f>
        <v>뉴트리셔스밤</v>
      </c>
      <c r="F498" t="s">
        <v>91</v>
      </c>
      <c r="G498" t="s">
        <v>121</v>
      </c>
      <c r="H498">
        <v>2</v>
      </c>
      <c r="I498" s="17" t="str">
        <f>VLOOKUP(G498,매칭테이블!D:E,2,0)</f>
        <v>뉴트리셔스밤 2set</v>
      </c>
      <c r="J498">
        <v>201210</v>
      </c>
      <c r="L498" s="19">
        <f>VLOOKUP($P498,매칭테이블!$G:$J,2,0)*H498</f>
        <v>94620</v>
      </c>
      <c r="M498" s="19">
        <f>L498-L498*VLOOKUP($P498,매칭테이블!$G:$J,3,0)</f>
        <v>89084.73</v>
      </c>
      <c r="N498" s="19">
        <f>VLOOKUP($P498,매칭테이블!$G:$J,4,0)*H498</f>
        <v>6320</v>
      </c>
      <c r="O498" s="20">
        <f t="shared" si="93"/>
        <v>86018.181818181809</v>
      </c>
      <c r="P498" s="19" t="str">
        <f t="shared" si="92"/>
        <v>카페24뉴트리셔스밤HAIR RÉ:COVERY 15 Nutritious Balm [라베나 리커버리 15 뉴트리셔스 밤]제품선택=뉴트리셔스 밤 2개 세트 5% 추가할인201210</v>
      </c>
    </row>
    <row r="499" spans="2:16" x14ac:dyDescent="0.3">
      <c r="B499" s="2">
        <v>44196</v>
      </c>
      <c r="C499" s="19" t="str">
        <f t="shared" si="94"/>
        <v>목</v>
      </c>
      <c r="E499" s="17" t="str">
        <f>INDEX(매칭테이블!C:C,MATCH(RD!G499,매칭테이블!D:D,0))</f>
        <v>뉴트리셔스밤</v>
      </c>
      <c r="F499" t="s">
        <v>91</v>
      </c>
      <c r="G499" t="s">
        <v>119</v>
      </c>
      <c r="H499">
        <v>2</v>
      </c>
      <c r="I499" s="17" t="str">
        <f>VLOOKUP(G499,매칭테이블!D:E,2,0)</f>
        <v>뉴트리셔스밤 3set</v>
      </c>
      <c r="J499">
        <v>201210</v>
      </c>
      <c r="L499" s="19">
        <f>VLOOKUP($P499,매칭테이블!$G:$J,2,0)*H499</f>
        <v>134460</v>
      </c>
      <c r="M499" s="19">
        <f>L499-L499*VLOOKUP($P499,매칭테이블!$G:$J,3,0)</f>
        <v>126594.09</v>
      </c>
      <c r="N499" s="19">
        <f>VLOOKUP($P499,매칭테이블!$G:$J,4,0)*H499</f>
        <v>9480</v>
      </c>
      <c r="O499" s="20">
        <f t="shared" si="93"/>
        <v>122236.36363636363</v>
      </c>
      <c r="P499" s="19" t="str">
        <f t="shared" si="92"/>
        <v>카페24뉴트리셔스밤HAIR RÉ:COVERY 15 Nutritious Balm [라베나 리커버리 15 뉴트리셔스 밤]제품선택=뉴트리셔스 밤 3개 세트 10% 추가할인201210</v>
      </c>
    </row>
    <row r="500" spans="2:16" x14ac:dyDescent="0.3">
      <c r="B500" s="2">
        <v>44196</v>
      </c>
      <c r="C500" s="19" t="str">
        <f t="shared" si="94"/>
        <v>목</v>
      </c>
      <c r="E500" s="17" t="str">
        <f>INDEX(매칭테이블!C:C,MATCH(RD!G500,매칭테이블!D:D,0))</f>
        <v>샴푸</v>
      </c>
      <c r="F500" t="s">
        <v>91</v>
      </c>
      <c r="G500" t="s">
        <v>92</v>
      </c>
      <c r="H500">
        <v>6</v>
      </c>
      <c r="I500" s="17" t="str">
        <f>VLOOKUP(G500,매칭테이블!D:E,2,0)</f>
        <v>리바이탈 샴푸</v>
      </c>
      <c r="J500">
        <v>201210</v>
      </c>
      <c r="L500" s="19">
        <f>VLOOKUP($P500,매칭테이블!$G:$J,2,0)*H500</f>
        <v>161400</v>
      </c>
      <c r="M500" s="19">
        <f>L500-L500*VLOOKUP($P500,매칭테이블!$G:$J,3,0)</f>
        <v>151958.1</v>
      </c>
      <c r="N500" s="19">
        <f>VLOOKUP($P500,매칭테이블!$G:$J,4,0)*H500</f>
        <v>18120</v>
      </c>
      <c r="O500" s="20">
        <f t="shared" si="93"/>
        <v>146727.27272727271</v>
      </c>
      <c r="P500" s="19" t="str">
        <f t="shared" si="92"/>
        <v>카페24샴푸HAIR RÉ:COVERY 15 Revital Shampoo [라베나 리커버리 15 리바이탈 샴푸]제품선택=헤어 리커버리 15 리바이탈 샴푸 - 500ml201210</v>
      </c>
    </row>
    <row r="501" spans="2:16" x14ac:dyDescent="0.3">
      <c r="B501" s="2">
        <v>44196</v>
      </c>
      <c r="C501" s="19" t="str">
        <f t="shared" si="94"/>
        <v>목</v>
      </c>
      <c r="E501" s="17" t="str">
        <f>INDEX(매칭테이블!C:C,MATCH(RD!G501,매칭테이블!D:D,0))</f>
        <v>샴푸</v>
      </c>
      <c r="F501" t="s">
        <v>91</v>
      </c>
      <c r="G501" t="s">
        <v>93</v>
      </c>
      <c r="H501">
        <v>4</v>
      </c>
      <c r="I501" s="17" t="str">
        <f>VLOOKUP(G501,매칭테이블!D:E,2,0)</f>
        <v>리바이탈 샴푸</v>
      </c>
      <c r="J501">
        <v>201210</v>
      </c>
      <c r="L501" s="19">
        <f>VLOOKUP($P501,매칭테이블!$G:$J,2,0)*H501</f>
        <v>204440</v>
      </c>
      <c r="M501" s="19">
        <f>L501-L501*VLOOKUP($P501,매칭테이블!$G:$J,3,0)</f>
        <v>192480.26</v>
      </c>
      <c r="N501" s="19">
        <f>VLOOKUP($P501,매칭테이블!$G:$J,4,0)*H501</f>
        <v>24160</v>
      </c>
      <c r="O501" s="20">
        <f t="shared" si="93"/>
        <v>185854.54545454544</v>
      </c>
      <c r="P501" s="19" t="str">
        <f t="shared" si="92"/>
        <v>카페24샴푸HAIR RÉ:COVERY 15 Revital Shampoo [라베나 리커버리 15 리바이탈 샴푸]제품선택=리바이탈 샴푸 2개 세트 5%추가할인201210</v>
      </c>
    </row>
    <row r="502" spans="2:16" x14ac:dyDescent="0.3">
      <c r="B502" s="2">
        <v>44197</v>
      </c>
      <c r="C502" s="19" t="str">
        <f t="shared" si="94"/>
        <v>금</v>
      </c>
      <c r="E502" s="17" t="str">
        <f>INDEX(매칭테이블!C:C,MATCH(RD!G502,매칭테이블!D:D,0))</f>
        <v>트리트먼트</v>
      </c>
      <c r="F502" t="s">
        <v>91</v>
      </c>
      <c r="G502" t="s">
        <v>115</v>
      </c>
      <c r="H502">
        <v>13</v>
      </c>
      <c r="I502" s="17" t="str">
        <f>VLOOKUP(G502,매칭테이블!D:E,2,0)</f>
        <v>트리트먼트</v>
      </c>
      <c r="J502">
        <v>201210</v>
      </c>
      <c r="L502" s="19">
        <f>VLOOKUP($P502,매칭테이블!$G:$J,2,0)*H502</f>
        <v>338000</v>
      </c>
      <c r="M502" s="19">
        <f>L502-L502*VLOOKUP($P502,매칭테이블!$G:$J,3,0)</f>
        <v>318227</v>
      </c>
      <c r="N502" s="19">
        <f>VLOOKUP($P502,매칭테이블!$G:$J,4,0)*H502</f>
        <v>20761</v>
      </c>
      <c r="O502" s="20">
        <f t="shared" ref="O502:O511" si="95">L502/1.1</f>
        <v>307272.72727272724</v>
      </c>
      <c r="P502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503" spans="2:16" x14ac:dyDescent="0.3">
      <c r="B503" s="2">
        <v>44197</v>
      </c>
      <c r="C503" s="19" t="str">
        <f t="shared" ref="C503:C511" si="96">TEXT(B503,"aaa")</f>
        <v>금</v>
      </c>
      <c r="E503" s="17" t="str">
        <f>INDEX(매칭테이블!C:C,MATCH(RD!G503,매칭테이블!D:D,0))</f>
        <v>트리트먼트</v>
      </c>
      <c r="F503" t="s">
        <v>91</v>
      </c>
      <c r="G503" t="s">
        <v>116</v>
      </c>
      <c r="H503">
        <v>3</v>
      </c>
      <c r="I503" s="17" t="str">
        <f>VLOOKUP(G503,매칭테이블!D:E,2,0)</f>
        <v>트리트먼트 2set</v>
      </c>
      <c r="J503">
        <v>201210</v>
      </c>
      <c r="L503" s="19">
        <f>VLOOKUP($P503,매칭테이블!$G:$J,2,0)*H503</f>
        <v>148200</v>
      </c>
      <c r="M503" s="19">
        <f>L503-L503*VLOOKUP($P503,매칭테이블!$G:$J,3,0)</f>
        <v>139530.29999999999</v>
      </c>
      <c r="N503" s="19">
        <f>VLOOKUP($P503,매칭테이블!$G:$J,4,0)*H503</f>
        <v>9582</v>
      </c>
      <c r="O503" s="20">
        <f t="shared" si="95"/>
        <v>134727.27272727271</v>
      </c>
      <c r="P503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504" spans="2:16" x14ac:dyDescent="0.3">
      <c r="B504" s="2">
        <v>44197</v>
      </c>
      <c r="C504" s="19" t="str">
        <f t="shared" si="96"/>
        <v>금</v>
      </c>
      <c r="E504" s="17" t="str">
        <f>INDEX(매칭테이블!C:C,MATCH(RD!G504,매칭테이블!D:D,0))</f>
        <v>트리트먼트</v>
      </c>
      <c r="F504" t="s">
        <v>91</v>
      </c>
      <c r="G504" t="s">
        <v>117</v>
      </c>
      <c r="H504">
        <v>2</v>
      </c>
      <c r="I504" s="17" t="str">
        <f>VLOOKUP(G504,매칭테이블!D:E,2,0)</f>
        <v>트리트먼트+뉴트리셔스밤</v>
      </c>
      <c r="J504">
        <v>201210</v>
      </c>
      <c r="L504" s="19">
        <f>VLOOKUP($P504,매칭테이블!$G:$J,2,0)*H504</f>
        <v>96710</v>
      </c>
      <c r="M504" s="19">
        <f>L504-L504*VLOOKUP($P504,매칭테이블!$G:$J,3,0)</f>
        <v>91052.464999999997</v>
      </c>
      <c r="N504" s="19">
        <f>VLOOKUP($P504,매칭테이블!$G:$J,4,0)*H504</f>
        <v>6354</v>
      </c>
      <c r="O504" s="20">
        <f t="shared" si="95"/>
        <v>87918.181818181809</v>
      </c>
      <c r="P504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505" spans="2:16" x14ac:dyDescent="0.3">
      <c r="B505" s="2">
        <v>44197</v>
      </c>
      <c r="C505" s="19" t="str">
        <f t="shared" si="96"/>
        <v>금</v>
      </c>
      <c r="E505" s="17" t="str">
        <f>INDEX(매칭테이블!C:C,MATCH(RD!G505,매칭테이블!D:D,0))</f>
        <v>뉴트리셔스밤</v>
      </c>
      <c r="F505" t="s">
        <v>91</v>
      </c>
      <c r="G505" t="s">
        <v>118</v>
      </c>
      <c r="H505">
        <v>7</v>
      </c>
      <c r="I505" s="17" t="str">
        <f>VLOOKUP(G505,매칭테이블!D:E,2,0)</f>
        <v>뉴트리셔스밤</v>
      </c>
      <c r="J505">
        <v>201210</v>
      </c>
      <c r="L505" s="19">
        <f>VLOOKUP($P505,매칭테이블!$G:$J,2,0)*H505</f>
        <v>174300</v>
      </c>
      <c r="M505" s="19">
        <f>L505-L505*VLOOKUP($P505,매칭테이블!$G:$J,3,0)</f>
        <v>164103.45000000001</v>
      </c>
      <c r="N505" s="19">
        <f>VLOOKUP($P505,매칭테이블!$G:$J,4,0)*H505</f>
        <v>11060</v>
      </c>
      <c r="O505" s="20">
        <f t="shared" si="95"/>
        <v>158454.54545454544</v>
      </c>
      <c r="P505" s="19" t="str">
        <f t="shared" si="92"/>
        <v>카페24뉴트리셔스밤HAIR RÉ:COVERY 15 Nutritious Balm [라베나 리커버리 15 뉴트리셔스 밤]제품선택=헤어 리커버리 15 뉴트리셔스 밤201210</v>
      </c>
    </row>
    <row r="506" spans="2:16" x14ac:dyDescent="0.3">
      <c r="B506" s="2">
        <v>44197</v>
      </c>
      <c r="C506" s="19" t="str">
        <f t="shared" si="96"/>
        <v>금</v>
      </c>
      <c r="E506" s="17" t="str">
        <f>INDEX(매칭테이블!C:C,MATCH(RD!G506,매칭테이블!D:D,0))</f>
        <v>뉴트리셔스밤</v>
      </c>
      <c r="F506" t="s">
        <v>91</v>
      </c>
      <c r="G506" t="s">
        <v>121</v>
      </c>
      <c r="H506">
        <v>1</v>
      </c>
      <c r="I506" s="17" t="str">
        <f>VLOOKUP(G506,매칭테이블!D:E,2,0)</f>
        <v>뉴트리셔스밤 2set</v>
      </c>
      <c r="J506">
        <v>201210</v>
      </c>
      <c r="L506" s="19">
        <f>VLOOKUP($P506,매칭테이블!$G:$J,2,0)*H506</f>
        <v>47310</v>
      </c>
      <c r="M506" s="19">
        <f>L506-L506*VLOOKUP($P506,매칭테이블!$G:$J,3,0)</f>
        <v>44542.364999999998</v>
      </c>
      <c r="N506" s="19">
        <f>VLOOKUP($P506,매칭테이블!$G:$J,4,0)*H506</f>
        <v>3160</v>
      </c>
      <c r="O506" s="20">
        <f t="shared" si="95"/>
        <v>43009.090909090904</v>
      </c>
      <c r="P506" s="19" t="str">
        <f t="shared" si="92"/>
        <v>카페24뉴트리셔스밤HAIR RÉ:COVERY 15 Nutritious Balm [라베나 리커버리 15 뉴트리셔스 밤]제품선택=뉴트리셔스 밤 2개 세트 5% 추가할인201210</v>
      </c>
    </row>
    <row r="507" spans="2:16" x14ac:dyDescent="0.3">
      <c r="B507" s="2">
        <v>44197</v>
      </c>
      <c r="C507" s="19" t="str">
        <f t="shared" si="96"/>
        <v>금</v>
      </c>
      <c r="E507" s="17" t="str">
        <f>INDEX(매칭테이블!C:C,MATCH(RD!G507,매칭테이블!D:D,0))</f>
        <v>뉴트리셔스밤</v>
      </c>
      <c r="F507" t="s">
        <v>91</v>
      </c>
      <c r="G507" t="s">
        <v>119</v>
      </c>
      <c r="H507">
        <v>1</v>
      </c>
      <c r="I507" s="17" t="str">
        <f>VLOOKUP(G507,매칭테이블!D:E,2,0)</f>
        <v>뉴트리셔스밤 3set</v>
      </c>
      <c r="J507">
        <v>201210</v>
      </c>
      <c r="L507" s="19">
        <f>VLOOKUP($P507,매칭테이블!$G:$J,2,0)*H507</f>
        <v>67230</v>
      </c>
      <c r="M507" s="19">
        <f>L507-L507*VLOOKUP($P507,매칭테이블!$G:$J,3,0)</f>
        <v>63297.044999999998</v>
      </c>
      <c r="N507" s="19">
        <f>VLOOKUP($P507,매칭테이블!$G:$J,4,0)*H507</f>
        <v>4740</v>
      </c>
      <c r="O507" s="20">
        <f t="shared" si="95"/>
        <v>61118.181818181816</v>
      </c>
      <c r="P507" s="19" t="str">
        <f t="shared" si="92"/>
        <v>카페24뉴트리셔스밤HAIR RÉ:COVERY 15 Nutritious Balm [라베나 리커버리 15 뉴트리셔스 밤]제품선택=뉴트리셔스 밤 3개 세트 10% 추가할인201210</v>
      </c>
    </row>
    <row r="508" spans="2:16" x14ac:dyDescent="0.3">
      <c r="B508" s="2">
        <v>44197</v>
      </c>
      <c r="C508" s="19" t="str">
        <f t="shared" si="96"/>
        <v>금</v>
      </c>
      <c r="E508" s="17" t="str">
        <f>INDEX(매칭테이블!C:C,MATCH(RD!G508,매칭테이블!D:D,0))</f>
        <v>뉴트리셔스밤</v>
      </c>
      <c r="F508" t="s">
        <v>91</v>
      </c>
      <c r="G508" t="s">
        <v>122</v>
      </c>
      <c r="H508">
        <v>1</v>
      </c>
      <c r="I508" s="17" t="str">
        <f>VLOOKUP(G508,매칭테이블!D:E,2,0)</f>
        <v>트리트먼트+뉴트리셔스밤</v>
      </c>
      <c r="J508">
        <v>201210</v>
      </c>
      <c r="L508" s="19">
        <f>VLOOKUP($P508,매칭테이블!$G:$J,2,0)*H508</f>
        <v>48355</v>
      </c>
      <c r="M508" s="19">
        <f>L508-L508*VLOOKUP($P508,매칭테이블!$G:$J,3,0)</f>
        <v>45526.232499999998</v>
      </c>
      <c r="N508" s="19">
        <f>VLOOKUP($P508,매칭테이블!$G:$J,4,0)*H508</f>
        <v>3177</v>
      </c>
      <c r="O508" s="20">
        <f t="shared" si="95"/>
        <v>43959.090909090904</v>
      </c>
      <c r="P508" s="19" t="str">
        <f t="shared" si="92"/>
        <v>카페24뉴트리셔스밤HAIR RÉ:COVERY 15 Nutritious Balm [라베나 리커버리 15 뉴트리셔스 밤]제품선택=뉴트리셔스밤 1개 + 헤어팩 트리트먼트 1개 세트 5%추가할인201210</v>
      </c>
    </row>
    <row r="509" spans="2:16" x14ac:dyDescent="0.3">
      <c r="B509" s="2">
        <v>44197</v>
      </c>
      <c r="C509" s="19" t="str">
        <f t="shared" si="96"/>
        <v>금</v>
      </c>
      <c r="E509" s="17" t="str">
        <f>INDEX(매칭테이블!C:C,MATCH(RD!G509,매칭테이블!D:D,0))</f>
        <v>샴푸</v>
      </c>
      <c r="F509" t="s">
        <v>91</v>
      </c>
      <c r="G509" t="s">
        <v>92</v>
      </c>
      <c r="H509">
        <v>9</v>
      </c>
      <c r="I509" s="17" t="str">
        <f>VLOOKUP(G509,매칭테이블!D:E,2,0)</f>
        <v>리바이탈 샴푸</v>
      </c>
      <c r="J509">
        <v>201210</v>
      </c>
      <c r="L509" s="19">
        <f>VLOOKUP($P509,매칭테이블!$G:$J,2,0)*H509</f>
        <v>242100</v>
      </c>
      <c r="M509" s="19">
        <f>L509-L509*VLOOKUP($P509,매칭테이블!$G:$J,3,0)</f>
        <v>227937.15</v>
      </c>
      <c r="N509" s="19">
        <f>VLOOKUP($P509,매칭테이블!$G:$J,4,0)*H509</f>
        <v>27180</v>
      </c>
      <c r="O509" s="20">
        <f t="shared" si="95"/>
        <v>220090.90909090906</v>
      </c>
      <c r="P509" s="19" t="str">
        <f t="shared" si="92"/>
        <v>카페24샴푸HAIR RÉ:COVERY 15 Revital Shampoo [라베나 리커버리 15 리바이탈 샴푸]제품선택=헤어 리커버리 15 리바이탈 샴푸 - 500ml201210</v>
      </c>
    </row>
    <row r="510" spans="2:16" x14ac:dyDescent="0.3">
      <c r="B510" s="2">
        <v>44197</v>
      </c>
      <c r="C510" s="19" t="str">
        <f t="shared" si="96"/>
        <v>금</v>
      </c>
      <c r="E510" s="17" t="str">
        <f>INDEX(매칭테이블!C:C,MATCH(RD!G510,매칭테이블!D:D,0))</f>
        <v>샴푸</v>
      </c>
      <c r="F510" t="s">
        <v>91</v>
      </c>
      <c r="G510" t="s">
        <v>93</v>
      </c>
      <c r="H510">
        <v>2</v>
      </c>
      <c r="I510" s="17" t="str">
        <f>VLOOKUP(G510,매칭테이블!D:E,2,0)</f>
        <v>리바이탈 샴푸</v>
      </c>
      <c r="J510">
        <v>201210</v>
      </c>
      <c r="L510" s="19">
        <f>VLOOKUP($P510,매칭테이블!$G:$J,2,0)*H510</f>
        <v>102220</v>
      </c>
      <c r="M510" s="19">
        <f>L510-L510*VLOOKUP($P510,매칭테이블!$G:$J,3,0)</f>
        <v>96240.13</v>
      </c>
      <c r="N510" s="19">
        <f>VLOOKUP($P510,매칭테이블!$G:$J,4,0)*H510</f>
        <v>12080</v>
      </c>
      <c r="O510" s="20">
        <f t="shared" si="95"/>
        <v>92927.272727272721</v>
      </c>
      <c r="P510" s="19" t="str">
        <f t="shared" si="92"/>
        <v>카페24샴푸HAIR RÉ:COVERY 15 Revital Shampoo [라베나 리커버리 15 리바이탈 샴푸]제품선택=리바이탈 샴푸 2개 세트 5%추가할인201210</v>
      </c>
    </row>
    <row r="511" spans="2:16" x14ac:dyDescent="0.3">
      <c r="B511" s="2">
        <v>44197</v>
      </c>
      <c r="C511" s="19" t="str">
        <f t="shared" si="96"/>
        <v>금</v>
      </c>
      <c r="E511" s="17" t="str">
        <f>INDEX(매칭테이블!C:C,MATCH(RD!G511,매칭테이블!D:D,0))</f>
        <v>샴푸</v>
      </c>
      <c r="F511" t="s">
        <v>91</v>
      </c>
      <c r="G511" t="s">
        <v>94</v>
      </c>
      <c r="H511">
        <v>3</v>
      </c>
      <c r="I511" s="17" t="str">
        <f>VLOOKUP(G511,매칭테이블!D:E,2,0)</f>
        <v>리바이탈 샴푸 3set</v>
      </c>
      <c r="J511">
        <v>201210</v>
      </c>
      <c r="L511" s="19">
        <f>VLOOKUP($P511,매칭테이블!$G:$J,2,0)*H511</f>
        <v>217890</v>
      </c>
      <c r="M511" s="19">
        <f>L511-L511*VLOOKUP($P511,매칭테이블!$G:$J,3,0)</f>
        <v>205143.435</v>
      </c>
      <c r="N511" s="19">
        <f>VLOOKUP($P511,매칭테이블!$G:$J,4,0)*H511</f>
        <v>27180</v>
      </c>
      <c r="O511" s="20">
        <f t="shared" si="95"/>
        <v>198081.81818181818</v>
      </c>
      <c r="P511" s="19" t="str">
        <f t="shared" si="92"/>
        <v>카페24샴푸HAIR RÉ:COVERY 15 Revital Shampoo [라베나 리커버리 15 리바이탈 샴푸]제품선택=리바이탈 샴푸 3개 세트 10% 추가할인201210</v>
      </c>
    </row>
    <row r="512" spans="2:16" x14ac:dyDescent="0.3">
      <c r="B512" s="2">
        <v>44198</v>
      </c>
      <c r="C512" s="19" t="str">
        <f t="shared" ref="C512" si="97">TEXT(B512,"aaa")</f>
        <v>토</v>
      </c>
      <c r="E512" s="17" t="str">
        <f>INDEX(매칭테이블!C:C,MATCH(RD!G512,매칭테이블!D:D,0))</f>
        <v>트리트먼트</v>
      </c>
      <c r="F512" t="s">
        <v>91</v>
      </c>
      <c r="G512" t="s">
        <v>115</v>
      </c>
      <c r="H512">
        <v>11</v>
      </c>
      <c r="I512" s="17" t="str">
        <f>VLOOKUP(G512,매칭테이블!D:E,2,0)</f>
        <v>트리트먼트</v>
      </c>
      <c r="J512">
        <v>201210</v>
      </c>
      <c r="L512" s="19">
        <f>VLOOKUP($P512,매칭테이블!$G:$J,2,0)*H512</f>
        <v>286000</v>
      </c>
      <c r="M512" s="19">
        <f>L512-L512*VLOOKUP($P512,매칭테이블!$G:$J,3,0)</f>
        <v>269269</v>
      </c>
      <c r="N512" s="19">
        <f>VLOOKUP($P512,매칭테이블!$G:$J,4,0)*H512</f>
        <v>17567</v>
      </c>
      <c r="O512" s="20">
        <f t="shared" ref="O512" si="98">L512/1.1</f>
        <v>259999.99999999997</v>
      </c>
      <c r="P512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513" spans="2:16" x14ac:dyDescent="0.3">
      <c r="B513" s="2">
        <v>44198</v>
      </c>
      <c r="C513" s="19" t="str">
        <f t="shared" ref="C513:C520" si="99">TEXT(B513,"aaa")</f>
        <v>토</v>
      </c>
      <c r="E513" s="17" t="str">
        <f>INDEX(매칭테이블!C:C,MATCH(RD!G513,매칭테이블!D:D,0))</f>
        <v>트리트먼트</v>
      </c>
      <c r="F513" t="s">
        <v>91</v>
      </c>
      <c r="G513" t="s">
        <v>116</v>
      </c>
      <c r="H513">
        <v>1</v>
      </c>
      <c r="I513" s="17" t="str">
        <f>VLOOKUP(G513,매칭테이블!D:E,2,0)</f>
        <v>트리트먼트 2set</v>
      </c>
      <c r="J513">
        <v>201210</v>
      </c>
      <c r="L513" s="19">
        <f>VLOOKUP($P513,매칭테이블!$G:$J,2,0)*H513</f>
        <v>49400</v>
      </c>
      <c r="M513" s="19">
        <f>L513-L513*VLOOKUP($P513,매칭테이블!$G:$J,3,0)</f>
        <v>46510.1</v>
      </c>
      <c r="N513" s="19">
        <f>VLOOKUP($P513,매칭테이블!$G:$J,4,0)*H513</f>
        <v>3194</v>
      </c>
      <c r="O513" s="20">
        <f t="shared" ref="O513:O520" si="100">L513/1.1</f>
        <v>44909.090909090904</v>
      </c>
      <c r="P513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514" spans="2:16" x14ac:dyDescent="0.3">
      <c r="B514" s="2">
        <v>44198</v>
      </c>
      <c r="C514" s="19" t="str">
        <f t="shared" si="99"/>
        <v>토</v>
      </c>
      <c r="E514" s="17" t="str">
        <f>INDEX(매칭테이블!C:C,MATCH(RD!G514,매칭테이블!D:D,0))</f>
        <v>트리트먼트</v>
      </c>
      <c r="F514" t="s">
        <v>91</v>
      </c>
      <c r="G514" t="s">
        <v>117</v>
      </c>
      <c r="H514">
        <v>3</v>
      </c>
      <c r="I514" s="17" t="str">
        <f>VLOOKUP(G514,매칭테이블!D:E,2,0)</f>
        <v>트리트먼트+뉴트리셔스밤</v>
      </c>
      <c r="J514">
        <v>201210</v>
      </c>
      <c r="L514" s="19">
        <f>VLOOKUP($P514,매칭테이블!$G:$J,2,0)*H514</f>
        <v>145065</v>
      </c>
      <c r="M514" s="19">
        <f>L514-L514*VLOOKUP($P514,매칭테이블!$G:$J,3,0)</f>
        <v>136578.69750000001</v>
      </c>
      <c r="N514" s="19">
        <f>VLOOKUP($P514,매칭테이블!$G:$J,4,0)*H514</f>
        <v>9531</v>
      </c>
      <c r="O514" s="20">
        <f t="shared" si="100"/>
        <v>131877.27272727271</v>
      </c>
      <c r="P514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515" spans="2:16" x14ac:dyDescent="0.3">
      <c r="B515" s="2">
        <v>44198</v>
      </c>
      <c r="C515" s="19" t="str">
        <f t="shared" si="99"/>
        <v>토</v>
      </c>
      <c r="E515" s="17" t="str">
        <f>INDEX(매칭테이블!C:C,MATCH(RD!G515,매칭테이블!D:D,0))</f>
        <v>뉴트리셔스밤</v>
      </c>
      <c r="F515" t="s">
        <v>91</v>
      </c>
      <c r="G515" t="s">
        <v>118</v>
      </c>
      <c r="H515">
        <v>11</v>
      </c>
      <c r="I515" s="17" t="str">
        <f>VLOOKUP(G515,매칭테이블!D:E,2,0)</f>
        <v>뉴트리셔스밤</v>
      </c>
      <c r="J515">
        <v>201210</v>
      </c>
      <c r="L515" s="19">
        <f>VLOOKUP($P515,매칭테이블!$G:$J,2,0)*H515</f>
        <v>273900</v>
      </c>
      <c r="M515" s="19">
        <f>L515-L515*VLOOKUP($P515,매칭테이블!$G:$J,3,0)</f>
        <v>257876.85</v>
      </c>
      <c r="N515" s="19">
        <f>VLOOKUP($P515,매칭테이블!$G:$J,4,0)*H515</f>
        <v>17380</v>
      </c>
      <c r="O515" s="20">
        <f t="shared" si="100"/>
        <v>248999.99999999997</v>
      </c>
      <c r="P515" s="19" t="str">
        <f t="shared" si="92"/>
        <v>카페24뉴트리셔스밤HAIR RÉ:COVERY 15 Nutritious Balm [라베나 리커버리 15 뉴트리셔스 밤]제품선택=헤어 리커버리 15 뉴트리셔스 밤201210</v>
      </c>
    </row>
    <row r="516" spans="2:16" x14ac:dyDescent="0.3">
      <c r="B516" s="2">
        <v>44198</v>
      </c>
      <c r="C516" s="19" t="str">
        <f t="shared" si="99"/>
        <v>토</v>
      </c>
      <c r="E516" s="17" t="str">
        <f>INDEX(매칭테이블!C:C,MATCH(RD!G516,매칭테이블!D:D,0))</f>
        <v>뉴트리셔스밤</v>
      </c>
      <c r="F516" t="s">
        <v>91</v>
      </c>
      <c r="G516" t="s">
        <v>121</v>
      </c>
      <c r="H516">
        <v>4</v>
      </c>
      <c r="I516" s="17" t="str">
        <f>VLOOKUP(G516,매칭테이블!D:E,2,0)</f>
        <v>뉴트리셔스밤 2set</v>
      </c>
      <c r="J516">
        <v>201210</v>
      </c>
      <c r="L516" s="19">
        <f>VLOOKUP($P516,매칭테이블!$G:$J,2,0)*H516</f>
        <v>189240</v>
      </c>
      <c r="M516" s="19">
        <f>L516-L516*VLOOKUP($P516,매칭테이블!$G:$J,3,0)</f>
        <v>178169.46</v>
      </c>
      <c r="N516" s="19">
        <f>VLOOKUP($P516,매칭테이블!$G:$J,4,0)*H516</f>
        <v>12640</v>
      </c>
      <c r="O516" s="20">
        <f t="shared" si="100"/>
        <v>172036.36363636362</v>
      </c>
      <c r="P516" s="19" t="str">
        <f t="shared" si="92"/>
        <v>카페24뉴트리셔스밤HAIR RÉ:COVERY 15 Nutritious Balm [라베나 리커버리 15 뉴트리셔스 밤]제품선택=뉴트리셔스 밤 2개 세트 5% 추가할인201210</v>
      </c>
    </row>
    <row r="517" spans="2:16" x14ac:dyDescent="0.3">
      <c r="B517" s="2">
        <v>44198</v>
      </c>
      <c r="C517" s="19" t="str">
        <f t="shared" si="99"/>
        <v>토</v>
      </c>
      <c r="E517" s="17" t="str">
        <f>INDEX(매칭테이블!C:C,MATCH(RD!G517,매칭테이블!D:D,0))</f>
        <v>뉴트리셔스밤</v>
      </c>
      <c r="F517" t="s">
        <v>91</v>
      </c>
      <c r="G517" t="s">
        <v>122</v>
      </c>
      <c r="H517">
        <v>1</v>
      </c>
      <c r="I517" s="17" t="str">
        <f>VLOOKUP(G517,매칭테이블!D:E,2,0)</f>
        <v>트리트먼트+뉴트리셔스밤</v>
      </c>
      <c r="J517">
        <v>201210</v>
      </c>
      <c r="L517" s="19">
        <f>VLOOKUP($P517,매칭테이블!$G:$J,2,0)*H517</f>
        <v>48355</v>
      </c>
      <c r="M517" s="19">
        <f>L517-L517*VLOOKUP($P517,매칭테이블!$G:$J,3,0)</f>
        <v>45526.232499999998</v>
      </c>
      <c r="N517" s="19">
        <f>VLOOKUP($P517,매칭테이블!$G:$J,4,0)*H517</f>
        <v>3177</v>
      </c>
      <c r="O517" s="20">
        <f t="shared" si="100"/>
        <v>43959.090909090904</v>
      </c>
      <c r="P517" s="19" t="str">
        <f t="shared" si="92"/>
        <v>카페24뉴트리셔스밤HAIR RÉ:COVERY 15 Nutritious Balm [라베나 리커버리 15 뉴트리셔스 밤]제품선택=뉴트리셔스밤 1개 + 헤어팩 트리트먼트 1개 세트 5%추가할인201210</v>
      </c>
    </row>
    <row r="518" spans="2:16" x14ac:dyDescent="0.3">
      <c r="B518" s="2">
        <v>44198</v>
      </c>
      <c r="C518" s="19" t="str">
        <f t="shared" si="99"/>
        <v>토</v>
      </c>
      <c r="E518" s="17" t="str">
        <f>INDEX(매칭테이블!C:C,MATCH(RD!G518,매칭테이블!D:D,0))</f>
        <v>샴푸</v>
      </c>
      <c r="F518" t="s">
        <v>91</v>
      </c>
      <c r="G518" t="s">
        <v>92</v>
      </c>
      <c r="H518">
        <v>15</v>
      </c>
      <c r="I518" s="17" t="str">
        <f>VLOOKUP(G518,매칭테이블!D:E,2,0)</f>
        <v>리바이탈 샴푸</v>
      </c>
      <c r="J518">
        <v>201210</v>
      </c>
      <c r="L518" s="19">
        <f>VLOOKUP($P518,매칭테이블!$G:$J,2,0)*H518</f>
        <v>403500</v>
      </c>
      <c r="M518" s="19">
        <f>L518-L518*VLOOKUP($P518,매칭테이블!$G:$J,3,0)</f>
        <v>379895.25</v>
      </c>
      <c r="N518" s="19">
        <f>VLOOKUP($P518,매칭테이블!$G:$J,4,0)*H518</f>
        <v>45300</v>
      </c>
      <c r="O518" s="20">
        <f t="shared" si="100"/>
        <v>366818.18181818177</v>
      </c>
      <c r="P518" s="19" t="str">
        <f t="shared" si="92"/>
        <v>카페24샴푸HAIR RÉ:COVERY 15 Revital Shampoo [라베나 리커버리 15 리바이탈 샴푸]제품선택=헤어 리커버리 15 리바이탈 샴푸 - 500ml201210</v>
      </c>
    </row>
    <row r="519" spans="2:16" x14ac:dyDescent="0.3">
      <c r="B519" s="2">
        <v>44198</v>
      </c>
      <c r="C519" s="19" t="str">
        <f t="shared" si="99"/>
        <v>토</v>
      </c>
      <c r="E519" s="17" t="str">
        <f>INDEX(매칭테이블!C:C,MATCH(RD!G519,매칭테이블!D:D,0))</f>
        <v>샴푸</v>
      </c>
      <c r="F519" t="s">
        <v>91</v>
      </c>
      <c r="G519" t="s">
        <v>93</v>
      </c>
      <c r="H519">
        <v>6</v>
      </c>
      <c r="I519" s="17" t="str">
        <f>VLOOKUP(G519,매칭테이블!D:E,2,0)</f>
        <v>리바이탈 샴푸</v>
      </c>
      <c r="J519">
        <v>201210</v>
      </c>
      <c r="L519" s="19">
        <f>VLOOKUP($P519,매칭테이블!$G:$J,2,0)*H519</f>
        <v>306660</v>
      </c>
      <c r="M519" s="19">
        <f>L519-L519*VLOOKUP($P519,매칭테이블!$G:$J,3,0)</f>
        <v>288720.39</v>
      </c>
      <c r="N519" s="19">
        <f>VLOOKUP($P519,매칭테이블!$G:$J,4,0)*H519</f>
        <v>36240</v>
      </c>
      <c r="O519" s="20">
        <f t="shared" si="100"/>
        <v>278781.81818181818</v>
      </c>
      <c r="P519" s="19" t="str">
        <f t="shared" si="92"/>
        <v>카페24샴푸HAIR RÉ:COVERY 15 Revital Shampoo [라베나 리커버리 15 리바이탈 샴푸]제품선택=리바이탈 샴푸 2개 세트 5%추가할인201210</v>
      </c>
    </row>
    <row r="520" spans="2:16" x14ac:dyDescent="0.3">
      <c r="B520" s="2">
        <v>44198</v>
      </c>
      <c r="C520" s="19" t="str">
        <f t="shared" si="99"/>
        <v>토</v>
      </c>
      <c r="E520" s="17" t="str">
        <f>INDEX(매칭테이블!C:C,MATCH(RD!G520,매칭테이블!D:D,0))</f>
        <v>샴푸</v>
      </c>
      <c r="F520" t="s">
        <v>91</v>
      </c>
      <c r="G520" t="s">
        <v>94</v>
      </c>
      <c r="H520">
        <v>4</v>
      </c>
      <c r="I520" s="17" t="str">
        <f>VLOOKUP(G520,매칭테이블!D:E,2,0)</f>
        <v>리바이탈 샴푸 3set</v>
      </c>
      <c r="J520">
        <v>201210</v>
      </c>
      <c r="L520" s="19">
        <f>VLOOKUP($P520,매칭테이블!$G:$J,2,0)*H520</f>
        <v>290520</v>
      </c>
      <c r="M520" s="19">
        <f>L520-L520*VLOOKUP($P520,매칭테이블!$G:$J,3,0)</f>
        <v>273524.58</v>
      </c>
      <c r="N520" s="19">
        <f>VLOOKUP($P520,매칭테이블!$G:$J,4,0)*H520</f>
        <v>36240</v>
      </c>
      <c r="O520" s="20">
        <f t="shared" si="100"/>
        <v>264109.09090909088</v>
      </c>
      <c r="P520" s="19" t="str">
        <f t="shared" si="92"/>
        <v>카페24샴푸HAIR RÉ:COVERY 15 Revital Shampoo [라베나 리커버리 15 리바이탈 샴푸]제품선택=리바이탈 샴푸 3개 세트 10% 추가할인201210</v>
      </c>
    </row>
    <row r="521" spans="2:16" x14ac:dyDescent="0.3">
      <c r="B521" s="2">
        <v>44199</v>
      </c>
      <c r="C521" s="19" t="str">
        <f t="shared" ref="C521" si="101">TEXT(B521,"aaa")</f>
        <v>일</v>
      </c>
      <c r="E521" s="17" t="str">
        <f>INDEX(매칭테이블!C:C,MATCH(RD!G521,매칭테이블!D:D,0))</f>
        <v>트리트먼트</v>
      </c>
      <c r="F521" t="s">
        <v>91</v>
      </c>
      <c r="G521" t="s">
        <v>115</v>
      </c>
      <c r="H521">
        <v>17</v>
      </c>
      <c r="I521" s="17" t="str">
        <f>VLOOKUP(G521,매칭테이블!D:E,2,0)</f>
        <v>트리트먼트</v>
      </c>
      <c r="J521">
        <v>201210</v>
      </c>
      <c r="L521" s="19">
        <f>VLOOKUP($P521,매칭테이블!$G:$J,2,0)*H521</f>
        <v>442000</v>
      </c>
      <c r="M521" s="19">
        <f>L521-L521*VLOOKUP($P521,매칭테이블!$G:$J,3,0)</f>
        <v>416143</v>
      </c>
      <c r="N521" s="19">
        <f>VLOOKUP($P521,매칭테이블!$G:$J,4,0)*H521</f>
        <v>27149</v>
      </c>
      <c r="O521" s="20">
        <f t="shared" ref="O521" si="102">L521/1.1</f>
        <v>401818.18181818177</v>
      </c>
      <c r="P521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522" spans="2:16" x14ac:dyDescent="0.3">
      <c r="B522" s="2">
        <v>44199</v>
      </c>
      <c r="C522" s="19" t="str">
        <f t="shared" ref="C522:C531" si="103">TEXT(B522,"aaa")</f>
        <v>일</v>
      </c>
      <c r="E522" s="17" t="str">
        <f>INDEX(매칭테이블!C:C,MATCH(RD!G522,매칭테이블!D:D,0))</f>
        <v>트리트먼트</v>
      </c>
      <c r="F522" t="s">
        <v>91</v>
      </c>
      <c r="G522" t="s">
        <v>116</v>
      </c>
      <c r="H522">
        <v>3</v>
      </c>
      <c r="I522" s="17" t="str">
        <f>VLOOKUP(G522,매칭테이블!D:E,2,0)</f>
        <v>트리트먼트 2set</v>
      </c>
      <c r="J522">
        <v>201210</v>
      </c>
      <c r="L522" s="19">
        <f>VLOOKUP($P522,매칭테이블!$G:$J,2,0)*H522</f>
        <v>148200</v>
      </c>
      <c r="M522" s="19">
        <f>L522-L522*VLOOKUP($P522,매칭테이블!$G:$J,3,0)</f>
        <v>139530.29999999999</v>
      </c>
      <c r="N522" s="19">
        <f>VLOOKUP($P522,매칭테이블!$G:$J,4,0)*H522</f>
        <v>9582</v>
      </c>
      <c r="O522" s="20">
        <f t="shared" ref="O522:O531" si="104">L522/1.1</f>
        <v>134727.27272727271</v>
      </c>
      <c r="P522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523" spans="2:16" x14ac:dyDescent="0.3">
      <c r="B523" s="2">
        <v>44199</v>
      </c>
      <c r="C523" s="19" t="str">
        <f t="shared" si="103"/>
        <v>일</v>
      </c>
      <c r="E523" s="17" t="str">
        <f>INDEX(매칭테이블!C:C,MATCH(RD!G523,매칭테이블!D:D,0))</f>
        <v>트리트먼트</v>
      </c>
      <c r="F523" t="s">
        <v>91</v>
      </c>
      <c r="G523" t="s">
        <v>120</v>
      </c>
      <c r="H523">
        <v>4</v>
      </c>
      <c r="I523" s="17" t="str">
        <f>VLOOKUP(G523,매칭테이블!D:E,2,0)</f>
        <v>트리트먼트 3set</v>
      </c>
      <c r="J523">
        <v>201210</v>
      </c>
      <c r="L523" s="19">
        <f>VLOOKUP($P523,매칭테이블!$G:$J,2,0)*H523</f>
        <v>280800</v>
      </c>
      <c r="M523" s="19">
        <f>L523-L523*VLOOKUP($P523,매칭테이블!$G:$J,3,0)</f>
        <v>264373.2</v>
      </c>
      <c r="N523" s="19">
        <f>VLOOKUP($P523,매칭테이블!$G:$J,4,0)*H523</f>
        <v>19164</v>
      </c>
      <c r="O523" s="20">
        <f t="shared" si="104"/>
        <v>255272.72727272726</v>
      </c>
      <c r="P523" s="19" t="str">
        <f t="shared" si="92"/>
        <v>카페24트리트먼트HAIR RÉ:COVERY 15 Hairpack Treatment [라베나 리커버리 15 헤어팩 트리트먼트]제품선택=헤어팩 트리트먼트 3개 세트 10% 추가할인201210</v>
      </c>
    </row>
    <row r="524" spans="2:16" x14ac:dyDescent="0.3">
      <c r="B524" s="2">
        <v>44199</v>
      </c>
      <c r="C524" s="19" t="str">
        <f t="shared" si="103"/>
        <v>일</v>
      </c>
      <c r="E524" s="17" t="str">
        <f>INDEX(매칭테이블!C:C,MATCH(RD!G524,매칭테이블!D:D,0))</f>
        <v>트리트먼트</v>
      </c>
      <c r="F524" t="s">
        <v>91</v>
      </c>
      <c r="G524" t="s">
        <v>117</v>
      </c>
      <c r="H524">
        <v>5</v>
      </c>
      <c r="I524" s="17" t="str">
        <f>VLOOKUP(G524,매칭테이블!D:E,2,0)</f>
        <v>트리트먼트+뉴트리셔스밤</v>
      </c>
      <c r="J524">
        <v>201210</v>
      </c>
      <c r="L524" s="19">
        <f>VLOOKUP($P524,매칭테이블!$G:$J,2,0)*H524</f>
        <v>241775</v>
      </c>
      <c r="M524" s="19">
        <f>L524-L524*VLOOKUP($P524,매칭테이블!$G:$J,3,0)</f>
        <v>227631.16250000001</v>
      </c>
      <c r="N524" s="19">
        <f>VLOOKUP($P524,매칭테이블!$G:$J,4,0)*H524</f>
        <v>15885</v>
      </c>
      <c r="O524" s="20">
        <f t="shared" si="104"/>
        <v>219795.45454545453</v>
      </c>
      <c r="P524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525" spans="2:16" x14ac:dyDescent="0.3">
      <c r="B525" s="2">
        <v>44199</v>
      </c>
      <c r="C525" s="19" t="str">
        <f t="shared" si="103"/>
        <v>일</v>
      </c>
      <c r="E525" s="17" t="str">
        <f>INDEX(매칭테이블!C:C,MATCH(RD!G525,매칭테이블!D:D,0))</f>
        <v>뉴트리셔스밤</v>
      </c>
      <c r="F525" t="s">
        <v>91</v>
      </c>
      <c r="G525" t="s">
        <v>118</v>
      </c>
      <c r="H525">
        <v>9</v>
      </c>
      <c r="I525" s="17" t="str">
        <f>VLOOKUP(G525,매칭테이블!D:E,2,0)</f>
        <v>뉴트리셔스밤</v>
      </c>
      <c r="J525">
        <v>201210</v>
      </c>
      <c r="L525" s="19">
        <f>VLOOKUP($P525,매칭테이블!$G:$J,2,0)*H525</f>
        <v>224100</v>
      </c>
      <c r="M525" s="19">
        <f>L525-L525*VLOOKUP($P525,매칭테이블!$G:$J,3,0)</f>
        <v>210990.15</v>
      </c>
      <c r="N525" s="19">
        <f>VLOOKUP($P525,매칭테이블!$G:$J,4,0)*H525</f>
        <v>14220</v>
      </c>
      <c r="O525" s="20">
        <f t="shared" si="104"/>
        <v>203727.27272727271</v>
      </c>
      <c r="P525" s="19" t="str">
        <f t="shared" si="92"/>
        <v>카페24뉴트리셔스밤HAIR RÉ:COVERY 15 Nutritious Balm [라베나 리커버리 15 뉴트리셔스 밤]제품선택=헤어 리커버리 15 뉴트리셔스 밤201210</v>
      </c>
    </row>
    <row r="526" spans="2:16" x14ac:dyDescent="0.3">
      <c r="B526" s="2">
        <v>44199</v>
      </c>
      <c r="C526" s="19" t="str">
        <f t="shared" si="103"/>
        <v>일</v>
      </c>
      <c r="E526" s="17" t="str">
        <f>INDEX(매칭테이블!C:C,MATCH(RD!G526,매칭테이블!D:D,0))</f>
        <v>뉴트리셔스밤</v>
      </c>
      <c r="F526" t="s">
        <v>91</v>
      </c>
      <c r="G526" t="s">
        <v>121</v>
      </c>
      <c r="H526">
        <v>2</v>
      </c>
      <c r="I526" s="17" t="str">
        <f>VLOOKUP(G526,매칭테이블!D:E,2,0)</f>
        <v>뉴트리셔스밤 2set</v>
      </c>
      <c r="J526">
        <v>201210</v>
      </c>
      <c r="L526" s="19">
        <f>VLOOKUP($P526,매칭테이블!$G:$J,2,0)*H526</f>
        <v>94620</v>
      </c>
      <c r="M526" s="19">
        <f>L526-L526*VLOOKUP($P526,매칭테이블!$G:$J,3,0)</f>
        <v>89084.73</v>
      </c>
      <c r="N526" s="19">
        <f>VLOOKUP($P526,매칭테이블!$G:$J,4,0)*H526</f>
        <v>6320</v>
      </c>
      <c r="O526" s="20">
        <f t="shared" si="104"/>
        <v>86018.181818181809</v>
      </c>
      <c r="P526" s="19" t="str">
        <f t="shared" si="92"/>
        <v>카페24뉴트리셔스밤HAIR RÉ:COVERY 15 Nutritious Balm [라베나 리커버리 15 뉴트리셔스 밤]제품선택=뉴트리셔스 밤 2개 세트 5% 추가할인201210</v>
      </c>
    </row>
    <row r="527" spans="2:16" x14ac:dyDescent="0.3">
      <c r="B527" s="2">
        <v>44199</v>
      </c>
      <c r="C527" s="19" t="str">
        <f t="shared" si="103"/>
        <v>일</v>
      </c>
      <c r="E527" s="17" t="str">
        <f>INDEX(매칭테이블!C:C,MATCH(RD!G527,매칭테이블!D:D,0))</f>
        <v>뉴트리셔스밤</v>
      </c>
      <c r="F527" t="s">
        <v>91</v>
      </c>
      <c r="G527" t="s">
        <v>119</v>
      </c>
      <c r="H527">
        <v>2</v>
      </c>
      <c r="I527" s="17" t="str">
        <f>VLOOKUP(G527,매칭테이블!D:E,2,0)</f>
        <v>뉴트리셔스밤 3set</v>
      </c>
      <c r="J527">
        <v>201210</v>
      </c>
      <c r="L527" s="19">
        <f>VLOOKUP($P527,매칭테이블!$G:$J,2,0)*H527</f>
        <v>134460</v>
      </c>
      <c r="M527" s="19">
        <f>L527-L527*VLOOKUP($P527,매칭테이블!$G:$J,3,0)</f>
        <v>126594.09</v>
      </c>
      <c r="N527" s="19">
        <f>VLOOKUP($P527,매칭테이블!$G:$J,4,0)*H527</f>
        <v>9480</v>
      </c>
      <c r="O527" s="20">
        <f t="shared" si="104"/>
        <v>122236.36363636363</v>
      </c>
      <c r="P527" s="19" t="str">
        <f t="shared" si="92"/>
        <v>카페24뉴트리셔스밤HAIR RÉ:COVERY 15 Nutritious Balm [라베나 리커버리 15 뉴트리셔스 밤]제품선택=뉴트리셔스 밤 3개 세트 10% 추가할인201210</v>
      </c>
    </row>
    <row r="528" spans="2:16" x14ac:dyDescent="0.3">
      <c r="B528" s="2">
        <v>44199</v>
      </c>
      <c r="C528" s="19" t="str">
        <f t="shared" si="103"/>
        <v>일</v>
      </c>
      <c r="E528" s="17" t="str">
        <f>INDEX(매칭테이블!C:C,MATCH(RD!G528,매칭테이블!D:D,0))</f>
        <v>뉴트리셔스밤</v>
      </c>
      <c r="F528" t="s">
        <v>91</v>
      </c>
      <c r="G528" t="s">
        <v>122</v>
      </c>
      <c r="H528">
        <v>2</v>
      </c>
      <c r="I528" s="17" t="str">
        <f>VLOOKUP(G528,매칭테이블!D:E,2,0)</f>
        <v>트리트먼트+뉴트리셔스밤</v>
      </c>
      <c r="J528">
        <v>201210</v>
      </c>
      <c r="L528" s="19">
        <f>VLOOKUP($P528,매칭테이블!$G:$J,2,0)*H528</f>
        <v>96710</v>
      </c>
      <c r="M528" s="19">
        <f>L528-L528*VLOOKUP($P528,매칭테이블!$G:$J,3,0)</f>
        <v>91052.464999999997</v>
      </c>
      <c r="N528" s="19">
        <f>VLOOKUP($P528,매칭테이블!$G:$J,4,0)*H528</f>
        <v>6354</v>
      </c>
      <c r="O528" s="20">
        <f t="shared" si="104"/>
        <v>87918.181818181809</v>
      </c>
      <c r="P528" s="19" t="str">
        <f t="shared" si="92"/>
        <v>카페24뉴트리셔스밤HAIR RÉ:COVERY 15 Nutritious Balm [라베나 리커버리 15 뉴트리셔스 밤]제품선택=뉴트리셔스밤 1개 + 헤어팩 트리트먼트 1개 세트 5%추가할인201210</v>
      </c>
    </row>
    <row r="529" spans="2:16" x14ac:dyDescent="0.3">
      <c r="B529" s="2">
        <v>44199</v>
      </c>
      <c r="C529" s="19" t="str">
        <f t="shared" si="103"/>
        <v>일</v>
      </c>
      <c r="E529" s="17" t="str">
        <f>INDEX(매칭테이블!C:C,MATCH(RD!G529,매칭테이블!D:D,0))</f>
        <v>샴푸</v>
      </c>
      <c r="F529" t="s">
        <v>91</v>
      </c>
      <c r="G529" t="s">
        <v>92</v>
      </c>
      <c r="H529">
        <v>15</v>
      </c>
      <c r="I529" s="17" t="str">
        <f>VLOOKUP(G529,매칭테이블!D:E,2,0)</f>
        <v>리바이탈 샴푸</v>
      </c>
      <c r="J529">
        <v>201210</v>
      </c>
      <c r="L529" s="19">
        <f>VLOOKUP($P529,매칭테이블!$G:$J,2,0)*H529</f>
        <v>403500</v>
      </c>
      <c r="M529" s="19">
        <f>L529-L529*VLOOKUP($P529,매칭테이블!$G:$J,3,0)</f>
        <v>379895.25</v>
      </c>
      <c r="N529" s="19">
        <f>VLOOKUP($P529,매칭테이블!$G:$J,4,0)*H529</f>
        <v>45300</v>
      </c>
      <c r="O529" s="20">
        <f t="shared" si="104"/>
        <v>366818.18181818177</v>
      </c>
      <c r="P529" s="19" t="str">
        <f t="shared" si="92"/>
        <v>카페24샴푸HAIR RÉ:COVERY 15 Revital Shampoo [라베나 리커버리 15 리바이탈 샴푸]제품선택=헤어 리커버리 15 리바이탈 샴푸 - 500ml201210</v>
      </c>
    </row>
    <row r="530" spans="2:16" x14ac:dyDescent="0.3">
      <c r="B530" s="2">
        <v>44199</v>
      </c>
      <c r="C530" s="19" t="str">
        <f t="shared" si="103"/>
        <v>일</v>
      </c>
      <c r="E530" s="17" t="str">
        <f>INDEX(매칭테이블!C:C,MATCH(RD!G530,매칭테이블!D:D,0))</f>
        <v>샴푸</v>
      </c>
      <c r="F530" t="s">
        <v>91</v>
      </c>
      <c r="G530" t="s">
        <v>93</v>
      </c>
      <c r="H530">
        <v>4</v>
      </c>
      <c r="I530" s="17" t="str">
        <f>VLOOKUP(G530,매칭테이블!D:E,2,0)</f>
        <v>리바이탈 샴푸</v>
      </c>
      <c r="J530">
        <v>201210</v>
      </c>
      <c r="L530" s="19">
        <f>VLOOKUP($P530,매칭테이블!$G:$J,2,0)*H530</f>
        <v>204440</v>
      </c>
      <c r="M530" s="19">
        <f>L530-L530*VLOOKUP($P530,매칭테이블!$G:$J,3,0)</f>
        <v>192480.26</v>
      </c>
      <c r="N530" s="19">
        <f>VLOOKUP($P530,매칭테이블!$G:$J,4,0)*H530</f>
        <v>24160</v>
      </c>
      <c r="O530" s="20">
        <f t="shared" si="104"/>
        <v>185854.54545454544</v>
      </c>
      <c r="P530" s="19" t="str">
        <f t="shared" si="92"/>
        <v>카페24샴푸HAIR RÉ:COVERY 15 Revital Shampoo [라베나 리커버리 15 리바이탈 샴푸]제품선택=리바이탈 샴푸 2개 세트 5%추가할인201210</v>
      </c>
    </row>
    <row r="531" spans="2:16" x14ac:dyDescent="0.3">
      <c r="B531" s="2">
        <v>44199</v>
      </c>
      <c r="C531" s="19" t="str">
        <f t="shared" si="103"/>
        <v>일</v>
      </c>
      <c r="E531" s="17" t="str">
        <f>INDEX(매칭테이블!C:C,MATCH(RD!G531,매칭테이블!D:D,0))</f>
        <v>샴푸</v>
      </c>
      <c r="F531" t="s">
        <v>91</v>
      </c>
      <c r="G531" t="s">
        <v>94</v>
      </c>
      <c r="H531">
        <v>4</v>
      </c>
      <c r="I531" s="17" t="str">
        <f>VLOOKUP(G531,매칭테이블!D:E,2,0)</f>
        <v>리바이탈 샴푸 3set</v>
      </c>
      <c r="J531">
        <v>201210</v>
      </c>
      <c r="L531" s="19">
        <f>VLOOKUP($P531,매칭테이블!$G:$J,2,0)*H531</f>
        <v>290520</v>
      </c>
      <c r="M531" s="19">
        <f>L531-L531*VLOOKUP($P531,매칭테이블!$G:$J,3,0)</f>
        <v>273524.58</v>
      </c>
      <c r="N531" s="19">
        <f>VLOOKUP($P531,매칭테이블!$G:$J,4,0)*H531</f>
        <v>36240</v>
      </c>
      <c r="O531" s="20">
        <f t="shared" si="104"/>
        <v>264109.09090909088</v>
      </c>
      <c r="P531" s="19" t="str">
        <f t="shared" si="92"/>
        <v>카페24샴푸HAIR RÉ:COVERY 15 Revital Shampoo [라베나 리커버리 15 리바이탈 샴푸]제품선택=리바이탈 샴푸 3개 세트 10% 추가할인201210</v>
      </c>
    </row>
    <row r="532" spans="2:16" x14ac:dyDescent="0.3">
      <c r="B532" s="2">
        <v>44200</v>
      </c>
      <c r="C532" s="19" t="str">
        <f t="shared" ref="C532" si="105">TEXT(B532,"aaa")</f>
        <v>월</v>
      </c>
      <c r="E532" s="17" t="str">
        <f>INDEX(매칭테이블!C:C,MATCH(RD!G532,매칭테이블!D:D,0))</f>
        <v>트리트먼트</v>
      </c>
      <c r="F532" t="s">
        <v>91</v>
      </c>
      <c r="G532" t="s">
        <v>115</v>
      </c>
      <c r="H532">
        <v>17</v>
      </c>
      <c r="I532" s="17" t="str">
        <f>VLOOKUP(G532,매칭테이블!D:E,2,0)</f>
        <v>트리트먼트</v>
      </c>
      <c r="J532">
        <v>201210</v>
      </c>
      <c r="L532" s="19">
        <f>VLOOKUP($P532,매칭테이블!$G:$J,2,0)*H532</f>
        <v>442000</v>
      </c>
      <c r="M532" s="19">
        <f>L532-L532*VLOOKUP($P532,매칭테이블!$G:$J,3,0)</f>
        <v>416143</v>
      </c>
      <c r="N532" s="19">
        <f>VLOOKUP($P532,매칭테이블!$G:$J,4,0)*H532</f>
        <v>27149</v>
      </c>
      <c r="O532" s="20">
        <f t="shared" ref="O532" si="106">L532/1.1</f>
        <v>401818.18181818177</v>
      </c>
      <c r="P532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533" spans="2:16" x14ac:dyDescent="0.3">
      <c r="B533" s="2">
        <v>44200</v>
      </c>
      <c r="C533" s="19" t="str">
        <f t="shared" ref="C533:C542" si="107">TEXT(B533,"aaa")</f>
        <v>월</v>
      </c>
      <c r="E533" s="17" t="str">
        <f>INDEX(매칭테이블!C:C,MATCH(RD!G533,매칭테이블!D:D,0))</f>
        <v>트리트먼트</v>
      </c>
      <c r="F533" t="s">
        <v>91</v>
      </c>
      <c r="G533" t="s">
        <v>116</v>
      </c>
      <c r="H533">
        <v>5</v>
      </c>
      <c r="I533" s="17" t="str">
        <f>VLOOKUP(G533,매칭테이블!D:E,2,0)</f>
        <v>트리트먼트 2set</v>
      </c>
      <c r="J533">
        <v>201210</v>
      </c>
      <c r="L533" s="19">
        <f>VLOOKUP($P533,매칭테이블!$G:$J,2,0)*H533</f>
        <v>247000</v>
      </c>
      <c r="M533" s="19">
        <f>L533-L533*VLOOKUP($P533,매칭테이블!$G:$J,3,0)</f>
        <v>232550.5</v>
      </c>
      <c r="N533" s="19">
        <f>VLOOKUP($P533,매칭테이블!$G:$J,4,0)*H533</f>
        <v>15970</v>
      </c>
      <c r="O533" s="20">
        <f t="shared" ref="O533:O542" si="108">L533/1.1</f>
        <v>224545.45454545453</v>
      </c>
      <c r="P533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534" spans="2:16" x14ac:dyDescent="0.3">
      <c r="B534" s="2">
        <v>44200</v>
      </c>
      <c r="C534" s="19" t="str">
        <f t="shared" si="107"/>
        <v>월</v>
      </c>
      <c r="E534" s="17" t="str">
        <f>INDEX(매칭테이블!C:C,MATCH(RD!G534,매칭테이블!D:D,0))</f>
        <v>트리트먼트</v>
      </c>
      <c r="F534" t="s">
        <v>91</v>
      </c>
      <c r="G534" t="s">
        <v>120</v>
      </c>
      <c r="H534">
        <v>1</v>
      </c>
      <c r="I534" s="17" t="str">
        <f>VLOOKUP(G534,매칭테이블!D:E,2,0)</f>
        <v>트리트먼트 3set</v>
      </c>
      <c r="J534">
        <v>201210</v>
      </c>
      <c r="L534" s="19">
        <f>VLOOKUP($P534,매칭테이블!$G:$J,2,0)*H534</f>
        <v>70200</v>
      </c>
      <c r="M534" s="19">
        <f>L534-L534*VLOOKUP($P534,매칭테이블!$G:$J,3,0)</f>
        <v>66093.3</v>
      </c>
      <c r="N534" s="19">
        <f>VLOOKUP($P534,매칭테이블!$G:$J,4,0)*H534</f>
        <v>4791</v>
      </c>
      <c r="O534" s="20">
        <f t="shared" si="108"/>
        <v>63818.181818181816</v>
      </c>
      <c r="P534" s="19" t="str">
        <f t="shared" si="92"/>
        <v>카페24트리트먼트HAIR RÉ:COVERY 15 Hairpack Treatment [라베나 리커버리 15 헤어팩 트리트먼트]제품선택=헤어팩 트리트먼트 3개 세트 10% 추가할인201210</v>
      </c>
    </row>
    <row r="535" spans="2:16" x14ac:dyDescent="0.3">
      <c r="B535" s="2">
        <v>44200</v>
      </c>
      <c r="C535" s="19" t="str">
        <f t="shared" si="107"/>
        <v>월</v>
      </c>
      <c r="E535" s="17" t="str">
        <f>INDEX(매칭테이블!C:C,MATCH(RD!G535,매칭테이블!D:D,0))</f>
        <v>트리트먼트</v>
      </c>
      <c r="F535" t="s">
        <v>91</v>
      </c>
      <c r="G535" t="s">
        <v>117</v>
      </c>
      <c r="H535">
        <v>2</v>
      </c>
      <c r="I535" s="17" t="str">
        <f>VLOOKUP(G535,매칭테이블!D:E,2,0)</f>
        <v>트리트먼트+뉴트리셔스밤</v>
      </c>
      <c r="J535">
        <v>201210</v>
      </c>
      <c r="L535" s="19">
        <f>VLOOKUP($P535,매칭테이블!$G:$J,2,0)*H535</f>
        <v>96710</v>
      </c>
      <c r="M535" s="19">
        <f>L535-L535*VLOOKUP($P535,매칭테이블!$G:$J,3,0)</f>
        <v>91052.464999999997</v>
      </c>
      <c r="N535" s="19">
        <f>VLOOKUP($P535,매칭테이블!$G:$J,4,0)*H535</f>
        <v>6354</v>
      </c>
      <c r="O535" s="20">
        <f t="shared" si="108"/>
        <v>87918.181818181809</v>
      </c>
      <c r="P535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536" spans="2:16" x14ac:dyDescent="0.3">
      <c r="B536" s="2">
        <v>44200</v>
      </c>
      <c r="C536" s="19" t="str">
        <f t="shared" si="107"/>
        <v>월</v>
      </c>
      <c r="E536" s="17" t="str">
        <f>INDEX(매칭테이블!C:C,MATCH(RD!G536,매칭테이블!D:D,0))</f>
        <v>뉴트리셔스밤</v>
      </c>
      <c r="F536" t="s">
        <v>91</v>
      </c>
      <c r="G536" t="s">
        <v>118</v>
      </c>
      <c r="H536">
        <v>12</v>
      </c>
      <c r="I536" s="17" t="str">
        <f>VLOOKUP(G536,매칭테이블!D:E,2,0)</f>
        <v>뉴트리셔스밤</v>
      </c>
      <c r="J536">
        <v>201210</v>
      </c>
      <c r="L536" s="19">
        <f>VLOOKUP($P536,매칭테이블!$G:$J,2,0)*H536</f>
        <v>298800</v>
      </c>
      <c r="M536" s="19">
        <f>L536-L536*VLOOKUP($P536,매칭테이블!$G:$J,3,0)</f>
        <v>281320.2</v>
      </c>
      <c r="N536" s="19">
        <f>VLOOKUP($P536,매칭테이블!$G:$J,4,0)*H536</f>
        <v>18960</v>
      </c>
      <c r="O536" s="20">
        <f t="shared" si="108"/>
        <v>271636.36363636359</v>
      </c>
      <c r="P536" s="19" t="str">
        <f t="shared" si="92"/>
        <v>카페24뉴트리셔스밤HAIR RÉ:COVERY 15 Nutritious Balm [라베나 리커버리 15 뉴트리셔스 밤]제품선택=헤어 리커버리 15 뉴트리셔스 밤201210</v>
      </c>
    </row>
    <row r="537" spans="2:16" x14ac:dyDescent="0.3">
      <c r="B537" s="2">
        <v>44200</v>
      </c>
      <c r="C537" s="19" t="str">
        <f t="shared" si="107"/>
        <v>월</v>
      </c>
      <c r="E537" s="17" t="str">
        <f>INDEX(매칭테이블!C:C,MATCH(RD!G537,매칭테이블!D:D,0))</f>
        <v>뉴트리셔스밤</v>
      </c>
      <c r="F537" t="s">
        <v>91</v>
      </c>
      <c r="G537" t="s">
        <v>121</v>
      </c>
      <c r="H537">
        <v>2</v>
      </c>
      <c r="I537" s="17" t="str">
        <f>VLOOKUP(G537,매칭테이블!D:E,2,0)</f>
        <v>뉴트리셔스밤 2set</v>
      </c>
      <c r="J537">
        <v>201210</v>
      </c>
      <c r="L537" s="19">
        <f>VLOOKUP($P537,매칭테이블!$G:$J,2,0)*H537</f>
        <v>94620</v>
      </c>
      <c r="M537" s="19">
        <f>L537-L537*VLOOKUP($P537,매칭테이블!$G:$J,3,0)</f>
        <v>89084.73</v>
      </c>
      <c r="N537" s="19">
        <f>VLOOKUP($P537,매칭테이블!$G:$J,4,0)*H537</f>
        <v>6320</v>
      </c>
      <c r="O537" s="20">
        <f t="shared" si="108"/>
        <v>86018.181818181809</v>
      </c>
      <c r="P537" s="19" t="str">
        <f t="shared" si="92"/>
        <v>카페24뉴트리셔스밤HAIR RÉ:COVERY 15 Nutritious Balm [라베나 리커버리 15 뉴트리셔스 밤]제품선택=뉴트리셔스 밤 2개 세트 5% 추가할인201210</v>
      </c>
    </row>
    <row r="538" spans="2:16" x14ac:dyDescent="0.3">
      <c r="B538" s="2">
        <v>44200</v>
      </c>
      <c r="C538" s="19" t="str">
        <f t="shared" si="107"/>
        <v>월</v>
      </c>
      <c r="E538" s="17" t="str">
        <f>INDEX(매칭테이블!C:C,MATCH(RD!G538,매칭테이블!D:D,0))</f>
        <v>뉴트리셔스밤</v>
      </c>
      <c r="F538" t="s">
        <v>91</v>
      </c>
      <c r="G538" t="s">
        <v>119</v>
      </c>
      <c r="H538">
        <v>1</v>
      </c>
      <c r="I538" s="17" t="str">
        <f>VLOOKUP(G538,매칭테이블!D:E,2,0)</f>
        <v>뉴트리셔스밤 3set</v>
      </c>
      <c r="J538">
        <v>201210</v>
      </c>
      <c r="L538" s="19">
        <f>VLOOKUP($P538,매칭테이블!$G:$J,2,0)*H538</f>
        <v>67230</v>
      </c>
      <c r="M538" s="19">
        <f>L538-L538*VLOOKUP($P538,매칭테이블!$G:$J,3,0)</f>
        <v>63297.044999999998</v>
      </c>
      <c r="N538" s="19">
        <f>VLOOKUP($P538,매칭테이블!$G:$J,4,0)*H538</f>
        <v>4740</v>
      </c>
      <c r="O538" s="20">
        <f t="shared" si="108"/>
        <v>61118.181818181816</v>
      </c>
      <c r="P538" s="19" t="str">
        <f t="shared" si="92"/>
        <v>카페24뉴트리셔스밤HAIR RÉ:COVERY 15 Nutritious Balm [라베나 리커버리 15 뉴트리셔스 밤]제품선택=뉴트리셔스 밤 3개 세트 10% 추가할인201210</v>
      </c>
    </row>
    <row r="539" spans="2:16" x14ac:dyDescent="0.3">
      <c r="B539" s="2">
        <v>44200</v>
      </c>
      <c r="C539" s="19" t="str">
        <f t="shared" si="107"/>
        <v>월</v>
      </c>
      <c r="E539" s="17" t="str">
        <f>INDEX(매칭테이블!C:C,MATCH(RD!G539,매칭테이블!D:D,0))</f>
        <v>뉴트리셔스밤</v>
      </c>
      <c r="F539" t="s">
        <v>91</v>
      </c>
      <c r="G539" t="s">
        <v>122</v>
      </c>
      <c r="H539">
        <v>2</v>
      </c>
      <c r="I539" s="17" t="str">
        <f>VLOOKUP(G539,매칭테이블!D:E,2,0)</f>
        <v>트리트먼트+뉴트리셔스밤</v>
      </c>
      <c r="J539">
        <v>201210</v>
      </c>
      <c r="L539" s="19">
        <f>VLOOKUP($P539,매칭테이블!$G:$J,2,0)*H539</f>
        <v>96710</v>
      </c>
      <c r="M539" s="19">
        <f>L539-L539*VLOOKUP($P539,매칭테이블!$G:$J,3,0)</f>
        <v>91052.464999999997</v>
      </c>
      <c r="N539" s="19">
        <f>VLOOKUP($P539,매칭테이블!$G:$J,4,0)*H539</f>
        <v>6354</v>
      </c>
      <c r="O539" s="20">
        <f t="shared" si="108"/>
        <v>87918.181818181809</v>
      </c>
      <c r="P539" s="19" t="str">
        <f t="shared" si="92"/>
        <v>카페24뉴트리셔스밤HAIR RÉ:COVERY 15 Nutritious Balm [라베나 리커버리 15 뉴트리셔스 밤]제품선택=뉴트리셔스밤 1개 + 헤어팩 트리트먼트 1개 세트 5%추가할인201210</v>
      </c>
    </row>
    <row r="540" spans="2:16" x14ac:dyDescent="0.3">
      <c r="B540" s="2">
        <v>44200</v>
      </c>
      <c r="C540" s="19" t="str">
        <f t="shared" si="107"/>
        <v>월</v>
      </c>
      <c r="E540" s="17" t="str">
        <f>INDEX(매칭테이블!C:C,MATCH(RD!G540,매칭테이블!D:D,0))</f>
        <v>샴푸</v>
      </c>
      <c r="F540" t="s">
        <v>91</v>
      </c>
      <c r="G540" t="s">
        <v>92</v>
      </c>
      <c r="H540">
        <v>12</v>
      </c>
      <c r="I540" s="17" t="str">
        <f>VLOOKUP(G540,매칭테이블!D:E,2,0)</f>
        <v>리바이탈 샴푸</v>
      </c>
      <c r="J540">
        <v>201210</v>
      </c>
      <c r="L540" s="19">
        <f>VLOOKUP($P540,매칭테이블!$G:$J,2,0)*H540</f>
        <v>322800</v>
      </c>
      <c r="M540" s="19">
        <f>L540-L540*VLOOKUP($P540,매칭테이블!$G:$J,3,0)</f>
        <v>303916.2</v>
      </c>
      <c r="N540" s="19">
        <f>VLOOKUP($P540,매칭테이블!$G:$J,4,0)*H540</f>
        <v>36240</v>
      </c>
      <c r="O540" s="20">
        <f t="shared" si="108"/>
        <v>293454.54545454541</v>
      </c>
      <c r="P540" s="19" t="str">
        <f t="shared" si="92"/>
        <v>카페24샴푸HAIR RÉ:COVERY 15 Revital Shampoo [라베나 리커버리 15 리바이탈 샴푸]제품선택=헤어 리커버리 15 리바이탈 샴푸 - 500ml201210</v>
      </c>
    </row>
    <row r="541" spans="2:16" x14ac:dyDescent="0.3">
      <c r="B541" s="2">
        <v>44200</v>
      </c>
      <c r="C541" s="19" t="str">
        <f t="shared" si="107"/>
        <v>월</v>
      </c>
      <c r="E541" s="17" t="str">
        <f>INDEX(매칭테이블!C:C,MATCH(RD!G541,매칭테이블!D:D,0))</f>
        <v>샴푸</v>
      </c>
      <c r="F541" t="s">
        <v>91</v>
      </c>
      <c r="G541" t="s">
        <v>93</v>
      </c>
      <c r="H541">
        <v>4</v>
      </c>
      <c r="I541" s="17" t="str">
        <f>VLOOKUP(G541,매칭테이블!D:E,2,0)</f>
        <v>리바이탈 샴푸</v>
      </c>
      <c r="J541">
        <v>201210</v>
      </c>
      <c r="L541" s="19">
        <f>VLOOKUP($P541,매칭테이블!$G:$J,2,0)*H541</f>
        <v>204440</v>
      </c>
      <c r="M541" s="19">
        <f>L541-L541*VLOOKUP($P541,매칭테이블!$G:$J,3,0)</f>
        <v>192480.26</v>
      </c>
      <c r="N541" s="19">
        <f>VLOOKUP($P541,매칭테이블!$G:$J,4,0)*H541</f>
        <v>24160</v>
      </c>
      <c r="O541" s="20">
        <f t="shared" si="108"/>
        <v>185854.54545454544</v>
      </c>
      <c r="P541" s="19" t="str">
        <f t="shared" si="92"/>
        <v>카페24샴푸HAIR RÉ:COVERY 15 Revital Shampoo [라베나 리커버리 15 리바이탈 샴푸]제품선택=리바이탈 샴푸 2개 세트 5%추가할인201210</v>
      </c>
    </row>
    <row r="542" spans="2:16" x14ac:dyDescent="0.3">
      <c r="B542" s="2">
        <v>44200</v>
      </c>
      <c r="C542" s="19" t="str">
        <f t="shared" si="107"/>
        <v>월</v>
      </c>
      <c r="E542" s="17" t="str">
        <f>INDEX(매칭테이블!C:C,MATCH(RD!G542,매칭테이블!D:D,0))</f>
        <v>샴푸</v>
      </c>
      <c r="F542" t="s">
        <v>91</v>
      </c>
      <c r="G542" t="s">
        <v>94</v>
      </c>
      <c r="H542">
        <v>1</v>
      </c>
      <c r="I542" s="17" t="str">
        <f>VLOOKUP(G542,매칭테이블!D:E,2,0)</f>
        <v>리바이탈 샴푸 3set</v>
      </c>
      <c r="J542">
        <v>201210</v>
      </c>
      <c r="L542" s="19">
        <f>VLOOKUP($P542,매칭테이블!$G:$J,2,0)*H542</f>
        <v>72630</v>
      </c>
      <c r="M542" s="19">
        <f>L542-L542*VLOOKUP($P542,매칭테이블!$G:$J,3,0)</f>
        <v>68381.145000000004</v>
      </c>
      <c r="N542" s="19">
        <f>VLOOKUP($P542,매칭테이블!$G:$J,4,0)*H542</f>
        <v>9060</v>
      </c>
      <c r="O542" s="20">
        <f t="shared" si="108"/>
        <v>66027.272727272721</v>
      </c>
      <c r="P542" s="19" t="str">
        <f t="shared" si="92"/>
        <v>카페24샴푸HAIR RÉ:COVERY 15 Revital Shampoo [라베나 리커버리 15 리바이탈 샴푸]제품선택=리바이탈 샴푸 3개 세트 10% 추가할인201210</v>
      </c>
    </row>
    <row r="543" spans="2:16" x14ac:dyDescent="0.3">
      <c r="B543" s="2">
        <v>44201</v>
      </c>
      <c r="C543" s="19" t="str">
        <f t="shared" ref="C543" si="109">TEXT(B543,"aaa")</f>
        <v>화</v>
      </c>
      <c r="E543" s="17" t="str">
        <f>INDEX(매칭테이블!C:C,MATCH(RD!G543,매칭테이블!D:D,0))</f>
        <v>트리트먼트</v>
      </c>
      <c r="F543" t="s">
        <v>91</v>
      </c>
      <c r="G543" t="s">
        <v>115</v>
      </c>
      <c r="H543">
        <v>13</v>
      </c>
      <c r="I543" s="17" t="str">
        <f>VLOOKUP(G543,매칭테이블!D:E,2,0)</f>
        <v>트리트먼트</v>
      </c>
      <c r="J543">
        <v>201210</v>
      </c>
      <c r="L543" s="19">
        <f>VLOOKUP($P543,매칭테이블!$G:$J,2,0)*H543</f>
        <v>338000</v>
      </c>
      <c r="M543" s="19">
        <f>L543-L543*VLOOKUP($P543,매칭테이블!$G:$J,3,0)</f>
        <v>318227</v>
      </c>
      <c r="N543" s="19">
        <f>VLOOKUP($P543,매칭테이블!$G:$J,4,0)*H543</f>
        <v>20761</v>
      </c>
      <c r="O543" s="20">
        <f t="shared" ref="O543" si="110">L543/1.1</f>
        <v>307272.72727272724</v>
      </c>
      <c r="P543" s="19" t="str">
        <f t="shared" si="92"/>
        <v>카페24트리트먼트HAIR RÉ:COVERY 15 Hairpack Treatment [라베나 리커버리 15 헤어팩 트리트먼트]제품선택=헤어 리커버리 15 헤어팩 트리트먼트201210</v>
      </c>
    </row>
    <row r="544" spans="2:16" x14ac:dyDescent="0.3">
      <c r="B544" s="2">
        <v>44201</v>
      </c>
      <c r="C544" s="19" t="str">
        <f t="shared" ref="C544:C551" si="111">TEXT(B544,"aaa")</f>
        <v>화</v>
      </c>
      <c r="E544" s="17" t="str">
        <f>INDEX(매칭테이블!C:C,MATCH(RD!G544,매칭테이블!D:D,0))</f>
        <v>트리트먼트</v>
      </c>
      <c r="F544" t="s">
        <v>91</v>
      </c>
      <c r="G544" t="s">
        <v>116</v>
      </c>
      <c r="H544">
        <v>4</v>
      </c>
      <c r="I544" s="17" t="str">
        <f>VLOOKUP(G544,매칭테이블!D:E,2,0)</f>
        <v>트리트먼트 2set</v>
      </c>
      <c r="J544">
        <v>201210</v>
      </c>
      <c r="L544" s="19">
        <f>VLOOKUP($P544,매칭테이블!$G:$J,2,0)*H544</f>
        <v>197600</v>
      </c>
      <c r="M544" s="19">
        <f>L544-L544*VLOOKUP($P544,매칭테이블!$G:$J,3,0)</f>
        <v>186040.4</v>
      </c>
      <c r="N544" s="19">
        <f>VLOOKUP($P544,매칭테이블!$G:$J,4,0)*H544</f>
        <v>12776</v>
      </c>
      <c r="O544" s="20">
        <f t="shared" ref="O544:O551" si="112">L544/1.1</f>
        <v>179636.36363636362</v>
      </c>
      <c r="P544" s="19" t="str">
        <f t="shared" si="92"/>
        <v>카페24트리트먼트HAIR RÉ:COVERY 15 Hairpack Treatment [라베나 리커버리 15 헤어팩 트리트먼트]제품선택=헤어팩 트리트먼트 2개 세트 5% 추가할인201210</v>
      </c>
    </row>
    <row r="545" spans="2:16" x14ac:dyDescent="0.3">
      <c r="B545" s="2">
        <v>44201</v>
      </c>
      <c r="C545" s="19" t="str">
        <f t="shared" si="111"/>
        <v>화</v>
      </c>
      <c r="E545" s="17" t="str">
        <f>INDEX(매칭테이블!C:C,MATCH(RD!G545,매칭테이블!D:D,0))</f>
        <v>트리트먼트</v>
      </c>
      <c r="F545" t="s">
        <v>91</v>
      </c>
      <c r="G545" t="s">
        <v>120</v>
      </c>
      <c r="H545">
        <v>4</v>
      </c>
      <c r="I545" s="17" t="str">
        <f>VLOOKUP(G545,매칭테이블!D:E,2,0)</f>
        <v>트리트먼트 3set</v>
      </c>
      <c r="J545">
        <v>201210</v>
      </c>
      <c r="L545" s="19">
        <f>VLOOKUP($P545,매칭테이블!$G:$J,2,0)*H545</f>
        <v>280800</v>
      </c>
      <c r="M545" s="19">
        <f>L545-L545*VLOOKUP($P545,매칭테이블!$G:$J,3,0)</f>
        <v>264373.2</v>
      </c>
      <c r="N545" s="19">
        <f>VLOOKUP($P545,매칭테이블!$G:$J,4,0)*H545</f>
        <v>19164</v>
      </c>
      <c r="O545" s="20">
        <f t="shared" si="112"/>
        <v>255272.72727272726</v>
      </c>
      <c r="P545" s="19" t="str">
        <f t="shared" si="92"/>
        <v>카페24트리트먼트HAIR RÉ:COVERY 15 Hairpack Treatment [라베나 리커버리 15 헤어팩 트리트먼트]제품선택=헤어팩 트리트먼트 3개 세트 10% 추가할인201210</v>
      </c>
    </row>
    <row r="546" spans="2:16" x14ac:dyDescent="0.3">
      <c r="B546" s="2">
        <v>44201</v>
      </c>
      <c r="C546" s="19" t="str">
        <f t="shared" si="111"/>
        <v>화</v>
      </c>
      <c r="E546" s="17" t="str">
        <f>INDEX(매칭테이블!C:C,MATCH(RD!G546,매칭테이블!D:D,0))</f>
        <v>트리트먼트</v>
      </c>
      <c r="F546" t="s">
        <v>91</v>
      </c>
      <c r="G546" t="s">
        <v>117</v>
      </c>
      <c r="H546">
        <v>4</v>
      </c>
      <c r="I546" s="17" t="str">
        <f>VLOOKUP(G546,매칭테이블!D:E,2,0)</f>
        <v>트리트먼트+뉴트리셔스밤</v>
      </c>
      <c r="J546">
        <v>201210</v>
      </c>
      <c r="L546" s="19">
        <f>VLOOKUP($P546,매칭테이블!$G:$J,2,0)*H546</f>
        <v>193420</v>
      </c>
      <c r="M546" s="19">
        <f>L546-L546*VLOOKUP($P546,매칭테이블!$G:$J,3,0)</f>
        <v>182104.93</v>
      </c>
      <c r="N546" s="19">
        <f>VLOOKUP($P546,매칭테이블!$G:$J,4,0)*H546</f>
        <v>12708</v>
      </c>
      <c r="O546" s="20">
        <f t="shared" si="112"/>
        <v>175836.36363636362</v>
      </c>
      <c r="P546" s="19" t="str">
        <f t="shared" si="92"/>
        <v>카페24트리트먼트HAIR RÉ:COVERY 15 Hairpack Treatment [라베나 리커버리 15 헤어팩 트리트먼트]제품선택=헤어팩 트리트먼트 1개 + 뉴트리셔스밤 1개 세트 5% 추가할인201210</v>
      </c>
    </row>
    <row r="547" spans="2:16" x14ac:dyDescent="0.3">
      <c r="B547" s="2">
        <v>44201</v>
      </c>
      <c r="C547" s="19" t="str">
        <f t="shared" si="111"/>
        <v>화</v>
      </c>
      <c r="E547" s="17" t="str">
        <f>INDEX(매칭테이블!C:C,MATCH(RD!G547,매칭테이블!D:D,0))</f>
        <v>뉴트리셔스밤</v>
      </c>
      <c r="F547" t="s">
        <v>91</v>
      </c>
      <c r="G547" t="s">
        <v>118</v>
      </c>
      <c r="H547">
        <v>9</v>
      </c>
      <c r="I547" s="17" t="str">
        <f>VLOOKUP(G547,매칭테이블!D:E,2,0)</f>
        <v>뉴트리셔스밤</v>
      </c>
      <c r="J547">
        <v>201210</v>
      </c>
      <c r="L547" s="19">
        <f>VLOOKUP($P547,매칭테이블!$G:$J,2,0)*H547</f>
        <v>224100</v>
      </c>
      <c r="M547" s="19">
        <f>L547-L547*VLOOKUP($P547,매칭테이블!$G:$J,3,0)</f>
        <v>210990.15</v>
      </c>
      <c r="N547" s="19">
        <f>VLOOKUP($P547,매칭테이블!$G:$J,4,0)*H547</f>
        <v>14220</v>
      </c>
      <c r="O547" s="20">
        <f t="shared" si="112"/>
        <v>203727.27272727271</v>
      </c>
      <c r="P547" s="19" t="str">
        <f t="shared" si="92"/>
        <v>카페24뉴트리셔스밤HAIR RÉ:COVERY 15 Nutritious Balm [라베나 리커버리 15 뉴트리셔스 밤]제품선택=헤어 리커버리 15 뉴트리셔스 밤201210</v>
      </c>
    </row>
    <row r="548" spans="2:16" x14ac:dyDescent="0.3">
      <c r="B548" s="2">
        <v>44201</v>
      </c>
      <c r="C548" s="19" t="str">
        <f t="shared" si="111"/>
        <v>화</v>
      </c>
      <c r="E548" s="17" t="str">
        <f>INDEX(매칭테이블!C:C,MATCH(RD!G548,매칭테이블!D:D,0))</f>
        <v>뉴트리셔스밤</v>
      </c>
      <c r="F548" t="s">
        <v>91</v>
      </c>
      <c r="G548" t="s">
        <v>121</v>
      </c>
      <c r="H548">
        <v>2</v>
      </c>
      <c r="I548" s="17" t="str">
        <f>VLOOKUP(G548,매칭테이블!D:E,2,0)</f>
        <v>뉴트리셔스밤 2set</v>
      </c>
      <c r="J548">
        <v>201210</v>
      </c>
      <c r="L548" s="19">
        <f>VLOOKUP($P548,매칭테이블!$G:$J,2,0)*H548</f>
        <v>94620</v>
      </c>
      <c r="M548" s="19">
        <f>L548-L548*VLOOKUP($P548,매칭테이블!$G:$J,3,0)</f>
        <v>89084.73</v>
      </c>
      <c r="N548" s="19">
        <f>VLOOKUP($P548,매칭테이블!$G:$J,4,0)*H548</f>
        <v>6320</v>
      </c>
      <c r="O548" s="20">
        <f t="shared" si="112"/>
        <v>86018.181818181809</v>
      </c>
      <c r="P548" s="19" t="str">
        <f t="shared" si="92"/>
        <v>카페24뉴트리셔스밤HAIR RÉ:COVERY 15 Nutritious Balm [라베나 리커버리 15 뉴트리셔스 밤]제품선택=뉴트리셔스 밤 2개 세트 5% 추가할인201210</v>
      </c>
    </row>
    <row r="549" spans="2:16" x14ac:dyDescent="0.3">
      <c r="B549" s="2">
        <v>44201</v>
      </c>
      <c r="C549" s="19" t="str">
        <f t="shared" si="111"/>
        <v>화</v>
      </c>
      <c r="E549" s="17" t="str">
        <f>INDEX(매칭테이블!C:C,MATCH(RD!G549,매칭테이블!D:D,0))</f>
        <v>뉴트리셔스밤</v>
      </c>
      <c r="F549" t="s">
        <v>91</v>
      </c>
      <c r="G549" t="s">
        <v>119</v>
      </c>
      <c r="H549">
        <v>1</v>
      </c>
      <c r="I549" s="17" t="str">
        <f>VLOOKUP(G549,매칭테이블!D:E,2,0)</f>
        <v>뉴트리셔스밤 3set</v>
      </c>
      <c r="J549">
        <v>201210</v>
      </c>
      <c r="L549" s="19">
        <f>VLOOKUP($P549,매칭테이블!$G:$J,2,0)*H549</f>
        <v>67230</v>
      </c>
      <c r="M549" s="19">
        <f>L549-L549*VLOOKUP($P549,매칭테이블!$G:$J,3,0)</f>
        <v>63297.044999999998</v>
      </c>
      <c r="N549" s="19">
        <f>VLOOKUP($P549,매칭테이블!$G:$J,4,0)*H549</f>
        <v>4740</v>
      </c>
      <c r="O549" s="20">
        <f t="shared" si="112"/>
        <v>61118.181818181816</v>
      </c>
      <c r="P549" s="19" t="str">
        <f t="shared" si="92"/>
        <v>카페24뉴트리셔스밤HAIR RÉ:COVERY 15 Nutritious Balm [라베나 리커버리 15 뉴트리셔스 밤]제품선택=뉴트리셔스 밤 3개 세트 10% 추가할인201210</v>
      </c>
    </row>
    <row r="550" spans="2:16" x14ac:dyDescent="0.3">
      <c r="B550" s="2">
        <v>44201</v>
      </c>
      <c r="C550" s="19" t="str">
        <f t="shared" si="111"/>
        <v>화</v>
      </c>
      <c r="E550" s="17" t="str">
        <f>INDEX(매칭테이블!C:C,MATCH(RD!G550,매칭테이블!D:D,0))</f>
        <v>샴푸</v>
      </c>
      <c r="F550" t="s">
        <v>91</v>
      </c>
      <c r="G550" t="s">
        <v>92</v>
      </c>
      <c r="H550">
        <v>9</v>
      </c>
      <c r="I550" s="17" t="str">
        <f>VLOOKUP(G550,매칭테이블!D:E,2,0)</f>
        <v>리바이탈 샴푸</v>
      </c>
      <c r="J550">
        <v>201210</v>
      </c>
      <c r="L550" s="19">
        <f>VLOOKUP($P550,매칭테이블!$G:$J,2,0)*H550</f>
        <v>242100</v>
      </c>
      <c r="M550" s="19">
        <f>L550-L550*VLOOKUP($P550,매칭테이블!$G:$J,3,0)</f>
        <v>227937.15</v>
      </c>
      <c r="N550" s="19">
        <f>VLOOKUP($P550,매칭테이블!$G:$J,4,0)*H550</f>
        <v>27180</v>
      </c>
      <c r="O550" s="20">
        <f t="shared" si="112"/>
        <v>220090.90909090906</v>
      </c>
      <c r="P550" s="19" t="str">
        <f t="shared" si="92"/>
        <v>카페24샴푸HAIR RÉ:COVERY 15 Revital Shampoo [라베나 리커버리 15 리바이탈 샴푸]제품선택=헤어 리커버리 15 리바이탈 샴푸 - 500ml201210</v>
      </c>
    </row>
    <row r="551" spans="2:16" x14ac:dyDescent="0.3">
      <c r="B551" s="2">
        <v>44201</v>
      </c>
      <c r="C551" s="19" t="str">
        <f t="shared" si="111"/>
        <v>화</v>
      </c>
      <c r="E551" s="17" t="str">
        <f>INDEX(매칭테이블!C:C,MATCH(RD!G551,매칭테이블!D:D,0))</f>
        <v>샴푸</v>
      </c>
      <c r="F551" t="s">
        <v>91</v>
      </c>
      <c r="G551" t="s">
        <v>94</v>
      </c>
      <c r="H551">
        <v>1</v>
      </c>
      <c r="I551" s="17" t="str">
        <f>VLOOKUP(G551,매칭테이블!D:E,2,0)</f>
        <v>리바이탈 샴푸 3set</v>
      </c>
      <c r="J551">
        <v>201210</v>
      </c>
      <c r="L551" s="19">
        <f>VLOOKUP($P551,매칭테이블!$G:$J,2,0)*H551</f>
        <v>72630</v>
      </c>
      <c r="M551" s="19">
        <f>L551-L551*VLOOKUP($P551,매칭테이블!$G:$J,3,0)</f>
        <v>68381.145000000004</v>
      </c>
      <c r="N551" s="19">
        <f>VLOOKUP($P551,매칭테이블!$G:$J,4,0)*H551</f>
        <v>9060</v>
      </c>
      <c r="O551" s="20">
        <f t="shared" si="112"/>
        <v>66027.272727272721</v>
      </c>
      <c r="P551" s="19" t="str">
        <f t="shared" si="92"/>
        <v>카페24샴푸HAIR RÉ:COVERY 15 Revital Shampoo [라베나 리커버리 15 리바이탈 샴푸]제품선택=리바이탈 샴푸 3개 세트 10% 추가할인201210</v>
      </c>
    </row>
    <row r="552" spans="2:16" x14ac:dyDescent="0.3">
      <c r="B552" s="2">
        <v>44202</v>
      </c>
      <c r="C552" s="19" t="str">
        <f t="shared" ref="C552" si="113">TEXT(B552,"aaa")</f>
        <v>수</v>
      </c>
      <c r="E552" s="17" t="str">
        <f>INDEX(매칭테이블!C:C,MATCH(RD!G552,매칭테이블!D:D,0))</f>
        <v>트리트먼트</v>
      </c>
      <c r="F552" t="s">
        <v>91</v>
      </c>
      <c r="G552" t="s">
        <v>115</v>
      </c>
      <c r="H552">
        <v>12</v>
      </c>
      <c r="I552" s="17" t="str">
        <f>VLOOKUP(G552,매칭테이블!D:E,2,0)</f>
        <v>트리트먼트</v>
      </c>
      <c r="J552">
        <v>201210</v>
      </c>
      <c r="L552" s="19">
        <f>VLOOKUP($P552,매칭테이블!$G:$J,2,0)*H552</f>
        <v>312000</v>
      </c>
      <c r="M552" s="19">
        <f>L552-L552*VLOOKUP($P552,매칭테이블!$G:$J,3,0)</f>
        <v>293748</v>
      </c>
      <c r="N552" s="19">
        <f>VLOOKUP($P552,매칭테이블!$G:$J,4,0)*H552</f>
        <v>19164</v>
      </c>
      <c r="O552" s="20">
        <f t="shared" ref="O552" si="114">L552/1.1</f>
        <v>283636.36363636359</v>
      </c>
      <c r="P552" s="19" t="str">
        <f t="shared" ref="P552:P615" si="115">F552&amp;E552&amp;G552&amp;J552</f>
        <v>카페24트리트먼트HAIR RÉ:COVERY 15 Hairpack Treatment [라베나 리커버리 15 헤어팩 트리트먼트]제품선택=헤어 리커버리 15 헤어팩 트리트먼트201210</v>
      </c>
    </row>
    <row r="553" spans="2:16" x14ac:dyDescent="0.3">
      <c r="B553" s="2">
        <v>44202</v>
      </c>
      <c r="C553" s="19" t="str">
        <f t="shared" ref="C553:C559" si="116">TEXT(B553,"aaa")</f>
        <v>수</v>
      </c>
      <c r="E553" s="17" t="str">
        <f>INDEX(매칭테이블!C:C,MATCH(RD!G553,매칭테이블!D:D,0))</f>
        <v>트리트먼트</v>
      </c>
      <c r="F553" t="s">
        <v>91</v>
      </c>
      <c r="G553" t="s">
        <v>116</v>
      </c>
      <c r="H553">
        <v>4</v>
      </c>
      <c r="I553" s="17" t="str">
        <f>VLOOKUP(G553,매칭테이블!D:E,2,0)</f>
        <v>트리트먼트 2set</v>
      </c>
      <c r="J553">
        <v>201210</v>
      </c>
      <c r="L553" s="19">
        <f>VLOOKUP($P553,매칭테이블!$G:$J,2,0)*H553</f>
        <v>197600</v>
      </c>
      <c r="M553" s="19">
        <f>L553-L553*VLOOKUP($P553,매칭테이블!$G:$J,3,0)</f>
        <v>186040.4</v>
      </c>
      <c r="N553" s="19">
        <f>VLOOKUP($P553,매칭테이블!$G:$J,4,0)*H553</f>
        <v>12776</v>
      </c>
      <c r="O553" s="20">
        <f t="shared" ref="O553:O559" si="117">L553/1.1</f>
        <v>179636.36363636362</v>
      </c>
      <c r="P553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554" spans="2:16" x14ac:dyDescent="0.3">
      <c r="B554" s="2">
        <v>44202</v>
      </c>
      <c r="C554" s="19" t="str">
        <f t="shared" si="116"/>
        <v>수</v>
      </c>
      <c r="E554" s="17" t="str">
        <f>INDEX(매칭테이블!C:C,MATCH(RD!G554,매칭테이블!D:D,0))</f>
        <v>뉴트리셔스밤</v>
      </c>
      <c r="F554" t="s">
        <v>91</v>
      </c>
      <c r="G554" t="s">
        <v>118</v>
      </c>
      <c r="H554">
        <v>15</v>
      </c>
      <c r="I554" s="17" t="str">
        <f>VLOOKUP(G554,매칭테이블!D:E,2,0)</f>
        <v>뉴트리셔스밤</v>
      </c>
      <c r="J554">
        <v>201210</v>
      </c>
      <c r="L554" s="19">
        <f>VLOOKUP($P554,매칭테이블!$G:$J,2,0)*H554</f>
        <v>373500</v>
      </c>
      <c r="M554" s="19">
        <f>L554-L554*VLOOKUP($P554,매칭테이블!$G:$J,3,0)</f>
        <v>351650.25</v>
      </c>
      <c r="N554" s="19">
        <f>VLOOKUP($P554,매칭테이블!$G:$J,4,0)*H554</f>
        <v>23700</v>
      </c>
      <c r="O554" s="20">
        <f t="shared" si="117"/>
        <v>339545.45454545453</v>
      </c>
      <c r="P554" s="19" t="str">
        <f t="shared" si="115"/>
        <v>카페24뉴트리셔스밤HAIR RÉ:COVERY 15 Nutritious Balm [라베나 리커버리 15 뉴트리셔스 밤]제품선택=헤어 리커버리 15 뉴트리셔스 밤201210</v>
      </c>
    </row>
    <row r="555" spans="2:16" x14ac:dyDescent="0.3">
      <c r="B555" s="2">
        <v>44202</v>
      </c>
      <c r="C555" s="19" t="str">
        <f t="shared" si="116"/>
        <v>수</v>
      </c>
      <c r="E555" s="17" t="str">
        <f>INDEX(매칭테이블!C:C,MATCH(RD!G555,매칭테이블!D:D,0))</f>
        <v>뉴트리셔스밤</v>
      </c>
      <c r="F555" t="s">
        <v>91</v>
      </c>
      <c r="G555" t="s">
        <v>121</v>
      </c>
      <c r="H555">
        <v>1</v>
      </c>
      <c r="I555" s="17" t="str">
        <f>VLOOKUP(G555,매칭테이블!D:E,2,0)</f>
        <v>뉴트리셔스밤 2set</v>
      </c>
      <c r="J555">
        <v>201210</v>
      </c>
      <c r="L555" s="19">
        <f>VLOOKUP($P555,매칭테이블!$G:$J,2,0)*H555</f>
        <v>47310</v>
      </c>
      <c r="M555" s="19">
        <f>L555-L555*VLOOKUP($P555,매칭테이블!$G:$J,3,0)</f>
        <v>44542.364999999998</v>
      </c>
      <c r="N555" s="19">
        <f>VLOOKUP($P555,매칭테이블!$G:$J,4,0)*H555</f>
        <v>3160</v>
      </c>
      <c r="O555" s="20">
        <f t="shared" si="117"/>
        <v>43009.090909090904</v>
      </c>
      <c r="P555" s="19" t="str">
        <f t="shared" si="115"/>
        <v>카페24뉴트리셔스밤HAIR RÉ:COVERY 15 Nutritious Balm [라베나 리커버리 15 뉴트리셔스 밤]제품선택=뉴트리셔스 밤 2개 세트 5% 추가할인201210</v>
      </c>
    </row>
    <row r="556" spans="2:16" x14ac:dyDescent="0.3">
      <c r="B556" s="2">
        <v>44202</v>
      </c>
      <c r="C556" s="19" t="str">
        <f t="shared" si="116"/>
        <v>수</v>
      </c>
      <c r="E556" s="17" t="str">
        <f>INDEX(매칭테이블!C:C,MATCH(RD!G556,매칭테이블!D:D,0))</f>
        <v>뉴트리셔스밤</v>
      </c>
      <c r="F556" t="s">
        <v>91</v>
      </c>
      <c r="G556" t="s">
        <v>122</v>
      </c>
      <c r="H556">
        <v>1</v>
      </c>
      <c r="I556" s="17" t="str">
        <f>VLOOKUP(G556,매칭테이블!D:E,2,0)</f>
        <v>트리트먼트+뉴트리셔스밤</v>
      </c>
      <c r="J556">
        <v>201210</v>
      </c>
      <c r="L556" s="19">
        <f>VLOOKUP($P556,매칭테이블!$G:$J,2,0)*H556</f>
        <v>48355</v>
      </c>
      <c r="M556" s="19">
        <f>L556-L556*VLOOKUP($P556,매칭테이블!$G:$J,3,0)</f>
        <v>45526.232499999998</v>
      </c>
      <c r="N556" s="19">
        <f>VLOOKUP($P556,매칭테이블!$G:$J,4,0)*H556</f>
        <v>3177</v>
      </c>
      <c r="O556" s="20">
        <f t="shared" si="117"/>
        <v>43959.090909090904</v>
      </c>
      <c r="P556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557" spans="2:16" x14ac:dyDescent="0.3">
      <c r="B557" s="2">
        <v>44202</v>
      </c>
      <c r="C557" s="19" t="str">
        <f t="shared" si="116"/>
        <v>수</v>
      </c>
      <c r="E557" s="17" t="str">
        <f>INDEX(매칭테이블!C:C,MATCH(RD!G557,매칭테이블!D:D,0))</f>
        <v>샴푸</v>
      </c>
      <c r="F557" t="s">
        <v>91</v>
      </c>
      <c r="G557" t="s">
        <v>92</v>
      </c>
      <c r="H557">
        <v>15</v>
      </c>
      <c r="I557" s="17" t="str">
        <f>VLOOKUP(G557,매칭테이블!D:E,2,0)</f>
        <v>리바이탈 샴푸</v>
      </c>
      <c r="J557">
        <v>201210</v>
      </c>
      <c r="L557" s="19">
        <f>VLOOKUP($P557,매칭테이블!$G:$J,2,0)*H557</f>
        <v>403500</v>
      </c>
      <c r="M557" s="19">
        <f>L557-L557*VLOOKUP($P557,매칭테이블!$G:$J,3,0)</f>
        <v>379895.25</v>
      </c>
      <c r="N557" s="19">
        <f>VLOOKUP($P557,매칭테이블!$G:$J,4,0)*H557</f>
        <v>45300</v>
      </c>
      <c r="O557" s="20">
        <f t="shared" si="117"/>
        <v>366818.18181818177</v>
      </c>
      <c r="P557" s="19" t="str">
        <f t="shared" si="115"/>
        <v>카페24샴푸HAIR RÉ:COVERY 15 Revital Shampoo [라베나 리커버리 15 리바이탈 샴푸]제품선택=헤어 리커버리 15 리바이탈 샴푸 - 500ml201210</v>
      </c>
    </row>
    <row r="558" spans="2:16" x14ac:dyDescent="0.3">
      <c r="B558" s="2">
        <v>44202</v>
      </c>
      <c r="C558" s="19" t="str">
        <f t="shared" si="116"/>
        <v>수</v>
      </c>
      <c r="E558" s="17" t="str">
        <f>INDEX(매칭테이블!C:C,MATCH(RD!G558,매칭테이블!D:D,0))</f>
        <v>샴푸</v>
      </c>
      <c r="F558" t="s">
        <v>91</v>
      </c>
      <c r="G558" t="s">
        <v>93</v>
      </c>
      <c r="H558">
        <v>4</v>
      </c>
      <c r="I558" s="17" t="str">
        <f>VLOOKUP(G558,매칭테이블!D:E,2,0)</f>
        <v>리바이탈 샴푸</v>
      </c>
      <c r="J558">
        <v>201210</v>
      </c>
      <c r="L558" s="19">
        <f>VLOOKUP($P558,매칭테이블!$G:$J,2,0)*H558</f>
        <v>204440</v>
      </c>
      <c r="M558" s="19">
        <f>L558-L558*VLOOKUP($P558,매칭테이블!$G:$J,3,0)</f>
        <v>192480.26</v>
      </c>
      <c r="N558" s="19">
        <f>VLOOKUP($P558,매칭테이블!$G:$J,4,0)*H558</f>
        <v>24160</v>
      </c>
      <c r="O558" s="20">
        <f t="shared" si="117"/>
        <v>185854.54545454544</v>
      </c>
      <c r="P558" s="19" t="str">
        <f t="shared" si="115"/>
        <v>카페24샴푸HAIR RÉ:COVERY 15 Revital Shampoo [라베나 리커버리 15 리바이탈 샴푸]제품선택=리바이탈 샴푸 2개 세트 5%추가할인201210</v>
      </c>
    </row>
    <row r="559" spans="2:16" x14ac:dyDescent="0.3">
      <c r="B559" s="2">
        <v>44202</v>
      </c>
      <c r="C559" s="19" t="str">
        <f t="shared" si="116"/>
        <v>수</v>
      </c>
      <c r="E559" s="17" t="str">
        <f>INDEX(매칭테이블!C:C,MATCH(RD!G559,매칭테이블!D:D,0))</f>
        <v>샴푸</v>
      </c>
      <c r="F559" t="s">
        <v>91</v>
      </c>
      <c r="G559" t="s">
        <v>94</v>
      </c>
      <c r="H559">
        <v>1</v>
      </c>
      <c r="I559" s="17" t="str">
        <f>VLOOKUP(G559,매칭테이블!D:E,2,0)</f>
        <v>리바이탈 샴푸 3set</v>
      </c>
      <c r="J559">
        <v>201210</v>
      </c>
      <c r="L559" s="19">
        <f>VLOOKUP($P559,매칭테이블!$G:$J,2,0)*H559</f>
        <v>72630</v>
      </c>
      <c r="M559" s="19">
        <f>L559-L559*VLOOKUP($P559,매칭테이블!$G:$J,3,0)</f>
        <v>68381.145000000004</v>
      </c>
      <c r="N559" s="19">
        <f>VLOOKUP($P559,매칭테이블!$G:$J,4,0)*H559</f>
        <v>9060</v>
      </c>
      <c r="O559" s="20">
        <f t="shared" si="117"/>
        <v>66027.272727272721</v>
      </c>
      <c r="P559" s="19" t="str">
        <f t="shared" si="115"/>
        <v>카페24샴푸HAIR RÉ:COVERY 15 Revital Shampoo [라베나 리커버리 15 리바이탈 샴푸]제품선택=리바이탈 샴푸 3개 세트 10% 추가할인201210</v>
      </c>
    </row>
    <row r="560" spans="2:16" x14ac:dyDescent="0.3">
      <c r="B560" s="2">
        <v>44203</v>
      </c>
      <c r="C560" s="19" t="str">
        <f t="shared" ref="C560" si="118">TEXT(B560,"aaa")</f>
        <v>목</v>
      </c>
      <c r="E560" s="17" t="str">
        <f>INDEX(매칭테이블!C:C,MATCH(RD!G560,매칭테이블!D:D,0))</f>
        <v>트리트먼트</v>
      </c>
      <c r="F560" t="s">
        <v>91</v>
      </c>
      <c r="G560" t="s">
        <v>115</v>
      </c>
      <c r="H560">
        <v>23</v>
      </c>
      <c r="I560" s="17" t="str">
        <f>VLOOKUP(G560,매칭테이블!D:E,2,0)</f>
        <v>트리트먼트</v>
      </c>
      <c r="J560">
        <v>201210</v>
      </c>
      <c r="L560" s="19">
        <f>VLOOKUP($P560,매칭테이블!$G:$J,2,0)*H560</f>
        <v>598000</v>
      </c>
      <c r="M560" s="19">
        <f>L560-L560*VLOOKUP($P560,매칭테이블!$G:$J,3,0)</f>
        <v>563017</v>
      </c>
      <c r="N560" s="19">
        <f>VLOOKUP($P560,매칭테이블!$G:$J,4,0)*H560</f>
        <v>36731</v>
      </c>
      <c r="O560" s="20">
        <f t="shared" ref="O560" si="119">L560/1.1</f>
        <v>543636.36363636365</v>
      </c>
      <c r="P560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561" spans="2:16" x14ac:dyDescent="0.3">
      <c r="B561" s="2">
        <v>44203</v>
      </c>
      <c r="C561" s="19" t="str">
        <f t="shared" ref="C561:C569" si="120">TEXT(B561,"aaa")</f>
        <v>목</v>
      </c>
      <c r="E561" s="17" t="str">
        <f>INDEX(매칭테이블!C:C,MATCH(RD!G561,매칭테이블!D:D,0))</f>
        <v>트리트먼트</v>
      </c>
      <c r="F561" t="s">
        <v>91</v>
      </c>
      <c r="G561" t="s">
        <v>116</v>
      </c>
      <c r="H561">
        <v>5</v>
      </c>
      <c r="I561" s="17" t="str">
        <f>VLOOKUP(G561,매칭테이블!D:E,2,0)</f>
        <v>트리트먼트 2set</v>
      </c>
      <c r="J561">
        <v>201210</v>
      </c>
      <c r="L561" s="19">
        <f>VLOOKUP($P561,매칭테이블!$G:$J,2,0)*H561</f>
        <v>247000</v>
      </c>
      <c r="M561" s="19">
        <f>L561-L561*VLOOKUP($P561,매칭테이블!$G:$J,3,0)</f>
        <v>232550.5</v>
      </c>
      <c r="N561" s="19">
        <f>VLOOKUP($P561,매칭테이블!$G:$J,4,0)*H561</f>
        <v>15970</v>
      </c>
      <c r="O561" s="20">
        <f t="shared" ref="O561:O569" si="121">L561/1.1</f>
        <v>224545.45454545453</v>
      </c>
      <c r="P561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562" spans="2:16" x14ac:dyDescent="0.3">
      <c r="B562" s="2">
        <v>44203</v>
      </c>
      <c r="C562" s="19" t="str">
        <f t="shared" si="120"/>
        <v>목</v>
      </c>
      <c r="E562" s="17" t="str">
        <f>INDEX(매칭테이블!C:C,MATCH(RD!G562,매칭테이블!D:D,0))</f>
        <v>트리트먼트</v>
      </c>
      <c r="F562" t="s">
        <v>91</v>
      </c>
      <c r="G562" t="s">
        <v>120</v>
      </c>
      <c r="H562">
        <v>2</v>
      </c>
      <c r="I562" s="17" t="str">
        <f>VLOOKUP(G562,매칭테이블!D:E,2,0)</f>
        <v>트리트먼트 3set</v>
      </c>
      <c r="J562">
        <v>201210</v>
      </c>
      <c r="L562" s="19">
        <f>VLOOKUP($P562,매칭테이블!$G:$J,2,0)*H562</f>
        <v>140400</v>
      </c>
      <c r="M562" s="19">
        <f>L562-L562*VLOOKUP($P562,매칭테이블!$G:$J,3,0)</f>
        <v>132186.6</v>
      </c>
      <c r="N562" s="19">
        <f>VLOOKUP($P562,매칭테이블!$G:$J,4,0)*H562</f>
        <v>9582</v>
      </c>
      <c r="O562" s="20">
        <f t="shared" si="121"/>
        <v>127636.36363636363</v>
      </c>
      <c r="P562" s="19" t="str">
        <f t="shared" si="115"/>
        <v>카페24트리트먼트HAIR RÉ:COVERY 15 Hairpack Treatment [라베나 리커버리 15 헤어팩 트리트먼트]제품선택=헤어팩 트리트먼트 3개 세트 10% 추가할인201210</v>
      </c>
    </row>
    <row r="563" spans="2:16" x14ac:dyDescent="0.3">
      <c r="B563" s="2">
        <v>44203</v>
      </c>
      <c r="C563" s="19" t="str">
        <f t="shared" si="120"/>
        <v>목</v>
      </c>
      <c r="E563" s="17" t="str">
        <f>INDEX(매칭테이블!C:C,MATCH(RD!G563,매칭테이블!D:D,0))</f>
        <v>트리트먼트</v>
      </c>
      <c r="F563" t="s">
        <v>91</v>
      </c>
      <c r="G563" t="s">
        <v>117</v>
      </c>
      <c r="H563">
        <v>3</v>
      </c>
      <c r="I563" s="17" t="str">
        <f>VLOOKUP(G563,매칭테이블!D:E,2,0)</f>
        <v>트리트먼트+뉴트리셔스밤</v>
      </c>
      <c r="J563">
        <v>201210</v>
      </c>
      <c r="L563" s="19">
        <f>VLOOKUP($P563,매칭테이블!$G:$J,2,0)*H563</f>
        <v>145065</v>
      </c>
      <c r="M563" s="19">
        <f>L563-L563*VLOOKUP($P563,매칭테이블!$G:$J,3,0)</f>
        <v>136578.69750000001</v>
      </c>
      <c r="N563" s="19">
        <f>VLOOKUP($P563,매칭테이블!$G:$J,4,0)*H563</f>
        <v>9531</v>
      </c>
      <c r="O563" s="20">
        <f t="shared" si="121"/>
        <v>131877.27272727271</v>
      </c>
      <c r="P563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564" spans="2:16" x14ac:dyDescent="0.3">
      <c r="B564" s="2">
        <v>44203</v>
      </c>
      <c r="C564" s="19" t="str">
        <f t="shared" si="120"/>
        <v>목</v>
      </c>
      <c r="E564" s="17" t="str">
        <f>INDEX(매칭테이블!C:C,MATCH(RD!G564,매칭테이블!D:D,0))</f>
        <v>뉴트리셔스밤</v>
      </c>
      <c r="F564" t="s">
        <v>91</v>
      </c>
      <c r="G564" t="s">
        <v>118</v>
      </c>
      <c r="H564">
        <v>14</v>
      </c>
      <c r="I564" s="17" t="str">
        <f>VLOOKUP(G564,매칭테이블!D:E,2,0)</f>
        <v>뉴트리셔스밤</v>
      </c>
      <c r="J564">
        <v>201210</v>
      </c>
      <c r="L564" s="19">
        <f>VLOOKUP($P564,매칭테이블!$G:$J,2,0)*H564</f>
        <v>348600</v>
      </c>
      <c r="M564" s="19">
        <f>L564-L564*VLOOKUP($P564,매칭테이블!$G:$J,3,0)</f>
        <v>328206.90000000002</v>
      </c>
      <c r="N564" s="19">
        <f>VLOOKUP($P564,매칭테이블!$G:$J,4,0)*H564</f>
        <v>22120</v>
      </c>
      <c r="O564" s="20">
        <f t="shared" si="121"/>
        <v>316909.09090909088</v>
      </c>
      <c r="P564" s="19" t="str">
        <f t="shared" si="115"/>
        <v>카페24뉴트리셔스밤HAIR RÉ:COVERY 15 Nutritious Balm [라베나 리커버리 15 뉴트리셔스 밤]제품선택=헤어 리커버리 15 뉴트리셔스 밤201210</v>
      </c>
    </row>
    <row r="565" spans="2:16" x14ac:dyDescent="0.3">
      <c r="B565" s="2">
        <v>44203</v>
      </c>
      <c r="C565" s="19" t="str">
        <f t="shared" si="120"/>
        <v>목</v>
      </c>
      <c r="E565" s="17" t="str">
        <f>INDEX(매칭테이블!C:C,MATCH(RD!G565,매칭테이블!D:D,0))</f>
        <v>뉴트리셔스밤</v>
      </c>
      <c r="F565" t="s">
        <v>91</v>
      </c>
      <c r="G565" t="s">
        <v>121</v>
      </c>
      <c r="H565">
        <v>2</v>
      </c>
      <c r="I565" s="17" t="str">
        <f>VLOOKUP(G565,매칭테이블!D:E,2,0)</f>
        <v>뉴트리셔스밤 2set</v>
      </c>
      <c r="J565">
        <v>201210</v>
      </c>
      <c r="L565" s="19">
        <f>VLOOKUP($P565,매칭테이블!$G:$J,2,0)*H565</f>
        <v>94620</v>
      </c>
      <c r="M565" s="19">
        <f>L565-L565*VLOOKUP($P565,매칭테이블!$G:$J,3,0)</f>
        <v>89084.73</v>
      </c>
      <c r="N565" s="19">
        <f>VLOOKUP($P565,매칭테이블!$G:$J,4,0)*H565</f>
        <v>6320</v>
      </c>
      <c r="O565" s="20">
        <f t="shared" si="121"/>
        <v>86018.181818181809</v>
      </c>
      <c r="P565" s="19" t="str">
        <f t="shared" si="115"/>
        <v>카페24뉴트리셔스밤HAIR RÉ:COVERY 15 Nutritious Balm [라베나 리커버리 15 뉴트리셔스 밤]제품선택=뉴트리셔스 밤 2개 세트 5% 추가할인201210</v>
      </c>
    </row>
    <row r="566" spans="2:16" x14ac:dyDescent="0.3">
      <c r="B566" s="2">
        <v>44203</v>
      </c>
      <c r="C566" s="19" t="str">
        <f t="shared" si="120"/>
        <v>목</v>
      </c>
      <c r="E566" s="17" t="str">
        <f>INDEX(매칭테이블!C:C,MATCH(RD!G566,매칭테이블!D:D,0))</f>
        <v>뉴트리셔스밤</v>
      </c>
      <c r="F566" t="s">
        <v>91</v>
      </c>
      <c r="G566" t="s">
        <v>122</v>
      </c>
      <c r="H566">
        <v>3</v>
      </c>
      <c r="I566" s="17" t="str">
        <f>VLOOKUP(G566,매칭테이블!D:E,2,0)</f>
        <v>트리트먼트+뉴트리셔스밤</v>
      </c>
      <c r="J566">
        <v>201210</v>
      </c>
      <c r="L566" s="19">
        <f>VLOOKUP($P566,매칭테이블!$G:$J,2,0)*H566</f>
        <v>145065</v>
      </c>
      <c r="M566" s="19">
        <f>L566-L566*VLOOKUP($P566,매칭테이블!$G:$J,3,0)</f>
        <v>136578.69750000001</v>
      </c>
      <c r="N566" s="19">
        <f>VLOOKUP($P566,매칭테이블!$G:$J,4,0)*H566</f>
        <v>9531</v>
      </c>
      <c r="O566" s="20">
        <f t="shared" si="121"/>
        <v>131877.27272727271</v>
      </c>
      <c r="P566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567" spans="2:16" x14ac:dyDescent="0.3">
      <c r="B567" s="2">
        <v>44203</v>
      </c>
      <c r="C567" s="19" t="str">
        <f t="shared" si="120"/>
        <v>목</v>
      </c>
      <c r="E567" s="17" t="str">
        <f>INDEX(매칭테이블!C:C,MATCH(RD!G567,매칭테이블!D:D,0))</f>
        <v>샴푸</v>
      </c>
      <c r="F567" t="s">
        <v>91</v>
      </c>
      <c r="G567" t="s">
        <v>92</v>
      </c>
      <c r="H567">
        <v>15</v>
      </c>
      <c r="I567" s="17" t="str">
        <f>VLOOKUP(G567,매칭테이블!D:E,2,0)</f>
        <v>리바이탈 샴푸</v>
      </c>
      <c r="J567">
        <v>201210</v>
      </c>
      <c r="L567" s="19">
        <f>VLOOKUP($P567,매칭테이블!$G:$J,2,0)*H567</f>
        <v>403500</v>
      </c>
      <c r="M567" s="19">
        <f>L567-L567*VLOOKUP($P567,매칭테이블!$G:$J,3,0)</f>
        <v>379895.25</v>
      </c>
      <c r="N567" s="19">
        <f>VLOOKUP($P567,매칭테이블!$G:$J,4,0)*H567</f>
        <v>45300</v>
      </c>
      <c r="O567" s="20">
        <f t="shared" si="121"/>
        <v>366818.18181818177</v>
      </c>
      <c r="P567" s="19" t="str">
        <f t="shared" si="115"/>
        <v>카페24샴푸HAIR RÉ:COVERY 15 Revital Shampoo [라베나 리커버리 15 리바이탈 샴푸]제품선택=헤어 리커버리 15 리바이탈 샴푸 - 500ml201210</v>
      </c>
    </row>
    <row r="568" spans="2:16" x14ac:dyDescent="0.3">
      <c r="B568" s="2">
        <v>44203</v>
      </c>
      <c r="C568" s="19" t="str">
        <f t="shared" si="120"/>
        <v>목</v>
      </c>
      <c r="E568" s="17" t="str">
        <f>INDEX(매칭테이블!C:C,MATCH(RD!G568,매칭테이블!D:D,0))</f>
        <v>샴푸</v>
      </c>
      <c r="F568" t="s">
        <v>91</v>
      </c>
      <c r="G568" t="s">
        <v>93</v>
      </c>
      <c r="H568">
        <v>3</v>
      </c>
      <c r="I568" s="17" t="str">
        <f>VLOOKUP(G568,매칭테이블!D:E,2,0)</f>
        <v>리바이탈 샴푸</v>
      </c>
      <c r="J568">
        <v>201210</v>
      </c>
      <c r="L568" s="19">
        <f>VLOOKUP($P568,매칭테이블!$G:$J,2,0)*H568</f>
        <v>153330</v>
      </c>
      <c r="M568" s="19">
        <f>L568-L568*VLOOKUP($P568,매칭테이블!$G:$J,3,0)</f>
        <v>144360.19500000001</v>
      </c>
      <c r="N568" s="19">
        <f>VLOOKUP($P568,매칭테이블!$G:$J,4,0)*H568</f>
        <v>18120</v>
      </c>
      <c r="O568" s="20">
        <f t="shared" si="121"/>
        <v>139390.90909090909</v>
      </c>
      <c r="P568" s="19" t="str">
        <f t="shared" si="115"/>
        <v>카페24샴푸HAIR RÉ:COVERY 15 Revital Shampoo [라베나 리커버리 15 리바이탈 샴푸]제품선택=리바이탈 샴푸 2개 세트 5%추가할인201210</v>
      </c>
    </row>
    <row r="569" spans="2:16" x14ac:dyDescent="0.3">
      <c r="B569" s="2">
        <v>44203</v>
      </c>
      <c r="C569" s="19" t="str">
        <f t="shared" si="120"/>
        <v>목</v>
      </c>
      <c r="E569" s="17" t="str">
        <f>INDEX(매칭테이블!C:C,MATCH(RD!G569,매칭테이블!D:D,0))</f>
        <v>샴푸</v>
      </c>
      <c r="F569" t="s">
        <v>91</v>
      </c>
      <c r="G569" t="s">
        <v>94</v>
      </c>
      <c r="H569">
        <v>3</v>
      </c>
      <c r="I569" s="17" t="str">
        <f>VLOOKUP(G569,매칭테이블!D:E,2,0)</f>
        <v>리바이탈 샴푸 3set</v>
      </c>
      <c r="J569">
        <v>201210</v>
      </c>
      <c r="L569" s="19">
        <f>VLOOKUP($P569,매칭테이블!$G:$J,2,0)*H569</f>
        <v>217890</v>
      </c>
      <c r="M569" s="19">
        <f>L569-L569*VLOOKUP($P569,매칭테이블!$G:$J,3,0)</f>
        <v>205143.435</v>
      </c>
      <c r="N569" s="19">
        <f>VLOOKUP($P569,매칭테이블!$G:$J,4,0)*H569</f>
        <v>27180</v>
      </c>
      <c r="O569" s="20">
        <f t="shared" si="121"/>
        <v>198081.81818181818</v>
      </c>
      <c r="P569" s="19" t="str">
        <f t="shared" si="115"/>
        <v>카페24샴푸HAIR RÉ:COVERY 15 Revital Shampoo [라베나 리커버리 15 리바이탈 샴푸]제품선택=리바이탈 샴푸 3개 세트 10% 추가할인201210</v>
      </c>
    </row>
    <row r="570" spans="2:16" x14ac:dyDescent="0.3">
      <c r="B570" s="2">
        <v>44204</v>
      </c>
      <c r="C570" s="19" t="str">
        <f t="shared" ref="C570" si="122">TEXT(B570,"aaa")</f>
        <v>금</v>
      </c>
      <c r="E570" s="17" t="str">
        <f>INDEX(매칭테이블!C:C,MATCH(RD!G570,매칭테이블!D:D,0))</f>
        <v>트리트먼트</v>
      </c>
      <c r="F570" t="s">
        <v>91</v>
      </c>
      <c r="G570" t="s">
        <v>115</v>
      </c>
      <c r="H570">
        <v>9</v>
      </c>
      <c r="I570" s="17" t="str">
        <f>VLOOKUP(G570,매칭테이블!D:E,2,0)</f>
        <v>트리트먼트</v>
      </c>
      <c r="J570">
        <v>201210</v>
      </c>
      <c r="L570" s="19">
        <f>VLOOKUP($P570,매칭테이블!$G:$J,2,0)*H570</f>
        <v>234000</v>
      </c>
      <c r="M570" s="19">
        <f>L570-L570*VLOOKUP($P570,매칭테이블!$G:$J,3,0)</f>
        <v>220311</v>
      </c>
      <c r="N570" s="19">
        <f>VLOOKUP($P570,매칭테이블!$G:$J,4,0)*H570</f>
        <v>14373</v>
      </c>
      <c r="O570" s="20">
        <f t="shared" ref="O570:O579" si="123">L570/1.1</f>
        <v>212727.27272727271</v>
      </c>
      <c r="P570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571" spans="2:16" x14ac:dyDescent="0.3">
      <c r="B571" s="2">
        <v>44204</v>
      </c>
      <c r="C571" s="19" t="str">
        <f t="shared" ref="C571:C579" si="124">TEXT(B571,"aaa")</f>
        <v>금</v>
      </c>
      <c r="E571" s="17" t="str">
        <f>INDEX(매칭테이블!C:C,MATCH(RD!G571,매칭테이블!D:D,0))</f>
        <v>트리트먼트</v>
      </c>
      <c r="F571" t="s">
        <v>91</v>
      </c>
      <c r="G571" t="s">
        <v>116</v>
      </c>
      <c r="H571">
        <v>1</v>
      </c>
      <c r="I571" s="17" t="str">
        <f>VLOOKUP(G571,매칭테이블!D:E,2,0)</f>
        <v>트리트먼트 2set</v>
      </c>
      <c r="J571">
        <v>201210</v>
      </c>
      <c r="L571" s="19">
        <f>VLOOKUP($P571,매칭테이블!$G:$J,2,0)*H571</f>
        <v>49400</v>
      </c>
      <c r="M571" s="19">
        <f>L571-L571*VLOOKUP($P571,매칭테이블!$G:$J,3,0)</f>
        <v>46510.1</v>
      </c>
      <c r="N571" s="19">
        <f>VLOOKUP($P571,매칭테이블!$G:$J,4,0)*H571</f>
        <v>3194</v>
      </c>
      <c r="O571" s="20">
        <f t="shared" si="123"/>
        <v>44909.090909090904</v>
      </c>
      <c r="P571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572" spans="2:16" x14ac:dyDescent="0.3">
      <c r="B572" s="2">
        <v>44204</v>
      </c>
      <c r="C572" s="19" t="str">
        <f t="shared" si="124"/>
        <v>금</v>
      </c>
      <c r="E572" s="17" t="str">
        <f>INDEX(매칭테이블!C:C,MATCH(RD!G572,매칭테이블!D:D,0))</f>
        <v>트리트먼트</v>
      </c>
      <c r="F572" t="s">
        <v>91</v>
      </c>
      <c r="G572" t="s">
        <v>120</v>
      </c>
      <c r="H572">
        <v>2</v>
      </c>
      <c r="I572" s="17" t="str">
        <f>VLOOKUP(G572,매칭테이블!D:E,2,0)</f>
        <v>트리트먼트 3set</v>
      </c>
      <c r="J572">
        <v>201210</v>
      </c>
      <c r="L572" s="19">
        <f>VLOOKUP($P572,매칭테이블!$G:$J,2,0)*H572</f>
        <v>140400</v>
      </c>
      <c r="M572" s="19">
        <f>L572-L572*VLOOKUP($P572,매칭테이블!$G:$J,3,0)</f>
        <v>132186.6</v>
      </c>
      <c r="N572" s="19">
        <f>VLOOKUP($P572,매칭테이블!$G:$J,4,0)*H572</f>
        <v>9582</v>
      </c>
      <c r="O572" s="20">
        <f t="shared" si="123"/>
        <v>127636.36363636363</v>
      </c>
      <c r="P572" s="19" t="str">
        <f t="shared" si="115"/>
        <v>카페24트리트먼트HAIR RÉ:COVERY 15 Hairpack Treatment [라베나 리커버리 15 헤어팩 트리트먼트]제품선택=헤어팩 트리트먼트 3개 세트 10% 추가할인201210</v>
      </c>
    </row>
    <row r="573" spans="2:16" x14ac:dyDescent="0.3">
      <c r="B573" s="2">
        <v>44204</v>
      </c>
      <c r="C573" s="19" t="str">
        <f t="shared" si="124"/>
        <v>금</v>
      </c>
      <c r="E573" s="17" t="str">
        <f>INDEX(매칭테이블!C:C,MATCH(RD!G573,매칭테이블!D:D,0))</f>
        <v>트리트먼트</v>
      </c>
      <c r="F573" t="s">
        <v>91</v>
      </c>
      <c r="G573" t="s">
        <v>117</v>
      </c>
      <c r="H573">
        <v>1</v>
      </c>
      <c r="I573" s="17" t="str">
        <f>VLOOKUP(G573,매칭테이블!D:E,2,0)</f>
        <v>트리트먼트+뉴트리셔스밤</v>
      </c>
      <c r="J573">
        <v>201210</v>
      </c>
      <c r="L573" s="19">
        <f>VLOOKUP($P573,매칭테이블!$G:$J,2,0)*H573</f>
        <v>48355</v>
      </c>
      <c r="M573" s="19">
        <f>L573-L573*VLOOKUP($P573,매칭테이블!$G:$J,3,0)</f>
        <v>45526.232499999998</v>
      </c>
      <c r="N573" s="19">
        <f>VLOOKUP($P573,매칭테이블!$G:$J,4,0)*H573</f>
        <v>3177</v>
      </c>
      <c r="O573" s="20">
        <f t="shared" si="123"/>
        <v>43959.090909090904</v>
      </c>
      <c r="P573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574" spans="2:16" x14ac:dyDescent="0.3">
      <c r="B574" s="2">
        <v>44204</v>
      </c>
      <c r="C574" s="19" t="str">
        <f t="shared" si="124"/>
        <v>금</v>
      </c>
      <c r="E574" s="17" t="str">
        <f>INDEX(매칭테이블!C:C,MATCH(RD!G574,매칭테이블!D:D,0))</f>
        <v>뉴트리셔스밤</v>
      </c>
      <c r="F574" t="s">
        <v>91</v>
      </c>
      <c r="G574" t="s">
        <v>118</v>
      </c>
      <c r="H574">
        <v>12</v>
      </c>
      <c r="I574" s="17" t="str">
        <f>VLOOKUP(G574,매칭테이블!D:E,2,0)</f>
        <v>뉴트리셔스밤</v>
      </c>
      <c r="J574">
        <v>201210</v>
      </c>
      <c r="L574" s="19">
        <f>VLOOKUP($P574,매칭테이블!$G:$J,2,0)*H574</f>
        <v>298800</v>
      </c>
      <c r="M574" s="19">
        <f>L574-L574*VLOOKUP($P574,매칭테이블!$G:$J,3,0)</f>
        <v>281320.2</v>
      </c>
      <c r="N574" s="19">
        <f>VLOOKUP($P574,매칭테이블!$G:$J,4,0)*H574</f>
        <v>18960</v>
      </c>
      <c r="O574" s="20">
        <f t="shared" si="123"/>
        <v>271636.36363636359</v>
      </c>
      <c r="P574" s="19" t="str">
        <f t="shared" si="115"/>
        <v>카페24뉴트리셔스밤HAIR RÉ:COVERY 15 Nutritious Balm [라베나 리커버리 15 뉴트리셔스 밤]제품선택=헤어 리커버리 15 뉴트리셔스 밤201210</v>
      </c>
    </row>
    <row r="575" spans="2:16" x14ac:dyDescent="0.3">
      <c r="B575" s="2">
        <v>44204</v>
      </c>
      <c r="C575" s="19" t="str">
        <f t="shared" si="124"/>
        <v>금</v>
      </c>
      <c r="E575" s="17" t="str">
        <f>INDEX(매칭테이블!C:C,MATCH(RD!G575,매칭테이블!D:D,0))</f>
        <v>뉴트리셔스밤</v>
      </c>
      <c r="F575" t="s">
        <v>91</v>
      </c>
      <c r="G575" t="s">
        <v>121</v>
      </c>
      <c r="H575">
        <v>2</v>
      </c>
      <c r="I575" s="17" t="str">
        <f>VLOOKUP(G575,매칭테이블!D:E,2,0)</f>
        <v>뉴트리셔스밤 2set</v>
      </c>
      <c r="J575">
        <v>201210</v>
      </c>
      <c r="L575" s="19">
        <f>VLOOKUP($P575,매칭테이블!$G:$J,2,0)*H575</f>
        <v>94620</v>
      </c>
      <c r="M575" s="19">
        <f>L575-L575*VLOOKUP($P575,매칭테이블!$G:$J,3,0)</f>
        <v>89084.73</v>
      </c>
      <c r="N575" s="19">
        <f>VLOOKUP($P575,매칭테이블!$G:$J,4,0)*H575</f>
        <v>6320</v>
      </c>
      <c r="O575" s="20">
        <f t="shared" si="123"/>
        <v>86018.181818181809</v>
      </c>
      <c r="P575" s="19" t="str">
        <f t="shared" si="115"/>
        <v>카페24뉴트리셔스밤HAIR RÉ:COVERY 15 Nutritious Balm [라베나 리커버리 15 뉴트리셔스 밤]제품선택=뉴트리셔스 밤 2개 세트 5% 추가할인201210</v>
      </c>
    </row>
    <row r="576" spans="2:16" x14ac:dyDescent="0.3">
      <c r="B576" s="2">
        <v>44204</v>
      </c>
      <c r="C576" s="19" t="str">
        <f t="shared" si="124"/>
        <v>금</v>
      </c>
      <c r="E576" s="17" t="str">
        <f>INDEX(매칭테이블!C:C,MATCH(RD!G576,매칭테이블!D:D,0))</f>
        <v>뉴트리셔스밤</v>
      </c>
      <c r="F576" t="s">
        <v>91</v>
      </c>
      <c r="G576" t="s">
        <v>119</v>
      </c>
      <c r="H576">
        <v>1</v>
      </c>
      <c r="I576" s="17" t="str">
        <f>VLOOKUP(G576,매칭테이블!D:E,2,0)</f>
        <v>뉴트리셔스밤 3set</v>
      </c>
      <c r="J576">
        <v>201210</v>
      </c>
      <c r="L576" s="19">
        <f>VLOOKUP($P576,매칭테이블!$G:$J,2,0)*H576</f>
        <v>67230</v>
      </c>
      <c r="M576" s="19">
        <f>L576-L576*VLOOKUP($P576,매칭테이블!$G:$J,3,0)</f>
        <v>63297.044999999998</v>
      </c>
      <c r="N576" s="19">
        <f>VLOOKUP($P576,매칭테이블!$G:$J,4,0)*H576</f>
        <v>4740</v>
      </c>
      <c r="O576" s="20">
        <f t="shared" si="123"/>
        <v>61118.181818181816</v>
      </c>
      <c r="P576" s="19" t="str">
        <f t="shared" si="115"/>
        <v>카페24뉴트리셔스밤HAIR RÉ:COVERY 15 Nutritious Balm [라베나 리커버리 15 뉴트리셔스 밤]제품선택=뉴트리셔스 밤 3개 세트 10% 추가할인201210</v>
      </c>
    </row>
    <row r="577" spans="2:16" x14ac:dyDescent="0.3">
      <c r="B577" s="2">
        <v>44204</v>
      </c>
      <c r="C577" s="19" t="str">
        <f t="shared" si="124"/>
        <v>금</v>
      </c>
      <c r="E577" s="17" t="str">
        <f>INDEX(매칭테이블!C:C,MATCH(RD!G577,매칭테이블!D:D,0))</f>
        <v>뉴트리셔스밤</v>
      </c>
      <c r="F577" t="s">
        <v>91</v>
      </c>
      <c r="G577" t="s">
        <v>122</v>
      </c>
      <c r="H577">
        <v>2</v>
      </c>
      <c r="I577" s="17" t="str">
        <f>VLOOKUP(G577,매칭테이블!D:E,2,0)</f>
        <v>트리트먼트+뉴트리셔스밤</v>
      </c>
      <c r="J577">
        <v>201210</v>
      </c>
      <c r="L577" s="19">
        <f>VLOOKUP($P577,매칭테이블!$G:$J,2,0)*H577</f>
        <v>96710</v>
      </c>
      <c r="M577" s="19">
        <f>L577-L577*VLOOKUP($P577,매칭테이블!$G:$J,3,0)</f>
        <v>91052.464999999997</v>
      </c>
      <c r="N577" s="19">
        <f>VLOOKUP($P577,매칭테이블!$G:$J,4,0)*H577</f>
        <v>6354</v>
      </c>
      <c r="O577" s="20">
        <f t="shared" si="123"/>
        <v>87918.181818181809</v>
      </c>
      <c r="P577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578" spans="2:16" x14ac:dyDescent="0.3">
      <c r="B578" s="2">
        <v>44204</v>
      </c>
      <c r="C578" s="19" t="str">
        <f t="shared" si="124"/>
        <v>금</v>
      </c>
      <c r="E578" s="17" t="str">
        <f>INDEX(매칭테이블!C:C,MATCH(RD!G578,매칭테이블!D:D,0))</f>
        <v>샴푸</v>
      </c>
      <c r="F578" t="s">
        <v>91</v>
      </c>
      <c r="G578" t="s">
        <v>92</v>
      </c>
      <c r="H578">
        <v>6</v>
      </c>
      <c r="I578" s="17" t="str">
        <f>VLOOKUP(G578,매칭테이블!D:E,2,0)</f>
        <v>리바이탈 샴푸</v>
      </c>
      <c r="J578">
        <v>201210</v>
      </c>
      <c r="L578" s="19">
        <f>VLOOKUP($P578,매칭테이블!$G:$J,2,0)*H578</f>
        <v>161400</v>
      </c>
      <c r="M578" s="19">
        <f>L578-L578*VLOOKUP($P578,매칭테이블!$G:$J,3,0)</f>
        <v>151958.1</v>
      </c>
      <c r="N578" s="19">
        <f>VLOOKUP($P578,매칭테이블!$G:$J,4,0)*H578</f>
        <v>18120</v>
      </c>
      <c r="O578" s="20">
        <f t="shared" si="123"/>
        <v>146727.27272727271</v>
      </c>
      <c r="P578" s="19" t="str">
        <f t="shared" si="115"/>
        <v>카페24샴푸HAIR RÉ:COVERY 15 Revital Shampoo [라베나 리커버리 15 리바이탈 샴푸]제품선택=헤어 리커버리 15 리바이탈 샴푸 - 500ml201210</v>
      </c>
    </row>
    <row r="579" spans="2:16" x14ac:dyDescent="0.3">
      <c r="B579" s="2">
        <v>44204</v>
      </c>
      <c r="C579" s="19" t="str">
        <f t="shared" si="124"/>
        <v>금</v>
      </c>
      <c r="E579" s="17" t="str">
        <f>INDEX(매칭테이블!C:C,MATCH(RD!G579,매칭테이블!D:D,0))</f>
        <v>샴푸</v>
      </c>
      <c r="F579" t="s">
        <v>91</v>
      </c>
      <c r="G579" t="s">
        <v>93</v>
      </c>
      <c r="H579">
        <v>1</v>
      </c>
      <c r="I579" s="17" t="str">
        <f>VLOOKUP(G579,매칭테이블!D:E,2,0)</f>
        <v>리바이탈 샴푸</v>
      </c>
      <c r="J579">
        <v>201210</v>
      </c>
      <c r="L579" s="19">
        <f>VLOOKUP($P579,매칭테이블!$G:$J,2,0)*H579</f>
        <v>51110</v>
      </c>
      <c r="M579" s="19">
        <f>L579-L579*VLOOKUP($P579,매칭테이블!$G:$J,3,0)</f>
        <v>48120.065000000002</v>
      </c>
      <c r="N579" s="19">
        <f>VLOOKUP($P579,매칭테이블!$G:$J,4,0)*H579</f>
        <v>6040</v>
      </c>
      <c r="O579" s="20">
        <f t="shared" si="123"/>
        <v>46463.63636363636</v>
      </c>
      <c r="P579" s="19" t="str">
        <f t="shared" si="115"/>
        <v>카페24샴푸HAIR RÉ:COVERY 15 Revital Shampoo [라베나 리커버리 15 리바이탈 샴푸]제품선택=리바이탈 샴푸 2개 세트 5%추가할인201210</v>
      </c>
    </row>
    <row r="580" spans="2:16" x14ac:dyDescent="0.3">
      <c r="B580" s="2">
        <v>44205</v>
      </c>
      <c r="C580" s="19" t="str">
        <f t="shared" ref="C580" si="125">TEXT(B580,"aaa")</f>
        <v>토</v>
      </c>
      <c r="E580" s="17" t="str">
        <f>INDEX(매칭테이블!C:C,MATCH(RD!G580,매칭테이블!D:D,0))</f>
        <v>트리트먼트</v>
      </c>
      <c r="F580" t="s">
        <v>91</v>
      </c>
      <c r="G580" t="s">
        <v>115</v>
      </c>
      <c r="H580">
        <v>10</v>
      </c>
      <c r="I580" s="17" t="str">
        <f>VLOOKUP(G580,매칭테이블!D:E,2,0)</f>
        <v>트리트먼트</v>
      </c>
      <c r="J580">
        <v>201210</v>
      </c>
      <c r="L580" s="19">
        <f>VLOOKUP($P580,매칭테이블!$G:$J,2,0)*H580</f>
        <v>260000</v>
      </c>
      <c r="M580" s="19">
        <f>L580-L580*VLOOKUP($P580,매칭테이블!$G:$J,3,0)</f>
        <v>244790</v>
      </c>
      <c r="N580" s="19">
        <f>VLOOKUP($P580,매칭테이블!$G:$J,4,0)*H580</f>
        <v>15970</v>
      </c>
      <c r="O580" s="20">
        <f t="shared" ref="O580" si="126">L580/1.1</f>
        <v>236363.63636363635</v>
      </c>
      <c r="P580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581" spans="2:16" x14ac:dyDescent="0.3">
      <c r="B581" s="2">
        <v>44205</v>
      </c>
      <c r="C581" s="19" t="str">
        <f t="shared" ref="C581:C589" si="127">TEXT(B581,"aaa")</f>
        <v>토</v>
      </c>
      <c r="E581" s="17" t="str">
        <f>INDEX(매칭테이블!C:C,MATCH(RD!G581,매칭테이블!D:D,0))</f>
        <v>트리트먼트</v>
      </c>
      <c r="F581" t="s">
        <v>91</v>
      </c>
      <c r="G581" t="s">
        <v>116</v>
      </c>
      <c r="H581">
        <v>2</v>
      </c>
      <c r="I581" s="17" t="str">
        <f>VLOOKUP(G581,매칭테이블!D:E,2,0)</f>
        <v>트리트먼트 2set</v>
      </c>
      <c r="J581">
        <v>201210</v>
      </c>
      <c r="L581" s="19">
        <f>VLOOKUP($P581,매칭테이블!$G:$J,2,0)*H581</f>
        <v>98800</v>
      </c>
      <c r="M581" s="19">
        <f>L581-L581*VLOOKUP($P581,매칭테이블!$G:$J,3,0)</f>
        <v>93020.2</v>
      </c>
      <c r="N581" s="19">
        <f>VLOOKUP($P581,매칭테이블!$G:$J,4,0)*H581</f>
        <v>6388</v>
      </c>
      <c r="O581" s="20">
        <f t="shared" ref="O581:O589" si="128">L581/1.1</f>
        <v>89818.181818181809</v>
      </c>
      <c r="P581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582" spans="2:16" x14ac:dyDescent="0.3">
      <c r="B582" s="2">
        <v>44205</v>
      </c>
      <c r="C582" s="19" t="str">
        <f t="shared" si="127"/>
        <v>토</v>
      </c>
      <c r="E582" s="17" t="str">
        <f>INDEX(매칭테이블!C:C,MATCH(RD!G582,매칭테이블!D:D,0))</f>
        <v>트리트먼트</v>
      </c>
      <c r="F582" t="s">
        <v>91</v>
      </c>
      <c r="G582" t="s">
        <v>120</v>
      </c>
      <c r="H582">
        <v>3</v>
      </c>
      <c r="I582" s="17" t="str">
        <f>VLOOKUP(G582,매칭테이블!D:E,2,0)</f>
        <v>트리트먼트 3set</v>
      </c>
      <c r="J582">
        <v>201210</v>
      </c>
      <c r="L582" s="19">
        <f>VLOOKUP($P582,매칭테이블!$G:$J,2,0)*H582</f>
        <v>210600</v>
      </c>
      <c r="M582" s="19">
        <f>L582-L582*VLOOKUP($P582,매칭테이블!$G:$J,3,0)</f>
        <v>198279.9</v>
      </c>
      <c r="N582" s="19">
        <f>VLOOKUP($P582,매칭테이블!$G:$J,4,0)*H582</f>
        <v>14373</v>
      </c>
      <c r="O582" s="20">
        <f t="shared" si="128"/>
        <v>191454.54545454544</v>
      </c>
      <c r="P582" s="19" t="str">
        <f t="shared" si="115"/>
        <v>카페24트리트먼트HAIR RÉ:COVERY 15 Hairpack Treatment [라베나 리커버리 15 헤어팩 트리트먼트]제품선택=헤어팩 트리트먼트 3개 세트 10% 추가할인201210</v>
      </c>
    </row>
    <row r="583" spans="2:16" x14ac:dyDescent="0.3">
      <c r="B583" s="2">
        <v>44205</v>
      </c>
      <c r="C583" s="19" t="str">
        <f t="shared" si="127"/>
        <v>토</v>
      </c>
      <c r="E583" s="17" t="str">
        <f>INDEX(매칭테이블!C:C,MATCH(RD!G583,매칭테이블!D:D,0))</f>
        <v>트리트먼트</v>
      </c>
      <c r="F583" t="s">
        <v>91</v>
      </c>
      <c r="G583" t="s">
        <v>117</v>
      </c>
      <c r="H583">
        <v>3</v>
      </c>
      <c r="I583" s="17" t="str">
        <f>VLOOKUP(G583,매칭테이블!D:E,2,0)</f>
        <v>트리트먼트+뉴트리셔스밤</v>
      </c>
      <c r="J583">
        <v>201210</v>
      </c>
      <c r="L583" s="19">
        <f>VLOOKUP($P583,매칭테이블!$G:$J,2,0)*H583</f>
        <v>145065</v>
      </c>
      <c r="M583" s="19">
        <f>L583-L583*VLOOKUP($P583,매칭테이블!$G:$J,3,0)</f>
        <v>136578.69750000001</v>
      </c>
      <c r="N583" s="19">
        <f>VLOOKUP($P583,매칭테이블!$G:$J,4,0)*H583</f>
        <v>9531</v>
      </c>
      <c r="O583" s="20">
        <f t="shared" si="128"/>
        <v>131877.27272727271</v>
      </c>
      <c r="P583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584" spans="2:16" x14ac:dyDescent="0.3">
      <c r="B584" s="2">
        <v>44205</v>
      </c>
      <c r="C584" s="19" t="str">
        <f t="shared" si="127"/>
        <v>토</v>
      </c>
      <c r="E584" s="17" t="str">
        <f>INDEX(매칭테이블!C:C,MATCH(RD!G584,매칭테이블!D:D,0))</f>
        <v>뉴트리셔스밤</v>
      </c>
      <c r="F584" t="s">
        <v>91</v>
      </c>
      <c r="G584" t="s">
        <v>118</v>
      </c>
      <c r="H584">
        <v>7</v>
      </c>
      <c r="I584" s="17" t="str">
        <f>VLOOKUP(G584,매칭테이블!D:E,2,0)</f>
        <v>뉴트리셔스밤</v>
      </c>
      <c r="J584">
        <v>201210</v>
      </c>
      <c r="L584" s="19">
        <f>VLOOKUP($P584,매칭테이블!$G:$J,2,0)*H584</f>
        <v>174300</v>
      </c>
      <c r="M584" s="19">
        <f>L584-L584*VLOOKUP($P584,매칭테이블!$G:$J,3,0)</f>
        <v>164103.45000000001</v>
      </c>
      <c r="N584" s="19">
        <f>VLOOKUP($P584,매칭테이블!$G:$J,4,0)*H584</f>
        <v>11060</v>
      </c>
      <c r="O584" s="20">
        <f t="shared" si="128"/>
        <v>158454.54545454544</v>
      </c>
      <c r="P584" s="19" t="str">
        <f t="shared" si="115"/>
        <v>카페24뉴트리셔스밤HAIR RÉ:COVERY 15 Nutritious Balm [라베나 리커버리 15 뉴트리셔스 밤]제품선택=헤어 리커버리 15 뉴트리셔스 밤201210</v>
      </c>
    </row>
    <row r="585" spans="2:16" x14ac:dyDescent="0.3">
      <c r="B585" s="2">
        <v>44205</v>
      </c>
      <c r="C585" s="19" t="str">
        <f t="shared" si="127"/>
        <v>토</v>
      </c>
      <c r="E585" s="17" t="str">
        <f>INDEX(매칭테이블!C:C,MATCH(RD!G585,매칭테이블!D:D,0))</f>
        <v>뉴트리셔스밤</v>
      </c>
      <c r="F585" t="s">
        <v>91</v>
      </c>
      <c r="G585" t="s">
        <v>119</v>
      </c>
      <c r="H585">
        <v>2</v>
      </c>
      <c r="I585" s="17" t="str">
        <f>VLOOKUP(G585,매칭테이블!D:E,2,0)</f>
        <v>뉴트리셔스밤 3set</v>
      </c>
      <c r="J585">
        <v>201210</v>
      </c>
      <c r="L585" s="19">
        <f>VLOOKUP($P585,매칭테이블!$G:$J,2,0)*H585</f>
        <v>134460</v>
      </c>
      <c r="M585" s="19">
        <f>L585-L585*VLOOKUP($P585,매칭테이블!$G:$J,3,0)</f>
        <v>126594.09</v>
      </c>
      <c r="N585" s="19">
        <f>VLOOKUP($P585,매칭테이블!$G:$J,4,0)*H585</f>
        <v>9480</v>
      </c>
      <c r="O585" s="20">
        <f t="shared" si="128"/>
        <v>122236.36363636363</v>
      </c>
      <c r="P585" s="19" t="str">
        <f t="shared" si="115"/>
        <v>카페24뉴트리셔스밤HAIR RÉ:COVERY 15 Nutritious Balm [라베나 리커버리 15 뉴트리셔스 밤]제품선택=뉴트리셔스 밤 3개 세트 10% 추가할인201210</v>
      </c>
    </row>
    <row r="586" spans="2:16" x14ac:dyDescent="0.3">
      <c r="B586" s="2">
        <v>44205</v>
      </c>
      <c r="C586" s="19" t="str">
        <f t="shared" si="127"/>
        <v>토</v>
      </c>
      <c r="E586" s="17" t="str">
        <f>INDEX(매칭테이블!C:C,MATCH(RD!G586,매칭테이블!D:D,0))</f>
        <v>뉴트리셔스밤</v>
      </c>
      <c r="F586" t="s">
        <v>91</v>
      </c>
      <c r="G586" t="s">
        <v>122</v>
      </c>
      <c r="H586">
        <v>2</v>
      </c>
      <c r="I586" s="17" t="str">
        <f>VLOOKUP(G586,매칭테이블!D:E,2,0)</f>
        <v>트리트먼트+뉴트리셔스밤</v>
      </c>
      <c r="J586">
        <v>201210</v>
      </c>
      <c r="L586" s="19">
        <f>VLOOKUP($P586,매칭테이블!$G:$J,2,0)*H586</f>
        <v>96710</v>
      </c>
      <c r="M586" s="19">
        <f>L586-L586*VLOOKUP($P586,매칭테이블!$G:$J,3,0)</f>
        <v>91052.464999999997</v>
      </c>
      <c r="N586" s="19">
        <f>VLOOKUP($P586,매칭테이블!$G:$J,4,0)*H586</f>
        <v>6354</v>
      </c>
      <c r="O586" s="20">
        <f t="shared" si="128"/>
        <v>87918.181818181809</v>
      </c>
      <c r="P586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587" spans="2:16" x14ac:dyDescent="0.3">
      <c r="B587" s="2">
        <v>44205</v>
      </c>
      <c r="C587" s="19" t="str">
        <f t="shared" si="127"/>
        <v>토</v>
      </c>
      <c r="E587" s="17" t="str">
        <f>INDEX(매칭테이블!C:C,MATCH(RD!G587,매칭테이블!D:D,0))</f>
        <v>샴푸</v>
      </c>
      <c r="F587" t="s">
        <v>91</v>
      </c>
      <c r="G587" t="s">
        <v>92</v>
      </c>
      <c r="H587">
        <v>9</v>
      </c>
      <c r="I587" s="17" t="str">
        <f>VLOOKUP(G587,매칭테이블!D:E,2,0)</f>
        <v>리바이탈 샴푸</v>
      </c>
      <c r="J587">
        <v>201210</v>
      </c>
      <c r="L587" s="19">
        <f>VLOOKUP($P587,매칭테이블!$G:$J,2,0)*H587</f>
        <v>242100</v>
      </c>
      <c r="M587" s="19">
        <f>L587-L587*VLOOKUP($P587,매칭테이블!$G:$J,3,0)</f>
        <v>227937.15</v>
      </c>
      <c r="N587" s="19">
        <f>VLOOKUP($P587,매칭테이블!$G:$J,4,0)*H587</f>
        <v>27180</v>
      </c>
      <c r="O587" s="20">
        <f t="shared" si="128"/>
        <v>220090.90909090906</v>
      </c>
      <c r="P587" s="19" t="str">
        <f t="shared" si="115"/>
        <v>카페24샴푸HAIR RÉ:COVERY 15 Revital Shampoo [라베나 리커버리 15 리바이탈 샴푸]제품선택=헤어 리커버리 15 리바이탈 샴푸 - 500ml201210</v>
      </c>
    </row>
    <row r="588" spans="2:16" x14ac:dyDescent="0.3">
      <c r="B588" s="2">
        <v>44205</v>
      </c>
      <c r="C588" s="19" t="str">
        <f t="shared" si="127"/>
        <v>토</v>
      </c>
      <c r="E588" s="17" t="str">
        <f>INDEX(매칭테이블!C:C,MATCH(RD!G588,매칭테이블!D:D,0))</f>
        <v>샴푸</v>
      </c>
      <c r="F588" t="s">
        <v>91</v>
      </c>
      <c r="G588" t="s">
        <v>93</v>
      </c>
      <c r="H588">
        <v>1</v>
      </c>
      <c r="I588" s="17" t="str">
        <f>VLOOKUP(G588,매칭테이블!D:E,2,0)</f>
        <v>리바이탈 샴푸</v>
      </c>
      <c r="J588">
        <v>201210</v>
      </c>
      <c r="L588" s="19">
        <f>VLOOKUP($P588,매칭테이블!$G:$J,2,0)*H588</f>
        <v>51110</v>
      </c>
      <c r="M588" s="19">
        <f>L588-L588*VLOOKUP($P588,매칭테이블!$G:$J,3,0)</f>
        <v>48120.065000000002</v>
      </c>
      <c r="N588" s="19">
        <f>VLOOKUP($P588,매칭테이블!$G:$J,4,0)*H588</f>
        <v>6040</v>
      </c>
      <c r="O588" s="20">
        <f t="shared" si="128"/>
        <v>46463.63636363636</v>
      </c>
      <c r="P588" s="19" t="str">
        <f t="shared" si="115"/>
        <v>카페24샴푸HAIR RÉ:COVERY 15 Revital Shampoo [라베나 리커버리 15 리바이탈 샴푸]제품선택=리바이탈 샴푸 2개 세트 5%추가할인201210</v>
      </c>
    </row>
    <row r="589" spans="2:16" x14ac:dyDescent="0.3">
      <c r="B589" s="2">
        <v>44205</v>
      </c>
      <c r="C589" s="19" t="str">
        <f t="shared" si="127"/>
        <v>토</v>
      </c>
      <c r="E589" s="17" t="str">
        <f>INDEX(매칭테이블!C:C,MATCH(RD!G589,매칭테이블!D:D,0))</f>
        <v>샴푸</v>
      </c>
      <c r="F589" t="s">
        <v>91</v>
      </c>
      <c r="G589" t="s">
        <v>94</v>
      </c>
      <c r="H589">
        <v>3</v>
      </c>
      <c r="I589" s="17" t="str">
        <f>VLOOKUP(G589,매칭테이블!D:E,2,0)</f>
        <v>리바이탈 샴푸 3set</v>
      </c>
      <c r="J589">
        <v>201210</v>
      </c>
      <c r="L589" s="19">
        <f>VLOOKUP($P589,매칭테이블!$G:$J,2,0)*H589</f>
        <v>217890</v>
      </c>
      <c r="M589" s="19">
        <f>L589-L589*VLOOKUP($P589,매칭테이블!$G:$J,3,0)</f>
        <v>205143.435</v>
      </c>
      <c r="N589" s="19">
        <f>VLOOKUP($P589,매칭테이블!$G:$J,4,0)*H589</f>
        <v>27180</v>
      </c>
      <c r="O589" s="20">
        <f t="shared" si="128"/>
        <v>198081.81818181818</v>
      </c>
      <c r="P589" s="19" t="str">
        <f t="shared" si="115"/>
        <v>카페24샴푸HAIR RÉ:COVERY 15 Revital Shampoo [라베나 리커버리 15 리바이탈 샴푸]제품선택=리바이탈 샴푸 3개 세트 10% 추가할인201210</v>
      </c>
    </row>
    <row r="590" spans="2:16" x14ac:dyDescent="0.3">
      <c r="B590" s="2">
        <v>44206</v>
      </c>
      <c r="C590" s="19" t="str">
        <f t="shared" ref="C590" si="129">TEXT(B590,"aaa")</f>
        <v>일</v>
      </c>
      <c r="E590" s="17" t="str">
        <f>INDEX(매칭테이블!C:C,MATCH(RD!G590,매칭테이블!D:D,0))</f>
        <v>트리트먼트</v>
      </c>
      <c r="F590" t="s">
        <v>91</v>
      </c>
      <c r="G590" t="s">
        <v>115</v>
      </c>
      <c r="H590">
        <v>15</v>
      </c>
      <c r="I590" s="17" t="str">
        <f>VLOOKUP(G590,매칭테이블!D:E,2,0)</f>
        <v>트리트먼트</v>
      </c>
      <c r="J590">
        <v>201210</v>
      </c>
      <c r="L590" s="19">
        <f>VLOOKUP($P590,매칭테이블!$G:$J,2,0)*H590</f>
        <v>390000</v>
      </c>
      <c r="M590" s="19">
        <f>L590-L590*VLOOKUP($P590,매칭테이블!$G:$J,3,0)</f>
        <v>367185</v>
      </c>
      <c r="N590" s="19">
        <f>VLOOKUP($P590,매칭테이블!$G:$J,4,0)*H590</f>
        <v>23955</v>
      </c>
      <c r="O590" s="20">
        <f t="shared" ref="O590" si="130">L590/1.1</f>
        <v>354545.45454545453</v>
      </c>
      <c r="P590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591" spans="2:16" x14ac:dyDescent="0.3">
      <c r="B591" s="2">
        <v>44206</v>
      </c>
      <c r="C591" s="19" t="str">
        <f t="shared" ref="C591:C600" si="131">TEXT(B591,"aaa")</f>
        <v>일</v>
      </c>
      <c r="E591" s="17" t="str">
        <f>INDEX(매칭테이블!C:C,MATCH(RD!G591,매칭테이블!D:D,0))</f>
        <v>트리트먼트</v>
      </c>
      <c r="F591" t="s">
        <v>91</v>
      </c>
      <c r="G591" t="s">
        <v>116</v>
      </c>
      <c r="H591">
        <v>5</v>
      </c>
      <c r="I591" s="17" t="str">
        <f>VLOOKUP(G591,매칭테이블!D:E,2,0)</f>
        <v>트리트먼트 2set</v>
      </c>
      <c r="J591">
        <v>201210</v>
      </c>
      <c r="L591" s="19">
        <f>VLOOKUP($P591,매칭테이블!$G:$J,2,0)*H591</f>
        <v>247000</v>
      </c>
      <c r="M591" s="19">
        <f>L591-L591*VLOOKUP($P591,매칭테이블!$G:$J,3,0)</f>
        <v>232550.5</v>
      </c>
      <c r="N591" s="19">
        <f>VLOOKUP($P591,매칭테이블!$G:$J,4,0)*H591</f>
        <v>15970</v>
      </c>
      <c r="O591" s="20">
        <f t="shared" ref="O591:O600" si="132">L591/1.1</f>
        <v>224545.45454545453</v>
      </c>
      <c r="P591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592" spans="2:16" x14ac:dyDescent="0.3">
      <c r="B592" s="2">
        <v>44206</v>
      </c>
      <c r="C592" s="19" t="str">
        <f t="shared" si="131"/>
        <v>일</v>
      </c>
      <c r="E592" s="17" t="str">
        <f>INDEX(매칭테이블!C:C,MATCH(RD!G592,매칭테이블!D:D,0))</f>
        <v>트리트먼트</v>
      </c>
      <c r="F592" t="s">
        <v>91</v>
      </c>
      <c r="G592" t="s">
        <v>120</v>
      </c>
      <c r="H592">
        <v>3</v>
      </c>
      <c r="I592" s="17" t="str">
        <f>VLOOKUP(G592,매칭테이블!D:E,2,0)</f>
        <v>트리트먼트 3set</v>
      </c>
      <c r="J592">
        <v>201210</v>
      </c>
      <c r="L592" s="19">
        <f>VLOOKUP($P592,매칭테이블!$G:$J,2,0)*H592</f>
        <v>210600</v>
      </c>
      <c r="M592" s="19">
        <f>L592-L592*VLOOKUP($P592,매칭테이블!$G:$J,3,0)</f>
        <v>198279.9</v>
      </c>
      <c r="N592" s="19">
        <f>VLOOKUP($P592,매칭테이블!$G:$J,4,0)*H592</f>
        <v>14373</v>
      </c>
      <c r="O592" s="20">
        <f t="shared" si="132"/>
        <v>191454.54545454544</v>
      </c>
      <c r="P592" s="19" t="str">
        <f t="shared" si="115"/>
        <v>카페24트리트먼트HAIR RÉ:COVERY 15 Hairpack Treatment [라베나 리커버리 15 헤어팩 트리트먼트]제품선택=헤어팩 트리트먼트 3개 세트 10% 추가할인201210</v>
      </c>
    </row>
    <row r="593" spans="2:16" x14ac:dyDescent="0.3">
      <c r="B593" s="2">
        <v>44206</v>
      </c>
      <c r="C593" s="19" t="str">
        <f t="shared" si="131"/>
        <v>일</v>
      </c>
      <c r="E593" s="17" t="str">
        <f>INDEX(매칭테이블!C:C,MATCH(RD!G593,매칭테이블!D:D,0))</f>
        <v>트리트먼트</v>
      </c>
      <c r="F593" t="s">
        <v>91</v>
      </c>
      <c r="G593" t="s">
        <v>117</v>
      </c>
      <c r="H593">
        <v>2</v>
      </c>
      <c r="I593" s="17" t="str">
        <f>VLOOKUP(G593,매칭테이블!D:E,2,0)</f>
        <v>트리트먼트+뉴트리셔스밤</v>
      </c>
      <c r="J593">
        <v>201210</v>
      </c>
      <c r="L593" s="19">
        <f>VLOOKUP($P593,매칭테이블!$G:$J,2,0)*H593</f>
        <v>96710</v>
      </c>
      <c r="M593" s="19">
        <f>L593-L593*VLOOKUP($P593,매칭테이블!$G:$J,3,0)</f>
        <v>91052.464999999997</v>
      </c>
      <c r="N593" s="19">
        <f>VLOOKUP($P593,매칭테이블!$G:$J,4,0)*H593</f>
        <v>6354</v>
      </c>
      <c r="O593" s="20">
        <f t="shared" si="132"/>
        <v>87918.181818181809</v>
      </c>
      <c r="P593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594" spans="2:16" x14ac:dyDescent="0.3">
      <c r="B594" s="2">
        <v>44206</v>
      </c>
      <c r="C594" s="19" t="str">
        <f t="shared" si="131"/>
        <v>일</v>
      </c>
      <c r="E594" s="17" t="str">
        <f>INDEX(매칭테이블!C:C,MATCH(RD!G594,매칭테이블!D:D,0))</f>
        <v>뉴트리셔스밤</v>
      </c>
      <c r="F594" t="s">
        <v>91</v>
      </c>
      <c r="G594" t="s">
        <v>118</v>
      </c>
      <c r="H594">
        <v>13</v>
      </c>
      <c r="I594" s="17" t="str">
        <f>VLOOKUP(G594,매칭테이블!D:E,2,0)</f>
        <v>뉴트리셔스밤</v>
      </c>
      <c r="J594">
        <v>201210</v>
      </c>
      <c r="L594" s="19">
        <f>VLOOKUP($P594,매칭테이블!$G:$J,2,0)*H594</f>
        <v>323700</v>
      </c>
      <c r="M594" s="19">
        <f>L594-L594*VLOOKUP($P594,매칭테이블!$G:$J,3,0)</f>
        <v>304763.55</v>
      </c>
      <c r="N594" s="19">
        <f>VLOOKUP($P594,매칭테이블!$G:$J,4,0)*H594</f>
        <v>20540</v>
      </c>
      <c r="O594" s="20">
        <f t="shared" si="132"/>
        <v>294272.72727272724</v>
      </c>
      <c r="P594" s="19" t="str">
        <f t="shared" si="115"/>
        <v>카페24뉴트리셔스밤HAIR RÉ:COVERY 15 Nutritious Balm [라베나 리커버리 15 뉴트리셔스 밤]제품선택=헤어 리커버리 15 뉴트리셔스 밤201210</v>
      </c>
    </row>
    <row r="595" spans="2:16" x14ac:dyDescent="0.3">
      <c r="B595" s="2">
        <v>44206</v>
      </c>
      <c r="C595" s="19" t="str">
        <f t="shared" si="131"/>
        <v>일</v>
      </c>
      <c r="E595" s="17" t="str">
        <f>INDEX(매칭테이블!C:C,MATCH(RD!G595,매칭테이블!D:D,0))</f>
        <v>뉴트리셔스밤</v>
      </c>
      <c r="F595" t="s">
        <v>91</v>
      </c>
      <c r="G595" t="s">
        <v>121</v>
      </c>
      <c r="H595">
        <v>3</v>
      </c>
      <c r="I595" s="17" t="str">
        <f>VLOOKUP(G595,매칭테이블!D:E,2,0)</f>
        <v>뉴트리셔스밤 2set</v>
      </c>
      <c r="J595">
        <v>201210</v>
      </c>
      <c r="L595" s="19">
        <f>VLOOKUP($P595,매칭테이블!$G:$J,2,0)*H595</f>
        <v>141930</v>
      </c>
      <c r="M595" s="19">
        <f>L595-L595*VLOOKUP($P595,매칭테이블!$G:$J,3,0)</f>
        <v>133627.095</v>
      </c>
      <c r="N595" s="19">
        <f>VLOOKUP($P595,매칭테이블!$G:$J,4,0)*H595</f>
        <v>9480</v>
      </c>
      <c r="O595" s="20">
        <f t="shared" si="132"/>
        <v>129027.27272727272</v>
      </c>
      <c r="P595" s="19" t="str">
        <f t="shared" si="115"/>
        <v>카페24뉴트리셔스밤HAIR RÉ:COVERY 15 Nutritious Balm [라베나 리커버리 15 뉴트리셔스 밤]제품선택=뉴트리셔스 밤 2개 세트 5% 추가할인201210</v>
      </c>
    </row>
    <row r="596" spans="2:16" x14ac:dyDescent="0.3">
      <c r="B596" s="2">
        <v>44206</v>
      </c>
      <c r="C596" s="19" t="str">
        <f t="shared" si="131"/>
        <v>일</v>
      </c>
      <c r="E596" s="17" t="str">
        <f>INDEX(매칭테이블!C:C,MATCH(RD!G596,매칭테이블!D:D,0))</f>
        <v>뉴트리셔스밤</v>
      </c>
      <c r="F596" t="s">
        <v>91</v>
      </c>
      <c r="G596" t="s">
        <v>119</v>
      </c>
      <c r="H596">
        <v>1</v>
      </c>
      <c r="I596" s="17" t="str">
        <f>VLOOKUP(G596,매칭테이블!D:E,2,0)</f>
        <v>뉴트리셔스밤 3set</v>
      </c>
      <c r="J596">
        <v>201210</v>
      </c>
      <c r="L596" s="19">
        <f>VLOOKUP($P596,매칭테이블!$G:$J,2,0)*H596</f>
        <v>67230</v>
      </c>
      <c r="M596" s="19">
        <f>L596-L596*VLOOKUP($P596,매칭테이블!$G:$J,3,0)</f>
        <v>63297.044999999998</v>
      </c>
      <c r="N596" s="19">
        <f>VLOOKUP($P596,매칭테이블!$G:$J,4,0)*H596</f>
        <v>4740</v>
      </c>
      <c r="O596" s="20">
        <f t="shared" si="132"/>
        <v>61118.181818181816</v>
      </c>
      <c r="P596" s="19" t="str">
        <f t="shared" si="115"/>
        <v>카페24뉴트리셔스밤HAIR RÉ:COVERY 15 Nutritious Balm [라베나 리커버리 15 뉴트리셔스 밤]제품선택=뉴트리셔스 밤 3개 세트 10% 추가할인201210</v>
      </c>
    </row>
    <row r="597" spans="2:16" x14ac:dyDescent="0.3">
      <c r="B597" s="2">
        <v>44206</v>
      </c>
      <c r="C597" s="19" t="str">
        <f t="shared" si="131"/>
        <v>일</v>
      </c>
      <c r="E597" s="17" t="str">
        <f>INDEX(매칭테이블!C:C,MATCH(RD!G597,매칭테이블!D:D,0))</f>
        <v>뉴트리셔스밤</v>
      </c>
      <c r="F597" t="s">
        <v>91</v>
      </c>
      <c r="G597" t="s">
        <v>122</v>
      </c>
      <c r="H597">
        <v>2</v>
      </c>
      <c r="I597" s="17" t="str">
        <f>VLOOKUP(G597,매칭테이블!D:E,2,0)</f>
        <v>트리트먼트+뉴트리셔스밤</v>
      </c>
      <c r="J597">
        <v>201210</v>
      </c>
      <c r="L597" s="19">
        <f>VLOOKUP($P597,매칭테이블!$G:$J,2,0)*H597</f>
        <v>96710</v>
      </c>
      <c r="M597" s="19">
        <f>L597-L597*VLOOKUP($P597,매칭테이블!$G:$J,3,0)</f>
        <v>91052.464999999997</v>
      </c>
      <c r="N597" s="19">
        <f>VLOOKUP($P597,매칭테이블!$G:$J,4,0)*H597</f>
        <v>6354</v>
      </c>
      <c r="O597" s="20">
        <f t="shared" si="132"/>
        <v>87918.181818181809</v>
      </c>
      <c r="P597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598" spans="2:16" x14ac:dyDescent="0.3">
      <c r="B598" s="2">
        <v>44206</v>
      </c>
      <c r="C598" s="19" t="str">
        <f t="shared" si="131"/>
        <v>일</v>
      </c>
      <c r="E598" s="17" t="str">
        <f>INDEX(매칭테이블!C:C,MATCH(RD!G598,매칭테이블!D:D,0))</f>
        <v>샴푸</v>
      </c>
      <c r="F598" t="s">
        <v>91</v>
      </c>
      <c r="G598" t="s">
        <v>92</v>
      </c>
      <c r="H598">
        <v>10</v>
      </c>
      <c r="I598" s="17" t="str">
        <f>VLOOKUP(G598,매칭테이블!D:E,2,0)</f>
        <v>리바이탈 샴푸</v>
      </c>
      <c r="J598">
        <v>201210</v>
      </c>
      <c r="L598" s="19">
        <f>VLOOKUP($P598,매칭테이블!$G:$J,2,0)*H598</f>
        <v>269000</v>
      </c>
      <c r="M598" s="19">
        <f>L598-L598*VLOOKUP($P598,매칭테이블!$G:$J,3,0)</f>
        <v>253263.5</v>
      </c>
      <c r="N598" s="19">
        <f>VLOOKUP($P598,매칭테이블!$G:$J,4,0)*H598</f>
        <v>30200</v>
      </c>
      <c r="O598" s="20">
        <f t="shared" si="132"/>
        <v>244545.45454545453</v>
      </c>
      <c r="P598" s="19" t="str">
        <f t="shared" si="115"/>
        <v>카페24샴푸HAIR RÉ:COVERY 15 Revital Shampoo [라베나 리커버리 15 리바이탈 샴푸]제품선택=헤어 리커버리 15 리바이탈 샴푸 - 500ml201210</v>
      </c>
    </row>
    <row r="599" spans="2:16" x14ac:dyDescent="0.3">
      <c r="B599" s="2">
        <v>44206</v>
      </c>
      <c r="C599" s="19" t="str">
        <f t="shared" si="131"/>
        <v>일</v>
      </c>
      <c r="E599" s="17" t="str">
        <f>INDEX(매칭테이블!C:C,MATCH(RD!G599,매칭테이블!D:D,0))</f>
        <v>샴푸</v>
      </c>
      <c r="F599" t="s">
        <v>91</v>
      </c>
      <c r="G599" t="s">
        <v>93</v>
      </c>
      <c r="H599">
        <v>4</v>
      </c>
      <c r="I599" s="17" t="str">
        <f>VLOOKUP(G599,매칭테이블!D:E,2,0)</f>
        <v>리바이탈 샴푸</v>
      </c>
      <c r="J599">
        <v>201210</v>
      </c>
      <c r="L599" s="19">
        <f>VLOOKUP($P599,매칭테이블!$G:$J,2,0)*H599</f>
        <v>204440</v>
      </c>
      <c r="M599" s="19">
        <f>L599-L599*VLOOKUP($P599,매칭테이블!$G:$J,3,0)</f>
        <v>192480.26</v>
      </c>
      <c r="N599" s="19">
        <f>VLOOKUP($P599,매칭테이블!$G:$J,4,0)*H599</f>
        <v>24160</v>
      </c>
      <c r="O599" s="20">
        <f t="shared" si="132"/>
        <v>185854.54545454544</v>
      </c>
      <c r="P599" s="19" t="str">
        <f t="shared" si="115"/>
        <v>카페24샴푸HAIR RÉ:COVERY 15 Revital Shampoo [라베나 리커버리 15 리바이탈 샴푸]제품선택=리바이탈 샴푸 2개 세트 5%추가할인201210</v>
      </c>
    </row>
    <row r="600" spans="2:16" x14ac:dyDescent="0.3">
      <c r="B600" s="2">
        <v>44206</v>
      </c>
      <c r="C600" s="19" t="str">
        <f t="shared" si="131"/>
        <v>일</v>
      </c>
      <c r="E600" s="17" t="str">
        <f>INDEX(매칭테이블!C:C,MATCH(RD!G600,매칭테이블!D:D,0))</f>
        <v>샴푸</v>
      </c>
      <c r="F600" t="s">
        <v>91</v>
      </c>
      <c r="G600" t="s">
        <v>94</v>
      </c>
      <c r="H600">
        <v>1</v>
      </c>
      <c r="I600" s="17" t="str">
        <f>VLOOKUP(G600,매칭테이블!D:E,2,0)</f>
        <v>리바이탈 샴푸 3set</v>
      </c>
      <c r="J600">
        <v>201210</v>
      </c>
      <c r="L600" s="19">
        <f>VLOOKUP($P600,매칭테이블!$G:$J,2,0)*H600</f>
        <v>72630</v>
      </c>
      <c r="M600" s="19">
        <f>L600-L600*VLOOKUP($P600,매칭테이블!$G:$J,3,0)</f>
        <v>68381.145000000004</v>
      </c>
      <c r="N600" s="19">
        <f>VLOOKUP($P600,매칭테이블!$G:$J,4,0)*H600</f>
        <v>9060</v>
      </c>
      <c r="O600" s="20">
        <f t="shared" si="132"/>
        <v>66027.272727272721</v>
      </c>
      <c r="P600" s="19" t="str">
        <f t="shared" si="115"/>
        <v>카페24샴푸HAIR RÉ:COVERY 15 Revital Shampoo [라베나 리커버리 15 리바이탈 샴푸]제품선택=리바이탈 샴푸 3개 세트 10% 추가할인201210</v>
      </c>
    </row>
    <row r="601" spans="2:16" x14ac:dyDescent="0.3">
      <c r="B601" s="2">
        <v>44207</v>
      </c>
      <c r="C601" s="19" t="str">
        <f t="shared" ref="C601" si="133">TEXT(B601,"aaa")</f>
        <v>월</v>
      </c>
      <c r="E601" s="17" t="str">
        <f>INDEX(매칭테이블!C:C,MATCH(RD!G601,매칭테이블!D:D,0))</f>
        <v>트리트먼트</v>
      </c>
      <c r="F601" t="s">
        <v>91</v>
      </c>
      <c r="G601" t="s">
        <v>115</v>
      </c>
      <c r="H601">
        <v>12</v>
      </c>
      <c r="I601" s="17" t="str">
        <f>VLOOKUP(G601,매칭테이블!D:E,2,0)</f>
        <v>트리트먼트</v>
      </c>
      <c r="J601">
        <v>201210</v>
      </c>
      <c r="L601" s="19">
        <f>VLOOKUP($P601,매칭테이블!$G:$J,2,0)*H601</f>
        <v>312000</v>
      </c>
      <c r="M601" s="19">
        <f>L601-L601*VLOOKUP($P601,매칭테이블!$G:$J,3,0)</f>
        <v>293748</v>
      </c>
      <c r="N601" s="19">
        <f>VLOOKUP($P601,매칭테이블!$G:$J,4,0)*H601</f>
        <v>19164</v>
      </c>
      <c r="O601" s="20">
        <f t="shared" ref="O601" si="134">L601/1.1</f>
        <v>283636.36363636359</v>
      </c>
      <c r="P601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602" spans="2:16" x14ac:dyDescent="0.3">
      <c r="B602" s="2">
        <v>44207</v>
      </c>
      <c r="C602" s="19" t="str">
        <f t="shared" ref="C602:C611" si="135">TEXT(B602,"aaa")</f>
        <v>월</v>
      </c>
      <c r="E602" s="17" t="str">
        <f>INDEX(매칭테이블!C:C,MATCH(RD!G602,매칭테이블!D:D,0))</f>
        <v>트리트먼트</v>
      </c>
      <c r="F602" t="s">
        <v>91</v>
      </c>
      <c r="G602" t="s">
        <v>116</v>
      </c>
      <c r="H602">
        <v>2</v>
      </c>
      <c r="I602" s="17" t="str">
        <f>VLOOKUP(G602,매칭테이블!D:E,2,0)</f>
        <v>트리트먼트 2set</v>
      </c>
      <c r="J602">
        <v>201210</v>
      </c>
      <c r="L602" s="19">
        <f>VLOOKUP($P602,매칭테이블!$G:$J,2,0)*H602</f>
        <v>98800</v>
      </c>
      <c r="M602" s="19">
        <f>L602-L602*VLOOKUP($P602,매칭테이블!$G:$J,3,0)</f>
        <v>93020.2</v>
      </c>
      <c r="N602" s="19">
        <f>VLOOKUP($P602,매칭테이블!$G:$J,4,0)*H602</f>
        <v>6388</v>
      </c>
      <c r="O602" s="20">
        <f t="shared" ref="O602:O611" si="136">L602/1.1</f>
        <v>89818.181818181809</v>
      </c>
      <c r="P602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603" spans="2:16" x14ac:dyDescent="0.3">
      <c r="B603" s="2">
        <v>44207</v>
      </c>
      <c r="C603" s="19" t="str">
        <f t="shared" si="135"/>
        <v>월</v>
      </c>
      <c r="E603" s="17" t="str">
        <f>INDEX(매칭테이블!C:C,MATCH(RD!G603,매칭테이블!D:D,0))</f>
        <v>트리트먼트</v>
      </c>
      <c r="F603" t="s">
        <v>91</v>
      </c>
      <c r="G603" t="s">
        <v>120</v>
      </c>
      <c r="H603">
        <v>3</v>
      </c>
      <c r="I603" s="17" t="str">
        <f>VLOOKUP(G603,매칭테이블!D:E,2,0)</f>
        <v>트리트먼트 3set</v>
      </c>
      <c r="J603">
        <v>201210</v>
      </c>
      <c r="L603" s="19">
        <f>VLOOKUP($P603,매칭테이블!$G:$J,2,0)*H603</f>
        <v>210600</v>
      </c>
      <c r="M603" s="19">
        <f>L603-L603*VLOOKUP($P603,매칭테이블!$G:$J,3,0)</f>
        <v>198279.9</v>
      </c>
      <c r="N603" s="19">
        <f>VLOOKUP($P603,매칭테이블!$G:$J,4,0)*H603</f>
        <v>14373</v>
      </c>
      <c r="O603" s="20">
        <f t="shared" si="136"/>
        <v>191454.54545454544</v>
      </c>
      <c r="P603" s="19" t="str">
        <f t="shared" si="115"/>
        <v>카페24트리트먼트HAIR RÉ:COVERY 15 Hairpack Treatment [라베나 리커버리 15 헤어팩 트리트먼트]제품선택=헤어팩 트리트먼트 3개 세트 10% 추가할인201210</v>
      </c>
    </row>
    <row r="604" spans="2:16" x14ac:dyDescent="0.3">
      <c r="B604" s="2">
        <v>44207</v>
      </c>
      <c r="C604" s="19" t="str">
        <f t="shared" si="135"/>
        <v>월</v>
      </c>
      <c r="E604" s="17" t="str">
        <f>INDEX(매칭테이블!C:C,MATCH(RD!G604,매칭테이블!D:D,0))</f>
        <v>트리트먼트</v>
      </c>
      <c r="F604" t="s">
        <v>91</v>
      </c>
      <c r="G604" t="s">
        <v>117</v>
      </c>
      <c r="H604">
        <v>2</v>
      </c>
      <c r="I604" s="17" t="str">
        <f>VLOOKUP(G604,매칭테이블!D:E,2,0)</f>
        <v>트리트먼트+뉴트리셔스밤</v>
      </c>
      <c r="J604">
        <v>201210</v>
      </c>
      <c r="L604" s="19">
        <f>VLOOKUP($P604,매칭테이블!$G:$J,2,0)*H604</f>
        <v>96710</v>
      </c>
      <c r="M604" s="19">
        <f>L604-L604*VLOOKUP($P604,매칭테이블!$G:$J,3,0)</f>
        <v>91052.464999999997</v>
      </c>
      <c r="N604" s="19">
        <f>VLOOKUP($P604,매칭테이블!$G:$J,4,0)*H604</f>
        <v>6354</v>
      </c>
      <c r="O604" s="20">
        <f t="shared" si="136"/>
        <v>87918.181818181809</v>
      </c>
      <c r="P604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605" spans="2:16" x14ac:dyDescent="0.3">
      <c r="B605" s="2">
        <v>44207</v>
      </c>
      <c r="C605" s="19" t="str">
        <f t="shared" si="135"/>
        <v>월</v>
      </c>
      <c r="E605" s="17" t="str">
        <f>INDEX(매칭테이블!C:C,MATCH(RD!G605,매칭테이블!D:D,0))</f>
        <v>뉴트리셔스밤</v>
      </c>
      <c r="F605" t="s">
        <v>91</v>
      </c>
      <c r="G605" t="s">
        <v>118</v>
      </c>
      <c r="H605">
        <v>7</v>
      </c>
      <c r="I605" s="17" t="str">
        <f>VLOOKUP(G605,매칭테이블!D:E,2,0)</f>
        <v>뉴트리셔스밤</v>
      </c>
      <c r="J605">
        <v>201210</v>
      </c>
      <c r="L605" s="19">
        <f>VLOOKUP($P605,매칭테이블!$G:$J,2,0)*H605</f>
        <v>174300</v>
      </c>
      <c r="M605" s="19">
        <f>L605-L605*VLOOKUP($P605,매칭테이블!$G:$J,3,0)</f>
        <v>164103.45000000001</v>
      </c>
      <c r="N605" s="19">
        <f>VLOOKUP($P605,매칭테이블!$G:$J,4,0)*H605</f>
        <v>11060</v>
      </c>
      <c r="O605" s="20">
        <f t="shared" si="136"/>
        <v>158454.54545454544</v>
      </c>
      <c r="P605" s="19" t="str">
        <f t="shared" si="115"/>
        <v>카페24뉴트리셔스밤HAIR RÉ:COVERY 15 Nutritious Balm [라베나 리커버리 15 뉴트리셔스 밤]제품선택=헤어 리커버리 15 뉴트리셔스 밤201210</v>
      </c>
    </row>
    <row r="606" spans="2:16" x14ac:dyDescent="0.3">
      <c r="B606" s="2">
        <v>44207</v>
      </c>
      <c r="C606" s="19" t="str">
        <f t="shared" si="135"/>
        <v>월</v>
      </c>
      <c r="E606" s="17" t="str">
        <f>INDEX(매칭테이블!C:C,MATCH(RD!G606,매칭테이블!D:D,0))</f>
        <v>뉴트리셔스밤</v>
      </c>
      <c r="F606" t="s">
        <v>91</v>
      </c>
      <c r="G606" t="s">
        <v>121</v>
      </c>
      <c r="H606">
        <v>2</v>
      </c>
      <c r="I606" s="17" t="str">
        <f>VLOOKUP(G606,매칭테이블!D:E,2,0)</f>
        <v>뉴트리셔스밤 2set</v>
      </c>
      <c r="J606">
        <v>201210</v>
      </c>
      <c r="L606" s="19">
        <f>VLOOKUP($P606,매칭테이블!$G:$J,2,0)*H606</f>
        <v>94620</v>
      </c>
      <c r="M606" s="19">
        <f>L606-L606*VLOOKUP($P606,매칭테이블!$G:$J,3,0)</f>
        <v>89084.73</v>
      </c>
      <c r="N606" s="19">
        <f>VLOOKUP($P606,매칭테이블!$G:$J,4,0)*H606</f>
        <v>6320</v>
      </c>
      <c r="O606" s="20">
        <f t="shared" si="136"/>
        <v>86018.181818181809</v>
      </c>
      <c r="P606" s="19" t="str">
        <f t="shared" si="115"/>
        <v>카페24뉴트리셔스밤HAIR RÉ:COVERY 15 Nutritious Balm [라베나 리커버리 15 뉴트리셔스 밤]제품선택=뉴트리셔스 밤 2개 세트 5% 추가할인201210</v>
      </c>
    </row>
    <row r="607" spans="2:16" x14ac:dyDescent="0.3">
      <c r="B607" s="2">
        <v>44207</v>
      </c>
      <c r="C607" s="19" t="str">
        <f t="shared" si="135"/>
        <v>월</v>
      </c>
      <c r="E607" s="17" t="str">
        <f>INDEX(매칭테이블!C:C,MATCH(RD!G607,매칭테이블!D:D,0))</f>
        <v>뉴트리셔스밤</v>
      </c>
      <c r="F607" t="s">
        <v>91</v>
      </c>
      <c r="G607" t="s">
        <v>119</v>
      </c>
      <c r="H607">
        <v>3</v>
      </c>
      <c r="I607" s="17" t="str">
        <f>VLOOKUP(G607,매칭테이블!D:E,2,0)</f>
        <v>뉴트리셔스밤 3set</v>
      </c>
      <c r="J607">
        <v>201210</v>
      </c>
      <c r="L607" s="19">
        <f>VLOOKUP($P607,매칭테이블!$G:$J,2,0)*H607</f>
        <v>201690</v>
      </c>
      <c r="M607" s="19">
        <f>L607-L607*VLOOKUP($P607,매칭테이블!$G:$J,3,0)</f>
        <v>189891.13500000001</v>
      </c>
      <c r="N607" s="19">
        <f>VLOOKUP($P607,매칭테이블!$G:$J,4,0)*H607</f>
        <v>14220</v>
      </c>
      <c r="O607" s="20">
        <f t="shared" si="136"/>
        <v>183354.54545454544</v>
      </c>
      <c r="P607" s="19" t="str">
        <f t="shared" si="115"/>
        <v>카페24뉴트리셔스밤HAIR RÉ:COVERY 15 Nutritious Balm [라베나 리커버리 15 뉴트리셔스 밤]제품선택=뉴트리셔스 밤 3개 세트 10% 추가할인201210</v>
      </c>
    </row>
    <row r="608" spans="2:16" x14ac:dyDescent="0.3">
      <c r="B608" s="2">
        <v>44207</v>
      </c>
      <c r="C608" s="19" t="str">
        <f t="shared" si="135"/>
        <v>월</v>
      </c>
      <c r="E608" s="17" t="str">
        <f>INDEX(매칭테이블!C:C,MATCH(RD!G608,매칭테이블!D:D,0))</f>
        <v>뉴트리셔스밤</v>
      </c>
      <c r="F608" t="s">
        <v>91</v>
      </c>
      <c r="G608" t="s">
        <v>122</v>
      </c>
      <c r="H608">
        <v>2</v>
      </c>
      <c r="I608" s="17" t="str">
        <f>VLOOKUP(G608,매칭테이블!D:E,2,0)</f>
        <v>트리트먼트+뉴트리셔스밤</v>
      </c>
      <c r="J608">
        <v>201210</v>
      </c>
      <c r="L608" s="19">
        <f>VLOOKUP($P608,매칭테이블!$G:$J,2,0)*H608</f>
        <v>96710</v>
      </c>
      <c r="M608" s="19">
        <f>L608-L608*VLOOKUP($P608,매칭테이블!$G:$J,3,0)</f>
        <v>91052.464999999997</v>
      </c>
      <c r="N608" s="19">
        <f>VLOOKUP($P608,매칭테이블!$G:$J,4,0)*H608</f>
        <v>6354</v>
      </c>
      <c r="O608" s="20">
        <f t="shared" si="136"/>
        <v>87918.181818181809</v>
      </c>
      <c r="P608" s="19" t="str">
        <f t="shared" si="115"/>
        <v>카페24뉴트리셔스밤HAIR RÉ:COVERY 15 Nutritious Balm [라베나 리커버리 15 뉴트리셔스 밤]제품선택=뉴트리셔스밤 1개 + 헤어팩 트리트먼트 1개 세트 5%추가할인201210</v>
      </c>
    </row>
    <row r="609" spans="2:16" x14ac:dyDescent="0.3">
      <c r="B609" s="2">
        <v>44207</v>
      </c>
      <c r="C609" s="19" t="str">
        <f t="shared" si="135"/>
        <v>월</v>
      </c>
      <c r="E609" s="17" t="str">
        <f>INDEX(매칭테이블!C:C,MATCH(RD!G609,매칭테이블!D:D,0))</f>
        <v>샴푸</v>
      </c>
      <c r="F609" t="s">
        <v>91</v>
      </c>
      <c r="G609" t="s">
        <v>92</v>
      </c>
      <c r="H609">
        <v>14</v>
      </c>
      <c r="I609" s="17" t="str">
        <f>VLOOKUP(G609,매칭테이블!D:E,2,0)</f>
        <v>리바이탈 샴푸</v>
      </c>
      <c r="J609">
        <v>201210</v>
      </c>
      <c r="L609" s="19">
        <f>VLOOKUP($P609,매칭테이블!$G:$J,2,0)*H609</f>
        <v>376600</v>
      </c>
      <c r="M609" s="19">
        <f>L609-L609*VLOOKUP($P609,매칭테이블!$G:$J,3,0)</f>
        <v>354568.9</v>
      </c>
      <c r="N609" s="19">
        <f>VLOOKUP($P609,매칭테이블!$G:$J,4,0)*H609</f>
        <v>42280</v>
      </c>
      <c r="O609" s="20">
        <f t="shared" si="136"/>
        <v>342363.63636363635</v>
      </c>
      <c r="P609" s="19" t="str">
        <f t="shared" si="115"/>
        <v>카페24샴푸HAIR RÉ:COVERY 15 Revital Shampoo [라베나 리커버리 15 리바이탈 샴푸]제품선택=헤어 리커버리 15 리바이탈 샴푸 - 500ml201210</v>
      </c>
    </row>
    <row r="610" spans="2:16" x14ac:dyDescent="0.3">
      <c r="B610" s="2">
        <v>44207</v>
      </c>
      <c r="C610" s="19" t="str">
        <f t="shared" si="135"/>
        <v>월</v>
      </c>
      <c r="E610" s="17" t="str">
        <f>INDEX(매칭테이블!C:C,MATCH(RD!G610,매칭테이블!D:D,0))</f>
        <v>샴푸</v>
      </c>
      <c r="F610" t="s">
        <v>91</v>
      </c>
      <c r="G610" t="s">
        <v>93</v>
      </c>
      <c r="H610">
        <v>6</v>
      </c>
      <c r="I610" s="17" t="str">
        <f>VLOOKUP(G610,매칭테이블!D:E,2,0)</f>
        <v>리바이탈 샴푸</v>
      </c>
      <c r="J610">
        <v>201210</v>
      </c>
      <c r="L610" s="19">
        <f>VLOOKUP($P610,매칭테이블!$G:$J,2,0)*H610</f>
        <v>306660</v>
      </c>
      <c r="M610" s="19">
        <f>L610-L610*VLOOKUP($P610,매칭테이블!$G:$J,3,0)</f>
        <v>288720.39</v>
      </c>
      <c r="N610" s="19">
        <f>VLOOKUP($P610,매칭테이블!$G:$J,4,0)*H610</f>
        <v>36240</v>
      </c>
      <c r="O610" s="20">
        <f t="shared" si="136"/>
        <v>278781.81818181818</v>
      </c>
      <c r="P610" s="19" t="str">
        <f t="shared" si="115"/>
        <v>카페24샴푸HAIR RÉ:COVERY 15 Revital Shampoo [라베나 리커버리 15 리바이탈 샴푸]제품선택=리바이탈 샴푸 2개 세트 5%추가할인201210</v>
      </c>
    </row>
    <row r="611" spans="2:16" x14ac:dyDescent="0.3">
      <c r="B611" s="2">
        <v>44207</v>
      </c>
      <c r="C611" s="19" t="str">
        <f t="shared" si="135"/>
        <v>월</v>
      </c>
      <c r="E611" s="17" t="str">
        <f>INDEX(매칭테이블!C:C,MATCH(RD!G611,매칭테이블!D:D,0))</f>
        <v>샴푸</v>
      </c>
      <c r="F611" t="s">
        <v>91</v>
      </c>
      <c r="G611" t="s">
        <v>94</v>
      </c>
      <c r="H611">
        <v>3</v>
      </c>
      <c r="I611" s="17" t="str">
        <f>VLOOKUP(G611,매칭테이블!D:E,2,0)</f>
        <v>리바이탈 샴푸 3set</v>
      </c>
      <c r="J611">
        <v>201210</v>
      </c>
      <c r="L611" s="19">
        <f>VLOOKUP($P611,매칭테이블!$G:$J,2,0)*H611</f>
        <v>217890</v>
      </c>
      <c r="M611" s="19">
        <f>L611-L611*VLOOKUP($P611,매칭테이블!$G:$J,3,0)</f>
        <v>205143.435</v>
      </c>
      <c r="N611" s="19">
        <f>VLOOKUP($P611,매칭테이블!$G:$J,4,0)*H611</f>
        <v>27180</v>
      </c>
      <c r="O611" s="20">
        <f t="shared" si="136"/>
        <v>198081.81818181818</v>
      </c>
      <c r="P611" s="19" t="str">
        <f t="shared" si="115"/>
        <v>카페24샴푸HAIR RÉ:COVERY 15 Revital Shampoo [라베나 리커버리 15 리바이탈 샴푸]제품선택=리바이탈 샴푸 3개 세트 10% 추가할인201210</v>
      </c>
    </row>
    <row r="612" spans="2:16" x14ac:dyDescent="0.3">
      <c r="B612" s="2">
        <v>44208</v>
      </c>
      <c r="C612" s="19" t="str">
        <f t="shared" ref="C612" si="137">TEXT(B612,"aaa")</f>
        <v>화</v>
      </c>
      <c r="E612" s="17" t="str">
        <f>INDEX(매칭테이블!C:C,MATCH(RD!G612,매칭테이블!D:D,0))</f>
        <v>샴푸</v>
      </c>
      <c r="F612" t="s">
        <v>95</v>
      </c>
      <c r="G612" t="s">
        <v>123</v>
      </c>
      <c r="H612">
        <v>2</v>
      </c>
      <c r="I612" s="17" t="str">
        <f>VLOOKUP(G612,매칭테이블!D:E,2,0)</f>
        <v>리바이탈 샴푸</v>
      </c>
      <c r="J612">
        <v>201210</v>
      </c>
      <c r="L612" s="19">
        <f>VLOOKUP($P612,매칭테이블!$G:$J,2,0)*H612</f>
        <v>0</v>
      </c>
      <c r="M612" s="19">
        <f>L612-L612*VLOOKUP($P612,매칭테이블!$G:$J,3,0)</f>
        <v>0</v>
      </c>
      <c r="N612" s="19">
        <f>VLOOKUP($P612,매칭테이블!$G:$J,4,0)*H612</f>
        <v>6040</v>
      </c>
      <c r="O612" s="20">
        <f t="shared" ref="O612" si="138">L612/1.1</f>
        <v>0</v>
      </c>
      <c r="P612" s="19" t="str">
        <f t="shared" si="115"/>
        <v>라베나 CS샴푸헤어 리커버리 15 리바이탈 샴푸201210</v>
      </c>
    </row>
    <row r="613" spans="2:16" x14ac:dyDescent="0.3">
      <c r="B613" s="2">
        <v>44208</v>
      </c>
      <c r="C613" s="19" t="str">
        <f t="shared" ref="C613:C622" si="139">TEXT(B613,"aaa")</f>
        <v>화</v>
      </c>
      <c r="E613" s="17" t="str">
        <f>INDEX(매칭테이블!C:C,MATCH(RD!G613,매칭테이블!D:D,0))</f>
        <v>트리트먼트</v>
      </c>
      <c r="F613" t="s">
        <v>91</v>
      </c>
      <c r="G613" t="s">
        <v>115</v>
      </c>
      <c r="H613">
        <v>16</v>
      </c>
      <c r="I613" s="17" t="str">
        <f>VLOOKUP(G613,매칭테이블!D:E,2,0)</f>
        <v>트리트먼트</v>
      </c>
      <c r="J613">
        <v>201210</v>
      </c>
      <c r="L613" s="19">
        <f>VLOOKUP($P613,매칭테이블!$G:$J,2,0)*H613</f>
        <v>416000</v>
      </c>
      <c r="M613" s="19">
        <f>L613-L613*VLOOKUP($P613,매칭테이블!$G:$J,3,0)</f>
        <v>391664</v>
      </c>
      <c r="N613" s="19">
        <f>VLOOKUP($P613,매칭테이블!$G:$J,4,0)*H613</f>
        <v>25552</v>
      </c>
      <c r="O613" s="20">
        <f t="shared" ref="O613:O622" si="140">L613/1.1</f>
        <v>378181.81818181818</v>
      </c>
      <c r="P613" s="19" t="str">
        <f t="shared" si="115"/>
        <v>카페24트리트먼트HAIR RÉ:COVERY 15 Hairpack Treatment [라베나 리커버리 15 헤어팩 트리트먼트]제품선택=헤어 리커버리 15 헤어팩 트리트먼트201210</v>
      </c>
    </row>
    <row r="614" spans="2:16" x14ac:dyDescent="0.3">
      <c r="B614" s="2">
        <v>44208</v>
      </c>
      <c r="C614" s="19" t="str">
        <f t="shared" si="139"/>
        <v>화</v>
      </c>
      <c r="E614" s="17" t="str">
        <f>INDEX(매칭테이블!C:C,MATCH(RD!G614,매칭테이블!D:D,0))</f>
        <v>트리트먼트</v>
      </c>
      <c r="F614" t="s">
        <v>91</v>
      </c>
      <c r="G614" t="s">
        <v>116</v>
      </c>
      <c r="H614">
        <v>4</v>
      </c>
      <c r="I614" s="17" t="str">
        <f>VLOOKUP(G614,매칭테이블!D:E,2,0)</f>
        <v>트리트먼트 2set</v>
      </c>
      <c r="J614">
        <v>201210</v>
      </c>
      <c r="L614" s="19">
        <f>VLOOKUP($P614,매칭테이블!$G:$J,2,0)*H614</f>
        <v>197600</v>
      </c>
      <c r="M614" s="19">
        <f>L614-L614*VLOOKUP($P614,매칭테이블!$G:$J,3,0)</f>
        <v>186040.4</v>
      </c>
      <c r="N614" s="19">
        <f>VLOOKUP($P614,매칭테이블!$G:$J,4,0)*H614</f>
        <v>12776</v>
      </c>
      <c r="O614" s="20">
        <f t="shared" si="140"/>
        <v>179636.36363636362</v>
      </c>
      <c r="P614" s="19" t="str">
        <f t="shared" si="115"/>
        <v>카페24트리트먼트HAIR RÉ:COVERY 15 Hairpack Treatment [라베나 리커버리 15 헤어팩 트리트먼트]제품선택=헤어팩 트리트먼트 2개 세트 5% 추가할인201210</v>
      </c>
    </row>
    <row r="615" spans="2:16" x14ac:dyDescent="0.3">
      <c r="B615" s="2">
        <v>44208</v>
      </c>
      <c r="C615" s="19" t="str">
        <f t="shared" si="139"/>
        <v>화</v>
      </c>
      <c r="E615" s="17" t="str">
        <f>INDEX(매칭테이블!C:C,MATCH(RD!G615,매칭테이블!D:D,0))</f>
        <v>트리트먼트</v>
      </c>
      <c r="F615" t="s">
        <v>91</v>
      </c>
      <c r="G615" t="s">
        <v>117</v>
      </c>
      <c r="H615">
        <v>3</v>
      </c>
      <c r="I615" s="17" t="str">
        <f>VLOOKUP(G615,매칭테이블!D:E,2,0)</f>
        <v>트리트먼트+뉴트리셔스밤</v>
      </c>
      <c r="J615">
        <v>201210</v>
      </c>
      <c r="L615" s="19">
        <f>VLOOKUP($P615,매칭테이블!$G:$J,2,0)*H615</f>
        <v>145065</v>
      </c>
      <c r="M615" s="19">
        <f>L615-L615*VLOOKUP($P615,매칭테이블!$G:$J,3,0)</f>
        <v>136578.69750000001</v>
      </c>
      <c r="N615" s="19">
        <f>VLOOKUP($P615,매칭테이블!$G:$J,4,0)*H615</f>
        <v>9531</v>
      </c>
      <c r="O615" s="20">
        <f t="shared" si="140"/>
        <v>131877.27272727271</v>
      </c>
      <c r="P615" s="19" t="str">
        <f t="shared" si="115"/>
        <v>카페24트리트먼트HAIR RÉ:COVERY 15 Hairpack Treatment [라베나 리커버리 15 헤어팩 트리트먼트]제품선택=헤어팩 트리트먼트 1개 + 뉴트리셔스밤 1개 세트 5% 추가할인201210</v>
      </c>
    </row>
    <row r="616" spans="2:16" x14ac:dyDescent="0.3">
      <c r="B616" s="2">
        <v>44208</v>
      </c>
      <c r="C616" s="19" t="str">
        <f t="shared" si="139"/>
        <v>화</v>
      </c>
      <c r="E616" s="17" t="str">
        <f>INDEX(매칭테이블!C:C,MATCH(RD!G616,매칭테이블!D:D,0))</f>
        <v>뉴트리셔스밤</v>
      </c>
      <c r="F616" t="s">
        <v>91</v>
      </c>
      <c r="G616" t="s">
        <v>118</v>
      </c>
      <c r="H616">
        <v>15</v>
      </c>
      <c r="I616" s="17" t="str">
        <f>VLOOKUP(G616,매칭테이블!D:E,2,0)</f>
        <v>뉴트리셔스밤</v>
      </c>
      <c r="J616">
        <v>201210</v>
      </c>
      <c r="L616" s="19">
        <f>VLOOKUP($P616,매칭테이블!$G:$J,2,0)*H616</f>
        <v>373500</v>
      </c>
      <c r="M616" s="19">
        <f>L616-L616*VLOOKUP($P616,매칭테이블!$G:$J,3,0)</f>
        <v>351650.25</v>
      </c>
      <c r="N616" s="19">
        <f>VLOOKUP($P616,매칭테이블!$G:$J,4,0)*H616</f>
        <v>23700</v>
      </c>
      <c r="O616" s="20">
        <f t="shared" si="140"/>
        <v>339545.45454545453</v>
      </c>
      <c r="P616" s="19" t="str">
        <f t="shared" ref="P616:P679" si="141">F616&amp;E616&amp;G616&amp;J616</f>
        <v>카페24뉴트리셔스밤HAIR RÉ:COVERY 15 Nutritious Balm [라베나 리커버리 15 뉴트리셔스 밤]제품선택=헤어 리커버리 15 뉴트리셔스 밤201210</v>
      </c>
    </row>
    <row r="617" spans="2:16" x14ac:dyDescent="0.3">
      <c r="B617" s="2">
        <v>44208</v>
      </c>
      <c r="C617" s="19" t="str">
        <f t="shared" si="139"/>
        <v>화</v>
      </c>
      <c r="E617" s="17" t="str">
        <f>INDEX(매칭테이블!C:C,MATCH(RD!G617,매칭테이블!D:D,0))</f>
        <v>뉴트리셔스밤</v>
      </c>
      <c r="F617" t="s">
        <v>91</v>
      </c>
      <c r="G617" t="s">
        <v>119</v>
      </c>
      <c r="H617">
        <v>1</v>
      </c>
      <c r="I617" s="17" t="str">
        <f>VLOOKUP(G617,매칭테이블!D:E,2,0)</f>
        <v>뉴트리셔스밤 3set</v>
      </c>
      <c r="J617">
        <v>201210</v>
      </c>
      <c r="L617" s="19">
        <f>VLOOKUP($P617,매칭테이블!$G:$J,2,0)*H617</f>
        <v>67230</v>
      </c>
      <c r="M617" s="19">
        <f>L617-L617*VLOOKUP($P617,매칭테이블!$G:$J,3,0)</f>
        <v>63297.044999999998</v>
      </c>
      <c r="N617" s="19">
        <f>VLOOKUP($P617,매칭테이블!$G:$J,4,0)*H617</f>
        <v>4740</v>
      </c>
      <c r="O617" s="20">
        <f t="shared" si="140"/>
        <v>61118.181818181816</v>
      </c>
      <c r="P617" s="19" t="str">
        <f t="shared" si="141"/>
        <v>카페24뉴트리셔스밤HAIR RÉ:COVERY 15 Nutritious Balm [라베나 리커버리 15 뉴트리셔스 밤]제품선택=뉴트리셔스 밤 3개 세트 10% 추가할인201210</v>
      </c>
    </row>
    <row r="618" spans="2:16" x14ac:dyDescent="0.3">
      <c r="B618" s="2">
        <v>44208</v>
      </c>
      <c r="C618" s="19" t="str">
        <f t="shared" si="139"/>
        <v>화</v>
      </c>
      <c r="E618" s="17" t="str">
        <f>INDEX(매칭테이블!C:C,MATCH(RD!G618,매칭테이블!D:D,0))</f>
        <v>뉴트리셔스밤</v>
      </c>
      <c r="F618" t="s">
        <v>91</v>
      </c>
      <c r="G618" t="s">
        <v>122</v>
      </c>
      <c r="H618">
        <v>4</v>
      </c>
      <c r="I618" s="17" t="str">
        <f>VLOOKUP(G618,매칭테이블!D:E,2,0)</f>
        <v>트리트먼트+뉴트리셔스밤</v>
      </c>
      <c r="J618">
        <v>201210</v>
      </c>
      <c r="L618" s="19">
        <f>VLOOKUP($P618,매칭테이블!$G:$J,2,0)*H618</f>
        <v>193420</v>
      </c>
      <c r="M618" s="19">
        <f>L618-L618*VLOOKUP($P618,매칭테이블!$G:$J,3,0)</f>
        <v>182104.93</v>
      </c>
      <c r="N618" s="19">
        <f>VLOOKUP($P618,매칭테이블!$G:$J,4,0)*H618</f>
        <v>12708</v>
      </c>
      <c r="O618" s="20">
        <f t="shared" si="140"/>
        <v>175836.36363636362</v>
      </c>
      <c r="P618" s="19" t="str">
        <f t="shared" si="141"/>
        <v>카페24뉴트리셔스밤HAIR RÉ:COVERY 15 Nutritious Balm [라베나 리커버리 15 뉴트리셔스 밤]제품선택=뉴트리셔스밤 1개 + 헤어팩 트리트먼트 1개 세트 5%추가할인201210</v>
      </c>
    </row>
    <row r="619" spans="2:16" x14ac:dyDescent="0.3">
      <c r="B619" s="2">
        <v>44208</v>
      </c>
      <c r="C619" s="19" t="str">
        <f t="shared" si="139"/>
        <v>화</v>
      </c>
      <c r="E619" s="17" t="str">
        <f>INDEX(매칭테이블!C:C,MATCH(RD!G619,매칭테이블!D:D,0))</f>
        <v>샴푸</v>
      </c>
      <c r="F619" t="s">
        <v>91</v>
      </c>
      <c r="G619" t="s">
        <v>92</v>
      </c>
      <c r="H619">
        <v>459</v>
      </c>
      <c r="I619" s="17" t="str">
        <f>VLOOKUP(G619,매칭테이블!D:E,2,0)</f>
        <v>리바이탈 샴푸</v>
      </c>
      <c r="J619">
        <v>201210</v>
      </c>
      <c r="L619" s="19">
        <f>VLOOKUP($P619,매칭테이블!$G:$J,2,0)*H619</f>
        <v>12347100</v>
      </c>
      <c r="M619" s="19">
        <f>L619-L619*VLOOKUP($P619,매칭테이블!$G:$J,3,0)</f>
        <v>11624794.65</v>
      </c>
      <c r="N619" s="19">
        <f>VLOOKUP($P619,매칭테이블!$G:$J,4,0)*H619</f>
        <v>1386180</v>
      </c>
      <c r="O619" s="20">
        <f t="shared" si="140"/>
        <v>11224636.363636363</v>
      </c>
      <c r="P619" s="19" t="str">
        <f t="shared" si="141"/>
        <v>카페24샴푸HAIR RÉ:COVERY 15 Revital Shampoo [라베나 리커버리 15 리바이탈 샴푸]제품선택=헤어 리커버리 15 리바이탈 샴푸 - 500ml201210</v>
      </c>
    </row>
    <row r="620" spans="2:16" x14ac:dyDescent="0.3">
      <c r="B620" s="2">
        <v>44208</v>
      </c>
      <c r="C620" s="19" t="str">
        <f t="shared" si="139"/>
        <v>화</v>
      </c>
      <c r="E620" s="17" t="str">
        <f>INDEX(매칭테이블!C:C,MATCH(RD!G620,매칭테이블!D:D,0))</f>
        <v>샴푸</v>
      </c>
      <c r="F620" t="s">
        <v>91</v>
      </c>
      <c r="G620" t="s">
        <v>93</v>
      </c>
      <c r="H620">
        <v>152</v>
      </c>
      <c r="I620" s="17" t="str">
        <f>VLOOKUP(G620,매칭테이블!D:E,2,0)</f>
        <v>리바이탈 샴푸</v>
      </c>
      <c r="J620">
        <v>201210</v>
      </c>
      <c r="L620" s="19">
        <f>VLOOKUP($P620,매칭테이블!$G:$J,2,0)*H620</f>
        <v>7768720</v>
      </c>
      <c r="M620" s="19">
        <f>L620-L620*VLOOKUP($P620,매칭테이블!$G:$J,3,0)</f>
        <v>7314249.8799999999</v>
      </c>
      <c r="N620" s="19">
        <f>VLOOKUP($P620,매칭테이블!$G:$J,4,0)*H620</f>
        <v>918080</v>
      </c>
      <c r="O620" s="20">
        <f t="shared" si="140"/>
        <v>7062472.7272727266</v>
      </c>
      <c r="P620" s="19" t="str">
        <f t="shared" si="141"/>
        <v>카페24샴푸HAIR RÉ:COVERY 15 Revital Shampoo [라베나 리커버리 15 리바이탈 샴푸]제품선택=리바이탈 샴푸 2개 세트 5%추가할인201210</v>
      </c>
    </row>
    <row r="621" spans="2:16" x14ac:dyDescent="0.3">
      <c r="B621" s="2">
        <v>44208</v>
      </c>
      <c r="C621" s="19" t="str">
        <f t="shared" si="139"/>
        <v>화</v>
      </c>
      <c r="E621" s="17" t="str">
        <f>INDEX(매칭테이블!C:C,MATCH(RD!G621,매칭테이블!D:D,0))</f>
        <v>샴푸</v>
      </c>
      <c r="F621" t="s">
        <v>91</v>
      </c>
      <c r="G621" t="s">
        <v>94</v>
      </c>
      <c r="H621">
        <v>64</v>
      </c>
      <c r="I621" s="17" t="str">
        <f>VLOOKUP(G621,매칭테이블!D:E,2,0)</f>
        <v>리바이탈 샴푸 3set</v>
      </c>
      <c r="J621">
        <v>201210</v>
      </c>
      <c r="L621" s="19">
        <f>VLOOKUP($P621,매칭테이블!$G:$J,2,0)*H621</f>
        <v>4648320</v>
      </c>
      <c r="M621" s="19">
        <f>L621-L621*VLOOKUP($P621,매칭테이블!$G:$J,3,0)</f>
        <v>4376393.28</v>
      </c>
      <c r="N621" s="19">
        <f>VLOOKUP($P621,매칭테이블!$G:$J,4,0)*H621</f>
        <v>579840</v>
      </c>
      <c r="O621" s="20">
        <f t="shared" si="140"/>
        <v>4225745.4545454541</v>
      </c>
      <c r="P621" s="19" t="str">
        <f t="shared" si="141"/>
        <v>카페24샴푸HAIR RÉ:COVERY 15 Revital Shampoo [라베나 리커버리 15 리바이탈 샴푸]제품선택=리바이탈 샴푸 3개 세트 10% 추가할인201210</v>
      </c>
    </row>
    <row r="622" spans="2:16" x14ac:dyDescent="0.3">
      <c r="B622" s="2">
        <v>44208</v>
      </c>
      <c r="C622" s="19" t="str">
        <f t="shared" si="139"/>
        <v>화</v>
      </c>
      <c r="E622" s="17" t="str">
        <f>INDEX(매칭테이블!C:C,MATCH(RD!G622,매칭테이블!D:D,0))</f>
        <v>샴푸</v>
      </c>
      <c r="F622" t="s">
        <v>91</v>
      </c>
      <c r="G622" t="s">
        <v>123</v>
      </c>
      <c r="H622">
        <v>3</v>
      </c>
      <c r="I622" s="17" t="str">
        <f>VLOOKUP(G622,매칭테이블!D:E,2,0)</f>
        <v>리바이탈 샴푸</v>
      </c>
      <c r="J622">
        <v>201210</v>
      </c>
      <c r="L622" s="19">
        <f>VLOOKUP($P622,매칭테이블!$G:$J,2,0)*H622</f>
        <v>80700</v>
      </c>
      <c r="M622" s="19">
        <f>L622-L622*VLOOKUP($P622,매칭테이블!$G:$J,3,0)</f>
        <v>75979.05</v>
      </c>
      <c r="N622" s="19">
        <f>VLOOKUP($P622,매칭테이블!$G:$J,4,0)*H622</f>
        <v>9060</v>
      </c>
      <c r="O622" s="20">
        <f t="shared" si="140"/>
        <v>73363.636363636353</v>
      </c>
      <c r="P622" s="19" t="str">
        <f t="shared" si="141"/>
        <v>카페24샴푸헤어 리커버리 15 리바이탈 샴푸201210</v>
      </c>
    </row>
    <row r="623" spans="2:16" x14ac:dyDescent="0.3">
      <c r="B623" s="2">
        <v>44209</v>
      </c>
      <c r="C623" s="19" t="str">
        <f t="shared" ref="C623" si="142">TEXT(B623,"aaa")</f>
        <v>수</v>
      </c>
      <c r="E623" s="17" t="str">
        <f>INDEX(매칭테이블!C:C,MATCH(RD!G623,매칭테이블!D:D,0))</f>
        <v>트리트먼트</v>
      </c>
      <c r="F623" t="s">
        <v>91</v>
      </c>
      <c r="G623" t="s">
        <v>115</v>
      </c>
      <c r="H623">
        <v>17</v>
      </c>
      <c r="I623" s="17" t="str">
        <f>VLOOKUP(G623,매칭테이블!D:E,2,0)</f>
        <v>트리트먼트</v>
      </c>
      <c r="J623">
        <v>201210</v>
      </c>
      <c r="L623" s="19">
        <f>VLOOKUP($P623,매칭테이블!$G:$J,2,0)*H623</f>
        <v>442000</v>
      </c>
      <c r="M623" s="19">
        <f>L623-L623*VLOOKUP($P623,매칭테이블!$G:$J,3,0)</f>
        <v>416143</v>
      </c>
      <c r="N623" s="19">
        <f>VLOOKUP($P623,매칭테이블!$G:$J,4,0)*H623</f>
        <v>27149</v>
      </c>
      <c r="O623" s="20">
        <f t="shared" ref="O623" si="143">L623/1.1</f>
        <v>401818.18181818177</v>
      </c>
      <c r="P623" s="19" t="str">
        <f t="shared" si="141"/>
        <v>카페24트리트먼트HAIR RÉ:COVERY 15 Hairpack Treatment [라베나 리커버리 15 헤어팩 트리트먼트]제품선택=헤어 리커버리 15 헤어팩 트리트먼트201210</v>
      </c>
    </row>
    <row r="624" spans="2:16" x14ac:dyDescent="0.3">
      <c r="B624" s="2">
        <v>44209</v>
      </c>
      <c r="C624" s="19" t="str">
        <f t="shared" ref="C624:C632" si="144">TEXT(B624,"aaa")</f>
        <v>수</v>
      </c>
      <c r="E624" s="17" t="str">
        <f>INDEX(매칭테이블!C:C,MATCH(RD!G624,매칭테이블!D:D,0))</f>
        <v>트리트먼트</v>
      </c>
      <c r="F624" t="s">
        <v>91</v>
      </c>
      <c r="G624" t="s">
        <v>116</v>
      </c>
      <c r="H624">
        <v>5</v>
      </c>
      <c r="I624" s="17" t="str">
        <f>VLOOKUP(G624,매칭테이블!D:E,2,0)</f>
        <v>트리트먼트 2set</v>
      </c>
      <c r="J624">
        <v>201210</v>
      </c>
      <c r="L624" s="19">
        <f>VLOOKUP($P624,매칭테이블!$G:$J,2,0)*H624</f>
        <v>247000</v>
      </c>
      <c r="M624" s="19">
        <f>L624-L624*VLOOKUP($P624,매칭테이블!$G:$J,3,0)</f>
        <v>232550.5</v>
      </c>
      <c r="N624" s="19">
        <f>VLOOKUP($P624,매칭테이블!$G:$J,4,0)*H624</f>
        <v>15970</v>
      </c>
      <c r="O624" s="20">
        <f t="shared" ref="O624:O632" si="145">L624/1.1</f>
        <v>224545.45454545453</v>
      </c>
      <c r="P624" s="19" t="str">
        <f t="shared" si="141"/>
        <v>카페24트리트먼트HAIR RÉ:COVERY 15 Hairpack Treatment [라베나 리커버리 15 헤어팩 트리트먼트]제품선택=헤어팩 트리트먼트 2개 세트 5% 추가할인201210</v>
      </c>
    </row>
    <row r="625" spans="2:16" x14ac:dyDescent="0.3">
      <c r="B625" s="2">
        <v>44209</v>
      </c>
      <c r="C625" s="19" t="str">
        <f t="shared" si="144"/>
        <v>수</v>
      </c>
      <c r="E625" s="17" t="str">
        <f>INDEX(매칭테이블!C:C,MATCH(RD!G625,매칭테이블!D:D,0))</f>
        <v>트리트먼트</v>
      </c>
      <c r="F625" t="s">
        <v>91</v>
      </c>
      <c r="G625" t="s">
        <v>117</v>
      </c>
      <c r="H625">
        <v>3</v>
      </c>
      <c r="I625" s="17" t="str">
        <f>VLOOKUP(G625,매칭테이블!D:E,2,0)</f>
        <v>트리트먼트+뉴트리셔스밤</v>
      </c>
      <c r="J625">
        <v>201210</v>
      </c>
      <c r="L625" s="19">
        <f>VLOOKUP($P625,매칭테이블!$G:$J,2,0)*H625</f>
        <v>145065</v>
      </c>
      <c r="M625" s="19">
        <f>L625-L625*VLOOKUP($P625,매칭테이블!$G:$J,3,0)</f>
        <v>136578.69750000001</v>
      </c>
      <c r="N625" s="19">
        <f>VLOOKUP($P625,매칭테이블!$G:$J,4,0)*H625</f>
        <v>9531</v>
      </c>
      <c r="O625" s="20">
        <f t="shared" si="145"/>
        <v>131877.27272727271</v>
      </c>
      <c r="P625" s="19" t="str">
        <f t="shared" si="141"/>
        <v>카페24트리트먼트HAIR RÉ:COVERY 15 Hairpack Treatment [라베나 리커버리 15 헤어팩 트리트먼트]제품선택=헤어팩 트리트먼트 1개 + 뉴트리셔스밤 1개 세트 5% 추가할인201210</v>
      </c>
    </row>
    <row r="626" spans="2:16" x14ac:dyDescent="0.3">
      <c r="B626" s="2">
        <v>44209</v>
      </c>
      <c r="C626" s="19" t="str">
        <f t="shared" si="144"/>
        <v>수</v>
      </c>
      <c r="E626" s="17" t="str">
        <f>INDEX(매칭테이블!C:C,MATCH(RD!G626,매칭테이블!D:D,0))</f>
        <v>뉴트리셔스밤</v>
      </c>
      <c r="F626" t="s">
        <v>91</v>
      </c>
      <c r="G626" t="s">
        <v>118</v>
      </c>
      <c r="H626">
        <v>9</v>
      </c>
      <c r="I626" s="17" t="str">
        <f>VLOOKUP(G626,매칭테이블!D:E,2,0)</f>
        <v>뉴트리셔스밤</v>
      </c>
      <c r="J626">
        <v>201210</v>
      </c>
      <c r="L626" s="19">
        <f>VLOOKUP($P626,매칭테이블!$G:$J,2,0)*H626</f>
        <v>224100</v>
      </c>
      <c r="M626" s="19">
        <f>L626-L626*VLOOKUP($P626,매칭테이블!$G:$J,3,0)</f>
        <v>210990.15</v>
      </c>
      <c r="N626" s="19">
        <f>VLOOKUP($P626,매칭테이블!$G:$J,4,0)*H626</f>
        <v>14220</v>
      </c>
      <c r="O626" s="20">
        <f t="shared" si="145"/>
        <v>203727.27272727271</v>
      </c>
      <c r="P626" s="19" t="str">
        <f t="shared" si="141"/>
        <v>카페24뉴트리셔스밤HAIR RÉ:COVERY 15 Nutritious Balm [라베나 리커버리 15 뉴트리셔스 밤]제품선택=헤어 리커버리 15 뉴트리셔스 밤201210</v>
      </c>
    </row>
    <row r="627" spans="2:16" x14ac:dyDescent="0.3">
      <c r="B627" s="2">
        <v>44209</v>
      </c>
      <c r="C627" s="19" t="str">
        <f t="shared" si="144"/>
        <v>수</v>
      </c>
      <c r="E627" s="17" t="str">
        <f>INDEX(매칭테이블!C:C,MATCH(RD!G627,매칭테이블!D:D,0))</f>
        <v>뉴트리셔스밤</v>
      </c>
      <c r="F627" t="s">
        <v>91</v>
      </c>
      <c r="G627" t="s">
        <v>121</v>
      </c>
      <c r="H627">
        <v>1</v>
      </c>
      <c r="I627" s="17" t="str">
        <f>VLOOKUP(G627,매칭테이블!D:E,2,0)</f>
        <v>뉴트리셔스밤 2set</v>
      </c>
      <c r="J627">
        <v>201210</v>
      </c>
      <c r="L627" s="19">
        <f>VLOOKUP($P627,매칭테이블!$G:$J,2,0)*H627</f>
        <v>47310</v>
      </c>
      <c r="M627" s="19">
        <f>L627-L627*VLOOKUP($P627,매칭테이블!$G:$J,3,0)</f>
        <v>44542.364999999998</v>
      </c>
      <c r="N627" s="19">
        <f>VLOOKUP($P627,매칭테이블!$G:$J,4,0)*H627</f>
        <v>3160</v>
      </c>
      <c r="O627" s="20">
        <f t="shared" si="145"/>
        <v>43009.090909090904</v>
      </c>
      <c r="P627" s="19" t="str">
        <f t="shared" si="141"/>
        <v>카페24뉴트리셔스밤HAIR RÉ:COVERY 15 Nutritious Balm [라베나 리커버리 15 뉴트리셔스 밤]제품선택=뉴트리셔스 밤 2개 세트 5% 추가할인201210</v>
      </c>
    </row>
    <row r="628" spans="2:16" x14ac:dyDescent="0.3">
      <c r="B628" s="2">
        <v>44209</v>
      </c>
      <c r="C628" s="19" t="str">
        <f t="shared" si="144"/>
        <v>수</v>
      </c>
      <c r="E628" s="17" t="str">
        <f>INDEX(매칭테이블!C:C,MATCH(RD!G628,매칭테이블!D:D,0))</f>
        <v>뉴트리셔스밤</v>
      </c>
      <c r="F628" t="s">
        <v>91</v>
      </c>
      <c r="G628" t="s">
        <v>122</v>
      </c>
      <c r="H628">
        <v>2</v>
      </c>
      <c r="I628" s="17" t="str">
        <f>VLOOKUP(G628,매칭테이블!D:E,2,0)</f>
        <v>트리트먼트+뉴트리셔스밤</v>
      </c>
      <c r="J628">
        <v>201210</v>
      </c>
      <c r="L628" s="19">
        <f>VLOOKUP($P628,매칭테이블!$G:$J,2,0)*H628</f>
        <v>96710</v>
      </c>
      <c r="M628" s="19">
        <f>L628-L628*VLOOKUP($P628,매칭테이블!$G:$J,3,0)</f>
        <v>91052.464999999997</v>
      </c>
      <c r="N628" s="19">
        <f>VLOOKUP($P628,매칭테이블!$G:$J,4,0)*H628</f>
        <v>6354</v>
      </c>
      <c r="O628" s="20">
        <f t="shared" si="145"/>
        <v>87918.181818181809</v>
      </c>
      <c r="P628" s="19" t="str">
        <f t="shared" si="141"/>
        <v>카페24뉴트리셔스밤HAIR RÉ:COVERY 15 Nutritious Balm [라베나 리커버리 15 뉴트리셔스 밤]제품선택=뉴트리셔스밤 1개 + 헤어팩 트리트먼트 1개 세트 5%추가할인201210</v>
      </c>
    </row>
    <row r="629" spans="2:16" x14ac:dyDescent="0.3">
      <c r="B629" s="2">
        <v>44209</v>
      </c>
      <c r="C629" s="19" t="str">
        <f t="shared" si="144"/>
        <v>수</v>
      </c>
      <c r="E629" s="17" t="str">
        <f>INDEX(매칭테이블!C:C,MATCH(RD!G629,매칭테이블!D:D,0))</f>
        <v>샴푸</v>
      </c>
      <c r="F629" t="s">
        <v>91</v>
      </c>
      <c r="G629" t="s">
        <v>92</v>
      </c>
      <c r="H629">
        <v>91</v>
      </c>
      <c r="I629" s="17" t="str">
        <f>VLOOKUP(G629,매칭테이블!D:E,2,0)</f>
        <v>리바이탈 샴푸</v>
      </c>
      <c r="J629">
        <v>201210</v>
      </c>
      <c r="L629" s="19">
        <f>VLOOKUP($P629,매칭테이블!$G:$J,2,0)*H629</f>
        <v>2447900</v>
      </c>
      <c r="M629" s="19">
        <f>L629-L629*VLOOKUP($P629,매칭테이블!$G:$J,3,0)</f>
        <v>2304697.85</v>
      </c>
      <c r="N629" s="19">
        <f>VLOOKUP($P629,매칭테이블!$G:$J,4,0)*H629</f>
        <v>274820</v>
      </c>
      <c r="O629" s="20">
        <f t="shared" si="145"/>
        <v>2225363.6363636362</v>
      </c>
      <c r="P629" s="19" t="str">
        <f t="shared" si="141"/>
        <v>카페24샴푸HAIR RÉ:COVERY 15 Revital Shampoo [라베나 리커버리 15 리바이탈 샴푸]제품선택=헤어 리커버리 15 리바이탈 샴푸 - 500ml201210</v>
      </c>
    </row>
    <row r="630" spans="2:16" x14ac:dyDescent="0.3">
      <c r="B630" s="2">
        <v>44209</v>
      </c>
      <c r="C630" s="19" t="str">
        <f t="shared" si="144"/>
        <v>수</v>
      </c>
      <c r="E630" s="17" t="str">
        <f>INDEX(매칭테이블!C:C,MATCH(RD!G630,매칭테이블!D:D,0))</f>
        <v>샴푸</v>
      </c>
      <c r="F630" t="s">
        <v>91</v>
      </c>
      <c r="G630" t="s">
        <v>93</v>
      </c>
      <c r="H630">
        <v>22</v>
      </c>
      <c r="I630" s="17" t="str">
        <f>VLOOKUP(G630,매칭테이블!D:E,2,0)</f>
        <v>리바이탈 샴푸</v>
      </c>
      <c r="J630">
        <v>201210</v>
      </c>
      <c r="L630" s="19">
        <f>VLOOKUP($P630,매칭테이블!$G:$J,2,0)*H630</f>
        <v>1124420</v>
      </c>
      <c r="M630" s="19">
        <f>L630-L630*VLOOKUP($P630,매칭테이블!$G:$J,3,0)</f>
        <v>1058641.43</v>
      </c>
      <c r="N630" s="19">
        <f>VLOOKUP($P630,매칭테이블!$G:$J,4,0)*H630</f>
        <v>132880</v>
      </c>
      <c r="O630" s="20">
        <f t="shared" si="145"/>
        <v>1022199.9999999999</v>
      </c>
      <c r="P630" s="19" t="str">
        <f t="shared" si="141"/>
        <v>카페24샴푸HAIR RÉ:COVERY 15 Revital Shampoo [라베나 리커버리 15 리바이탈 샴푸]제품선택=리바이탈 샴푸 2개 세트 5%추가할인201210</v>
      </c>
    </row>
    <row r="631" spans="2:16" x14ac:dyDescent="0.3">
      <c r="B631" s="2">
        <v>44209</v>
      </c>
      <c r="C631" s="19" t="str">
        <f t="shared" si="144"/>
        <v>수</v>
      </c>
      <c r="E631" s="17" t="str">
        <f>INDEX(매칭테이블!C:C,MATCH(RD!G631,매칭테이블!D:D,0))</f>
        <v>샴푸</v>
      </c>
      <c r="F631" t="s">
        <v>91</v>
      </c>
      <c r="G631" t="s">
        <v>94</v>
      </c>
      <c r="H631">
        <v>10</v>
      </c>
      <c r="I631" s="17" t="str">
        <f>VLOOKUP(G631,매칭테이블!D:E,2,0)</f>
        <v>리바이탈 샴푸 3set</v>
      </c>
      <c r="J631">
        <v>201210</v>
      </c>
      <c r="L631" s="19">
        <f>VLOOKUP($P631,매칭테이블!$G:$J,2,0)*H631</f>
        <v>726300</v>
      </c>
      <c r="M631" s="19">
        <f>L631-L631*VLOOKUP($P631,매칭테이블!$G:$J,3,0)</f>
        <v>683811.45</v>
      </c>
      <c r="N631" s="19">
        <f>VLOOKUP($P631,매칭테이블!$G:$J,4,0)*H631</f>
        <v>90600</v>
      </c>
      <c r="O631" s="20">
        <f t="shared" si="145"/>
        <v>660272.72727272718</v>
      </c>
      <c r="P631" s="19" t="str">
        <f t="shared" si="141"/>
        <v>카페24샴푸HAIR RÉ:COVERY 15 Revital Shampoo [라베나 리커버리 15 리바이탈 샴푸]제품선택=리바이탈 샴푸 3개 세트 10% 추가할인201210</v>
      </c>
    </row>
    <row r="632" spans="2:16" x14ac:dyDescent="0.3">
      <c r="B632" s="2">
        <v>44209</v>
      </c>
      <c r="C632" s="19" t="str">
        <f t="shared" si="144"/>
        <v>수</v>
      </c>
      <c r="E632" s="17" t="str">
        <f>INDEX(매칭테이블!C:C,MATCH(RD!G632,매칭테이블!D:D,0))</f>
        <v>샴푸</v>
      </c>
      <c r="F632" t="s">
        <v>91</v>
      </c>
      <c r="G632" t="s">
        <v>123</v>
      </c>
      <c r="H632">
        <v>3</v>
      </c>
      <c r="I632" s="17" t="str">
        <f>VLOOKUP(G632,매칭테이블!D:E,2,0)</f>
        <v>리바이탈 샴푸</v>
      </c>
      <c r="J632">
        <v>201210</v>
      </c>
      <c r="L632" s="19">
        <f>VLOOKUP($P632,매칭테이블!$G:$J,2,0)*H632</f>
        <v>80700</v>
      </c>
      <c r="M632" s="19">
        <f>L632-L632*VLOOKUP($P632,매칭테이블!$G:$J,3,0)</f>
        <v>75979.05</v>
      </c>
      <c r="N632" s="19">
        <f>VLOOKUP($P632,매칭테이블!$G:$J,4,0)*H632</f>
        <v>9060</v>
      </c>
      <c r="O632" s="20">
        <f t="shared" si="145"/>
        <v>73363.636363636353</v>
      </c>
      <c r="P632" s="19" t="str">
        <f t="shared" si="141"/>
        <v>카페24샴푸헤어 리커버리 15 리바이탈 샴푸201210</v>
      </c>
    </row>
    <row r="633" spans="2:16" x14ac:dyDescent="0.3">
      <c r="B633" s="2">
        <v>44210</v>
      </c>
      <c r="C633" s="19" t="str">
        <f t="shared" ref="C633" si="146">TEXT(B633,"aaa")</f>
        <v>목</v>
      </c>
      <c r="E633" s="17" t="str">
        <f>INDEX(매칭테이블!C:C,MATCH(RD!G633,매칭테이블!D:D,0))</f>
        <v>트리트먼트</v>
      </c>
      <c r="F633" t="s">
        <v>91</v>
      </c>
      <c r="G633" t="s">
        <v>115</v>
      </c>
      <c r="H633">
        <v>2</v>
      </c>
      <c r="I633" s="17" t="str">
        <f>VLOOKUP(G633,매칭테이블!D:E,2,0)</f>
        <v>트리트먼트</v>
      </c>
      <c r="J633">
        <v>201210</v>
      </c>
      <c r="L633" s="19">
        <f>VLOOKUP($P633,매칭테이블!$G:$J,2,0)*H633</f>
        <v>52000</v>
      </c>
      <c r="M633" s="19">
        <f>L633-L633*VLOOKUP($P633,매칭테이블!$G:$J,3,0)</f>
        <v>48958</v>
      </c>
      <c r="N633" s="19">
        <f>VLOOKUP($P633,매칭테이블!$G:$J,4,0)*H633</f>
        <v>3194</v>
      </c>
      <c r="O633" s="20">
        <f t="shared" ref="O633" si="147">L633/1.1</f>
        <v>47272.727272727272</v>
      </c>
      <c r="P633" s="19" t="str">
        <f t="shared" si="141"/>
        <v>카페24트리트먼트HAIR RÉ:COVERY 15 Hairpack Treatment [라베나 리커버리 15 헤어팩 트리트먼트]제품선택=헤어 리커버리 15 헤어팩 트리트먼트201210</v>
      </c>
    </row>
    <row r="634" spans="2:16" x14ac:dyDescent="0.3">
      <c r="B634" s="2">
        <v>44210</v>
      </c>
      <c r="C634" s="19" t="str">
        <f t="shared" ref="C634:C649" si="148">TEXT(B634,"aaa")</f>
        <v>목</v>
      </c>
      <c r="E634" s="17" t="str">
        <f>INDEX(매칭테이블!C:C,MATCH(RD!G634,매칭테이블!D:D,0))</f>
        <v>트리트먼트</v>
      </c>
      <c r="F634" t="s">
        <v>91</v>
      </c>
      <c r="G634" t="s">
        <v>120</v>
      </c>
      <c r="H634">
        <v>1</v>
      </c>
      <c r="I634" s="17" t="str">
        <f>VLOOKUP(G634,매칭테이블!D:E,2,0)</f>
        <v>트리트먼트 3set</v>
      </c>
      <c r="J634">
        <v>201210</v>
      </c>
      <c r="L634" s="19">
        <f>VLOOKUP($P634,매칭테이블!$G:$J,2,0)*H634</f>
        <v>70200</v>
      </c>
      <c r="M634" s="19">
        <f>L634-L634*VLOOKUP($P634,매칭테이블!$G:$J,3,0)</f>
        <v>66093.3</v>
      </c>
      <c r="N634" s="19">
        <f>VLOOKUP($P634,매칭테이블!$G:$J,4,0)*H634</f>
        <v>4791</v>
      </c>
      <c r="O634" s="20">
        <f t="shared" ref="O634:O649" si="149">L634/1.1</f>
        <v>63818.181818181816</v>
      </c>
      <c r="P634" s="19" t="str">
        <f t="shared" si="141"/>
        <v>카페24트리트먼트HAIR RÉ:COVERY 15 Hairpack Treatment [라베나 리커버리 15 헤어팩 트리트먼트]제품선택=헤어팩 트리트먼트 3개 세트 10% 추가할인201210</v>
      </c>
    </row>
    <row r="635" spans="2:16" x14ac:dyDescent="0.3">
      <c r="B635" s="2">
        <v>44210</v>
      </c>
      <c r="C635" s="19" t="str">
        <f t="shared" si="148"/>
        <v>목</v>
      </c>
      <c r="E635" s="17" t="str">
        <f>INDEX(매칭테이블!C:C,MATCH(RD!G635,매칭테이블!D:D,0))</f>
        <v>뉴트리셔스밤</v>
      </c>
      <c r="F635" t="s">
        <v>91</v>
      </c>
      <c r="G635" t="s">
        <v>118</v>
      </c>
      <c r="H635">
        <v>1</v>
      </c>
      <c r="I635" s="17" t="str">
        <f>VLOOKUP(G635,매칭테이블!D:E,2,0)</f>
        <v>뉴트리셔스밤</v>
      </c>
      <c r="J635">
        <v>201210</v>
      </c>
      <c r="L635" s="19">
        <f>VLOOKUP($P635,매칭테이블!$G:$J,2,0)*H635</f>
        <v>24900</v>
      </c>
      <c r="M635" s="19">
        <f>L635-L635*VLOOKUP($P635,매칭테이블!$G:$J,3,0)</f>
        <v>23443.35</v>
      </c>
      <c r="N635" s="19">
        <f>VLOOKUP($P635,매칭테이블!$G:$J,4,0)*H635</f>
        <v>1580</v>
      </c>
      <c r="O635" s="20">
        <f t="shared" si="149"/>
        <v>22636.363636363636</v>
      </c>
      <c r="P635" s="19" t="str">
        <f t="shared" si="141"/>
        <v>카페24뉴트리셔스밤HAIR RÉ:COVERY 15 Nutritious Balm [라베나 리커버리 15 뉴트리셔스 밤]제품선택=헤어 리커버리 15 뉴트리셔스 밤201210</v>
      </c>
    </row>
    <row r="636" spans="2:16" x14ac:dyDescent="0.3">
      <c r="B636" s="2">
        <v>44210</v>
      </c>
      <c r="C636" s="19" t="str">
        <f t="shared" si="148"/>
        <v>목</v>
      </c>
      <c r="E636" s="17" t="str">
        <f>INDEX(매칭테이블!C:C,MATCH(RD!G636,매칭테이블!D:D,0))</f>
        <v>뉴트리셔스밤</v>
      </c>
      <c r="F636" t="s">
        <v>91</v>
      </c>
      <c r="G636" t="s">
        <v>122</v>
      </c>
      <c r="H636">
        <v>1</v>
      </c>
      <c r="I636" s="17" t="str">
        <f>VLOOKUP(G636,매칭테이블!D:E,2,0)</f>
        <v>트리트먼트+뉴트리셔스밤</v>
      </c>
      <c r="J636">
        <v>201210</v>
      </c>
      <c r="L636" s="19">
        <f>VLOOKUP($P636,매칭테이블!$G:$J,2,0)*H636</f>
        <v>48355</v>
      </c>
      <c r="M636" s="19">
        <f>L636-L636*VLOOKUP($P636,매칭테이블!$G:$J,3,0)</f>
        <v>45526.232499999998</v>
      </c>
      <c r="N636" s="19">
        <f>VLOOKUP($P636,매칭테이블!$G:$J,4,0)*H636</f>
        <v>3177</v>
      </c>
      <c r="O636" s="20">
        <f t="shared" si="149"/>
        <v>43959.090909090904</v>
      </c>
      <c r="P636" s="19" t="str">
        <f t="shared" si="141"/>
        <v>카페24뉴트리셔스밤HAIR RÉ:COVERY 15 Nutritious Balm [라베나 리커버리 15 뉴트리셔스 밤]제품선택=뉴트리셔스밤 1개 + 헤어팩 트리트먼트 1개 세트 5%추가할인201210</v>
      </c>
    </row>
    <row r="637" spans="2:16" x14ac:dyDescent="0.3">
      <c r="B637" s="2">
        <v>44210</v>
      </c>
      <c r="C637" s="19" t="str">
        <f t="shared" si="148"/>
        <v>목</v>
      </c>
      <c r="E637" s="17" t="str">
        <f>INDEX(매칭테이블!C:C,MATCH(RD!G637,매칭테이블!D:D,0))</f>
        <v>샴푸</v>
      </c>
      <c r="F637" t="s">
        <v>91</v>
      </c>
      <c r="G637" t="s">
        <v>92</v>
      </c>
      <c r="H637">
        <v>5</v>
      </c>
      <c r="I637" s="17" t="str">
        <f>VLOOKUP(G637,매칭테이블!D:E,2,0)</f>
        <v>리바이탈 샴푸</v>
      </c>
      <c r="J637">
        <v>201210</v>
      </c>
      <c r="L637" s="19">
        <f>VLOOKUP($P637,매칭테이블!$G:$J,2,0)*H637</f>
        <v>134500</v>
      </c>
      <c r="M637" s="19">
        <f>L637-L637*VLOOKUP($P637,매칭테이블!$G:$J,3,0)</f>
        <v>126631.75</v>
      </c>
      <c r="N637" s="19">
        <f>VLOOKUP($P637,매칭테이블!$G:$J,4,0)*H637</f>
        <v>15100</v>
      </c>
      <c r="O637" s="20">
        <f t="shared" si="149"/>
        <v>122272.72727272726</v>
      </c>
      <c r="P637" s="19" t="str">
        <f t="shared" si="141"/>
        <v>카페24샴푸HAIR RÉ:COVERY 15 Revital Shampoo [라베나 리커버리 15 리바이탈 샴푸]제품선택=헤어 리커버리 15 리바이탈 샴푸 - 500ml201210</v>
      </c>
    </row>
    <row r="638" spans="2:16" x14ac:dyDescent="0.3">
      <c r="B638" s="2">
        <v>44210</v>
      </c>
      <c r="C638" s="19" t="str">
        <f t="shared" si="148"/>
        <v>목</v>
      </c>
      <c r="E638" s="17" t="str">
        <f>INDEX(매칭테이블!C:C,MATCH(RD!G638,매칭테이블!D:D,0))</f>
        <v>샴푸</v>
      </c>
      <c r="F638" t="s">
        <v>91</v>
      </c>
      <c r="G638" t="s">
        <v>93</v>
      </c>
      <c r="H638">
        <v>3</v>
      </c>
      <c r="I638" s="17" t="str">
        <f>VLOOKUP(G638,매칭테이블!D:E,2,0)</f>
        <v>리바이탈 샴푸</v>
      </c>
      <c r="J638">
        <v>201210</v>
      </c>
      <c r="L638" s="19">
        <f>VLOOKUP($P638,매칭테이블!$G:$J,2,0)*H638</f>
        <v>153330</v>
      </c>
      <c r="M638" s="19">
        <f>L638-L638*VLOOKUP($P638,매칭테이블!$G:$J,3,0)</f>
        <v>144360.19500000001</v>
      </c>
      <c r="N638" s="19">
        <f>VLOOKUP($P638,매칭테이블!$G:$J,4,0)*H638</f>
        <v>18120</v>
      </c>
      <c r="O638" s="20">
        <f t="shared" si="149"/>
        <v>139390.90909090909</v>
      </c>
      <c r="P638" s="19" t="str">
        <f t="shared" si="141"/>
        <v>카페24샴푸HAIR RÉ:COVERY 15 Revital Shampoo [라베나 리커버리 15 리바이탈 샴푸]제품선택=리바이탈 샴푸 2개 세트 5%추가할인201210</v>
      </c>
    </row>
    <row r="639" spans="2:16" x14ac:dyDescent="0.3">
      <c r="B639" s="2">
        <v>44210</v>
      </c>
      <c r="C639" s="19" t="str">
        <f t="shared" si="148"/>
        <v>목</v>
      </c>
      <c r="E639" s="17" t="str">
        <f>INDEX(매칭테이블!C:C,MATCH(RD!G639,매칭테이블!D:D,0))</f>
        <v>샴푸</v>
      </c>
      <c r="F639" t="s">
        <v>91</v>
      </c>
      <c r="G639" t="s">
        <v>94</v>
      </c>
      <c r="H639">
        <v>2</v>
      </c>
      <c r="I639" s="17" t="str">
        <f>VLOOKUP(G639,매칭테이블!D:E,2,0)</f>
        <v>리바이탈 샴푸 3set</v>
      </c>
      <c r="J639">
        <v>201210</v>
      </c>
      <c r="L639" s="19">
        <f>VLOOKUP($P639,매칭테이블!$G:$J,2,0)*H639</f>
        <v>145260</v>
      </c>
      <c r="M639" s="19">
        <f>L639-L639*VLOOKUP($P639,매칭테이블!$G:$J,3,0)</f>
        <v>136762.29</v>
      </c>
      <c r="N639" s="19">
        <f>VLOOKUP($P639,매칭테이블!$G:$J,4,0)*H639</f>
        <v>18120</v>
      </c>
      <c r="O639" s="20">
        <f t="shared" si="149"/>
        <v>132054.54545454544</v>
      </c>
      <c r="P639" s="19" t="str">
        <f t="shared" si="141"/>
        <v>카페24샴푸HAIR RÉ:COVERY 15 Revital Shampoo [라베나 리커버리 15 리바이탈 샴푸]제품선택=리바이탈 샴푸 3개 세트 10% 추가할인201210</v>
      </c>
    </row>
    <row r="640" spans="2:16" x14ac:dyDescent="0.3">
      <c r="B640" s="2">
        <v>44210</v>
      </c>
      <c r="C640" s="19" t="str">
        <f t="shared" si="148"/>
        <v>목</v>
      </c>
      <c r="E640" s="17" t="str">
        <f>INDEX(매칭테이블!C:C,MATCH(RD!G640,매칭테이블!D:D,0))</f>
        <v>뉴트리셔스밤</v>
      </c>
      <c r="F640" t="s">
        <v>91</v>
      </c>
      <c r="G640" t="s">
        <v>124</v>
      </c>
      <c r="H640">
        <v>5</v>
      </c>
      <c r="I640" s="17" t="str">
        <f>VLOOKUP(G640,매칭테이블!D:E,2,0)</f>
        <v>뉴트리셔스밤</v>
      </c>
      <c r="J640">
        <v>201210</v>
      </c>
      <c r="L640" s="19">
        <f>VLOOKUP($P640,매칭테이블!$G:$J,2,0)*H640</f>
        <v>124500</v>
      </c>
      <c r="M640" s="19">
        <f>L640-L640*VLOOKUP($P640,매칭테이블!$G:$J,3,0)</f>
        <v>117216.75</v>
      </c>
      <c r="N640" s="19">
        <f>VLOOKUP($P640,매칭테이블!$G:$J,4,0)*H640</f>
        <v>7900</v>
      </c>
      <c r="O640" s="20">
        <f t="shared" si="149"/>
        <v>113181.81818181818</v>
      </c>
      <c r="P640" s="19" t="str">
        <f t="shared" si="141"/>
        <v>카페24뉴트리셔스밤라베나 리커버리 15 뉴트리셔스 밤 [HAIR RÉ:COVERY 15 Nutritious Balm]제품선택=헤어 리커버리 15 뉴트리셔스 밤201210</v>
      </c>
    </row>
    <row r="641" spans="2:16" x14ac:dyDescent="0.3">
      <c r="B641" s="2">
        <v>44210</v>
      </c>
      <c r="C641" s="19" t="str">
        <f t="shared" si="148"/>
        <v>목</v>
      </c>
      <c r="E641" s="17" t="str">
        <f>INDEX(매칭테이블!C:C,MATCH(RD!G641,매칭테이블!D:D,0))</f>
        <v>뉴트리셔스밤</v>
      </c>
      <c r="F641" t="s">
        <v>91</v>
      </c>
      <c r="G641" t="s">
        <v>125</v>
      </c>
      <c r="H641">
        <v>2</v>
      </c>
      <c r="I641" s="17" t="str">
        <f>VLOOKUP(G641,매칭테이블!D:E,2,0)</f>
        <v>뉴트리셔스밤 2set</v>
      </c>
      <c r="J641">
        <v>201210</v>
      </c>
      <c r="L641" s="19">
        <f>VLOOKUP($P641,매칭테이블!$G:$J,2,0)*H641</f>
        <v>94620</v>
      </c>
      <c r="M641" s="19">
        <f>L641-L641*VLOOKUP($P641,매칭테이블!$G:$J,3,0)</f>
        <v>89084.73</v>
      </c>
      <c r="N641" s="19">
        <f>VLOOKUP($P641,매칭테이블!$G:$J,4,0)*H641</f>
        <v>6320</v>
      </c>
      <c r="O641" s="20">
        <f t="shared" si="149"/>
        <v>86018.181818181809</v>
      </c>
      <c r="P641" s="19" t="str">
        <f t="shared" si="141"/>
        <v>카페24뉴트리셔스밤라베나 리커버리 15 뉴트리셔스 밤 [HAIR RÉ:COVERY 15 Nutritious Balm]제품선택=뉴트리셔스 밤 2개 세트 5% 추가할인201210</v>
      </c>
    </row>
    <row r="642" spans="2:16" x14ac:dyDescent="0.3">
      <c r="B642" s="2">
        <v>44210</v>
      </c>
      <c r="C642" s="19" t="str">
        <f t="shared" si="148"/>
        <v>목</v>
      </c>
      <c r="E642" s="17" t="str">
        <f>INDEX(매칭테이블!C:C,MATCH(RD!G642,매칭테이블!D:D,0))</f>
        <v>뉴트리셔스밤</v>
      </c>
      <c r="F642" t="s">
        <v>91</v>
      </c>
      <c r="G642" t="s">
        <v>126</v>
      </c>
      <c r="H642">
        <v>1</v>
      </c>
      <c r="I642" s="17" t="str">
        <f>VLOOKUP(G642,매칭테이블!D:E,2,0)</f>
        <v>트리트먼트+뉴트리셔스밤</v>
      </c>
      <c r="J642">
        <v>201210</v>
      </c>
      <c r="L642" s="19">
        <f>VLOOKUP($P642,매칭테이블!$G:$J,2,0)*H642</f>
        <v>48355</v>
      </c>
      <c r="M642" s="19">
        <f>L642-L642*VLOOKUP($P642,매칭테이블!$G:$J,3,0)</f>
        <v>45526.232499999998</v>
      </c>
      <c r="N642" s="19">
        <f>VLOOKUP($P642,매칭테이블!$G:$J,4,0)*H642</f>
        <v>3177</v>
      </c>
      <c r="O642" s="20">
        <f t="shared" si="149"/>
        <v>43959.090909090904</v>
      </c>
      <c r="P642" s="19" t="str">
        <f t="shared" si="141"/>
        <v>카페24뉴트리셔스밤라베나 리커버리 15 뉴트리셔스 밤 [HAIR RÉ:COVERY 15 Nutritious Balm]제품선택=뉴트리셔스밤 1개 + 헤어팩 트리트먼트 1개 세트 5%추가할인201210</v>
      </c>
    </row>
    <row r="643" spans="2:16" x14ac:dyDescent="0.3">
      <c r="B643" s="2">
        <v>44210</v>
      </c>
      <c r="C643" s="19" t="str">
        <f t="shared" si="148"/>
        <v>목</v>
      </c>
      <c r="E643" s="17" t="str">
        <f>INDEX(매칭테이블!C:C,MATCH(RD!G643,매칭테이블!D:D,0))</f>
        <v>샴푸</v>
      </c>
      <c r="F643" t="s">
        <v>91</v>
      </c>
      <c r="G643" t="s">
        <v>127</v>
      </c>
      <c r="H643">
        <v>75</v>
      </c>
      <c r="I643" s="17" t="str">
        <f>VLOOKUP(G643,매칭테이블!D:E,2,0)</f>
        <v>리바이탈 샴푸</v>
      </c>
      <c r="J643">
        <v>201210</v>
      </c>
      <c r="L643" s="19">
        <f>VLOOKUP($P643,매칭테이블!$G:$J,2,0)*H643</f>
        <v>2017500</v>
      </c>
      <c r="M643" s="19">
        <f>L643-L643*VLOOKUP($P643,매칭테이블!$G:$J,3,0)</f>
        <v>1899476.25</v>
      </c>
      <c r="N643" s="19">
        <f>VLOOKUP($P643,매칭테이블!$G:$J,4,0)*H643</f>
        <v>226500</v>
      </c>
      <c r="O643" s="20">
        <f t="shared" si="149"/>
        <v>1834090.9090909089</v>
      </c>
      <c r="P643" s="19" t="str">
        <f t="shared" si="141"/>
        <v>카페24샴푸라베나 리커버리 15 리바이탈 샴푸 [HAIR RÉ:COVERY 15 Revital Shampoo]제품선택=헤어 리커버리 15 리바이탈 샴푸 - 500ml201210</v>
      </c>
    </row>
    <row r="644" spans="2:16" x14ac:dyDescent="0.3">
      <c r="B644" s="2">
        <v>44210</v>
      </c>
      <c r="C644" s="19" t="str">
        <f t="shared" si="148"/>
        <v>목</v>
      </c>
      <c r="E644" s="17" t="str">
        <f>INDEX(매칭테이블!C:C,MATCH(RD!G644,매칭테이블!D:D,0))</f>
        <v>샴푸</v>
      </c>
      <c r="F644" t="s">
        <v>91</v>
      </c>
      <c r="G644" t="s">
        <v>128</v>
      </c>
      <c r="H644">
        <v>25</v>
      </c>
      <c r="I644" s="17" t="str">
        <f>VLOOKUP(G644,매칭테이블!D:E,2,0)</f>
        <v>리바이탈 샴푸 2set</v>
      </c>
      <c r="J644">
        <v>201210</v>
      </c>
      <c r="L644" s="19">
        <f>VLOOKUP($P644,매칭테이블!$G:$J,2,0)*H644</f>
        <v>1277750</v>
      </c>
      <c r="M644" s="19">
        <f>L644-L644*VLOOKUP($P644,매칭테이블!$G:$J,3,0)</f>
        <v>1203001.625</v>
      </c>
      <c r="N644" s="19">
        <f>VLOOKUP($P644,매칭테이블!$G:$J,4,0)*H644</f>
        <v>151000</v>
      </c>
      <c r="O644" s="20">
        <f t="shared" si="149"/>
        <v>1161590.9090909089</v>
      </c>
      <c r="P644" s="19" t="str">
        <f t="shared" si="141"/>
        <v>카페24샴푸라베나 리커버리 15 리바이탈 샴푸 [HAIR RÉ:COVERY 15 Revital Shampoo]제품선택=리바이탈 샴푸 2개 세트 5%추가할인201210</v>
      </c>
    </row>
    <row r="645" spans="2:16" x14ac:dyDescent="0.3">
      <c r="B645" s="2">
        <v>44210</v>
      </c>
      <c r="C645" s="19" t="str">
        <f t="shared" si="148"/>
        <v>목</v>
      </c>
      <c r="E645" s="17" t="str">
        <f>INDEX(매칭테이블!C:C,MATCH(RD!G645,매칭테이블!D:D,0))</f>
        <v>샴푸</v>
      </c>
      <c r="F645" t="s">
        <v>91</v>
      </c>
      <c r="G645" t="s">
        <v>129</v>
      </c>
      <c r="H645">
        <v>8</v>
      </c>
      <c r="I645" s="17" t="str">
        <f>VLOOKUP(G645,매칭테이블!D:E,2,0)</f>
        <v>리바이탈 샴푸 3set</v>
      </c>
      <c r="J645">
        <v>201210</v>
      </c>
      <c r="L645" s="19">
        <f>VLOOKUP($P645,매칭테이블!$G:$J,2,0)*H645</f>
        <v>581040</v>
      </c>
      <c r="M645" s="19">
        <f>L645-L645*VLOOKUP($P645,매칭테이블!$G:$J,3,0)</f>
        <v>547049.16</v>
      </c>
      <c r="N645" s="19">
        <f>VLOOKUP($P645,매칭테이블!$G:$J,4,0)*H645</f>
        <v>72480</v>
      </c>
      <c r="O645" s="20">
        <f t="shared" si="149"/>
        <v>528218.18181818177</v>
      </c>
      <c r="P645" s="19" t="str">
        <f t="shared" si="141"/>
        <v>카페24샴푸라베나 리커버리 15 리바이탈 샴푸 [HAIR RÉ:COVERY 15 Revital Shampoo]제품선택=리바이탈 샴푸 3개 세트 10% 추가할인201210</v>
      </c>
    </row>
    <row r="646" spans="2:16" x14ac:dyDescent="0.3">
      <c r="B646" s="2">
        <v>44210</v>
      </c>
      <c r="C646" s="19" t="str">
        <f t="shared" si="148"/>
        <v>목</v>
      </c>
      <c r="E646" s="17" t="str">
        <f>INDEX(매칭테이블!C:C,MATCH(RD!G646,매칭테이블!D:D,0))</f>
        <v>트리트먼트</v>
      </c>
      <c r="F646" t="s">
        <v>91</v>
      </c>
      <c r="G646" t="s">
        <v>130</v>
      </c>
      <c r="H646">
        <v>15</v>
      </c>
      <c r="I646" s="17" t="str">
        <f>VLOOKUP(G646,매칭테이블!D:E,2,0)</f>
        <v>트리트먼트</v>
      </c>
      <c r="J646">
        <v>201210</v>
      </c>
      <c r="L646" s="19">
        <f>VLOOKUP($P646,매칭테이블!$G:$J,2,0)*H646</f>
        <v>390000</v>
      </c>
      <c r="M646" s="19">
        <f>L646-L646*VLOOKUP($P646,매칭테이블!$G:$J,3,0)</f>
        <v>367185</v>
      </c>
      <c r="N646" s="19">
        <f>VLOOKUP($P646,매칭테이블!$G:$J,4,0)*H646</f>
        <v>23955</v>
      </c>
      <c r="O646" s="20">
        <f t="shared" si="149"/>
        <v>354545.45454545453</v>
      </c>
      <c r="P646" s="19" t="str">
        <f t="shared" si="141"/>
        <v>카페24트리트먼트라베나 리커버리 15 헤어팩 트리트먼트 [HAIR RÉ:COVERY 15 Hairpack Treatment]제품선택=헤어 리커버리 15 헤어팩 트리트먼트201210</v>
      </c>
    </row>
    <row r="647" spans="2:16" x14ac:dyDescent="0.3">
      <c r="B647" s="2">
        <v>44210</v>
      </c>
      <c r="C647" s="19" t="str">
        <f t="shared" si="148"/>
        <v>목</v>
      </c>
      <c r="E647" s="17" t="str">
        <f>INDEX(매칭테이블!C:C,MATCH(RD!G647,매칭테이블!D:D,0))</f>
        <v>트리트먼트</v>
      </c>
      <c r="F647" t="s">
        <v>91</v>
      </c>
      <c r="G647" t="s">
        <v>131</v>
      </c>
      <c r="H647">
        <v>5</v>
      </c>
      <c r="I647" s="17" t="str">
        <f>VLOOKUP(G647,매칭테이블!D:E,2,0)</f>
        <v>트리트먼트 2set</v>
      </c>
      <c r="J647">
        <v>201210</v>
      </c>
      <c r="L647" s="19">
        <f>VLOOKUP($P647,매칭테이블!$G:$J,2,0)*H647</f>
        <v>247000</v>
      </c>
      <c r="M647" s="19">
        <f>L647-L647*VLOOKUP($P647,매칭테이블!$G:$J,3,0)</f>
        <v>232550.5</v>
      </c>
      <c r="N647" s="19">
        <f>VLOOKUP($P647,매칭테이블!$G:$J,4,0)*H647</f>
        <v>15970</v>
      </c>
      <c r="O647" s="20">
        <f t="shared" si="149"/>
        <v>224545.45454545453</v>
      </c>
      <c r="P647" s="19" t="str">
        <f t="shared" si="141"/>
        <v>카페24트리트먼트라베나 리커버리 15 헤어팩 트리트먼트 [HAIR RÉ:COVERY 15 Hairpack Treatment]제품선택=헤어팩 트리트먼트 2개 세트 5% 추가할인201210</v>
      </c>
    </row>
    <row r="648" spans="2:16" x14ac:dyDescent="0.3">
      <c r="B648" s="2">
        <v>44210</v>
      </c>
      <c r="C648" s="19" t="str">
        <f t="shared" si="148"/>
        <v>목</v>
      </c>
      <c r="E648" s="17" t="str">
        <f>INDEX(매칭테이블!C:C,MATCH(RD!G648,매칭테이블!D:D,0))</f>
        <v>트리트먼트</v>
      </c>
      <c r="F648" t="s">
        <v>91</v>
      </c>
      <c r="G648" t="s">
        <v>132</v>
      </c>
      <c r="H648">
        <v>2</v>
      </c>
      <c r="I648" s="17" t="str">
        <f>VLOOKUP(G648,매칭테이블!D:E,2,0)</f>
        <v>트리트먼트 3set</v>
      </c>
      <c r="J648">
        <v>201210</v>
      </c>
      <c r="L648" s="19">
        <f>VLOOKUP($P648,매칭테이블!$G:$J,2,0)*H648</f>
        <v>140400</v>
      </c>
      <c r="M648" s="19">
        <f>L648-L648*VLOOKUP($P648,매칭테이블!$G:$J,3,0)</f>
        <v>132186.6</v>
      </c>
      <c r="N648" s="19">
        <f>VLOOKUP($P648,매칭테이블!$G:$J,4,0)*H648</f>
        <v>9582</v>
      </c>
      <c r="O648" s="20">
        <f t="shared" si="149"/>
        <v>127636.36363636363</v>
      </c>
      <c r="P648" s="19" t="str">
        <f t="shared" si="141"/>
        <v>카페24트리트먼트라베나 리커버리 15 헤어팩 트리트먼트 [HAIR RÉ:COVERY 15 Hairpack Treatment]제품선택=헤어팩 트리트먼트 3개 세트 10% 추가할인201210</v>
      </c>
    </row>
    <row r="649" spans="2:16" x14ac:dyDescent="0.3">
      <c r="B649" s="2">
        <v>44210</v>
      </c>
      <c r="C649" s="19" t="str">
        <f t="shared" si="148"/>
        <v>목</v>
      </c>
      <c r="E649" s="17" t="str">
        <f>INDEX(매칭테이블!C:C,MATCH(RD!G649,매칭테이블!D:D,0))</f>
        <v>트리트먼트</v>
      </c>
      <c r="F649" t="s">
        <v>91</v>
      </c>
      <c r="G649" t="s">
        <v>133</v>
      </c>
      <c r="H649">
        <v>2</v>
      </c>
      <c r="I649" s="17" t="str">
        <f>VLOOKUP(G649,매칭테이블!D:E,2,0)</f>
        <v>트리트먼트+뉴트리셔스밤</v>
      </c>
      <c r="J649">
        <v>201210</v>
      </c>
      <c r="L649" s="19">
        <f>VLOOKUP($P649,매칭테이블!$G:$J,2,0)*H649</f>
        <v>96710</v>
      </c>
      <c r="M649" s="19">
        <f>L649-L649*VLOOKUP($P649,매칭테이블!$G:$J,3,0)</f>
        <v>91052.464999999997</v>
      </c>
      <c r="N649" s="19">
        <f>VLOOKUP($P649,매칭테이블!$G:$J,4,0)*H649</f>
        <v>6354</v>
      </c>
      <c r="O649" s="20">
        <f t="shared" si="149"/>
        <v>87918.181818181809</v>
      </c>
      <c r="P649" s="19" t="str">
        <f t="shared" si="141"/>
        <v>카페24트리트먼트라베나 리커버리 15 헤어팩 트리트먼트 [HAIR RÉ:COVERY 15 Hairpack Treatment]제품선택=헤어팩 트리트먼트 1개 + 뉴트리셔스밤 1개 세트 5% 추가할인201210</v>
      </c>
    </row>
    <row r="650" spans="2:16" x14ac:dyDescent="0.3">
      <c r="B650" s="2">
        <v>44211</v>
      </c>
      <c r="C650" s="19" t="str">
        <f t="shared" ref="C650" si="150">TEXT(B650,"aaa")</f>
        <v>금</v>
      </c>
      <c r="E650" s="17" t="str">
        <f>INDEX(매칭테이블!C:C,MATCH(RD!G650,매칭테이블!D:D,0))</f>
        <v>뉴트리셔스밤</v>
      </c>
      <c r="F650" t="s">
        <v>91</v>
      </c>
      <c r="G650" t="s">
        <v>124</v>
      </c>
      <c r="H650">
        <v>8</v>
      </c>
      <c r="I650" s="17" t="str">
        <f>VLOOKUP(G650,매칭테이블!D:E,2,0)</f>
        <v>뉴트리셔스밤</v>
      </c>
      <c r="J650">
        <v>201210</v>
      </c>
      <c r="L650" s="19">
        <f>VLOOKUP($P650,매칭테이블!$G:$J,2,0)*H650</f>
        <v>199200</v>
      </c>
      <c r="M650" s="19">
        <f>L650-L650*VLOOKUP($P650,매칭테이블!$G:$J,3,0)</f>
        <v>187546.8</v>
      </c>
      <c r="N650" s="19">
        <f>VLOOKUP($P650,매칭테이블!$G:$J,4,0)*H650</f>
        <v>12640</v>
      </c>
      <c r="O650" s="20">
        <f t="shared" ref="O650" si="151">L650/1.1</f>
        <v>181090.90909090909</v>
      </c>
      <c r="P650" s="19" t="str">
        <f t="shared" si="141"/>
        <v>카페24뉴트리셔스밤라베나 리커버리 15 뉴트리셔스 밤 [HAIR RÉ:COVERY 15 Nutritious Balm]제품선택=헤어 리커버리 15 뉴트리셔스 밤201210</v>
      </c>
    </row>
    <row r="651" spans="2:16" x14ac:dyDescent="0.3">
      <c r="B651" s="2">
        <v>44211</v>
      </c>
      <c r="C651" s="19" t="str">
        <f t="shared" ref="C651:C661" si="152">TEXT(B651,"aaa")</f>
        <v>금</v>
      </c>
      <c r="E651" s="17" t="str">
        <f>INDEX(매칭테이블!C:C,MATCH(RD!G651,매칭테이블!D:D,0))</f>
        <v>뉴트리셔스밤</v>
      </c>
      <c r="F651" t="s">
        <v>91</v>
      </c>
      <c r="G651" t="s">
        <v>125</v>
      </c>
      <c r="H651">
        <v>4</v>
      </c>
      <c r="I651" s="17" t="str">
        <f>VLOOKUP(G651,매칭테이블!D:E,2,0)</f>
        <v>뉴트리셔스밤 2set</v>
      </c>
      <c r="J651">
        <v>201210</v>
      </c>
      <c r="L651" s="19">
        <f>VLOOKUP($P651,매칭테이블!$G:$J,2,0)*H651</f>
        <v>189240</v>
      </c>
      <c r="M651" s="19">
        <f>L651-L651*VLOOKUP($P651,매칭테이블!$G:$J,3,0)</f>
        <v>178169.46</v>
      </c>
      <c r="N651" s="19">
        <f>VLOOKUP($P651,매칭테이블!$G:$J,4,0)*H651</f>
        <v>12640</v>
      </c>
      <c r="O651" s="20">
        <f t="shared" ref="O651:O661" si="153">L651/1.1</f>
        <v>172036.36363636362</v>
      </c>
      <c r="P651" s="19" t="str">
        <f t="shared" si="141"/>
        <v>카페24뉴트리셔스밤라베나 리커버리 15 뉴트리셔스 밤 [HAIR RÉ:COVERY 15 Nutritious Balm]제품선택=뉴트리셔스 밤 2개 세트 5% 추가할인201210</v>
      </c>
    </row>
    <row r="652" spans="2:16" x14ac:dyDescent="0.3">
      <c r="B652" s="2">
        <v>44211</v>
      </c>
      <c r="C652" s="19" t="str">
        <f t="shared" si="152"/>
        <v>금</v>
      </c>
      <c r="E652" s="17" t="str">
        <f>INDEX(매칭테이블!C:C,MATCH(RD!G652,매칭테이블!D:D,0))</f>
        <v>뉴트리셔스밤</v>
      </c>
      <c r="F652" t="s">
        <v>91</v>
      </c>
      <c r="G652" t="s">
        <v>134</v>
      </c>
      <c r="H652">
        <v>2</v>
      </c>
      <c r="I652" s="17" t="str">
        <f>VLOOKUP(G652,매칭테이블!D:E,2,0)</f>
        <v>뉴트리셔스밤 3set</v>
      </c>
      <c r="J652">
        <v>201210</v>
      </c>
      <c r="L652" s="19">
        <f>VLOOKUP($P652,매칭테이블!$G:$J,2,0)*H652</f>
        <v>125736</v>
      </c>
      <c r="M652" s="19">
        <f>L652-L652*VLOOKUP($P652,매칭테이블!$G:$J,3,0)</f>
        <v>118380.444</v>
      </c>
      <c r="N652" s="19">
        <f>VLOOKUP($P652,매칭테이블!$G:$J,4,0)*H652</f>
        <v>9480</v>
      </c>
      <c r="O652" s="20">
        <f t="shared" si="153"/>
        <v>114305.45454545453</v>
      </c>
      <c r="P652" s="19" t="str">
        <f t="shared" si="141"/>
        <v>카페24뉴트리셔스밤라베나 리커버리 15 뉴트리셔스 밤 [HAIR RÉ:COVERY 15 Nutritious Balm]제품선택=뉴트리셔스 밤 3개 세트 10% 추가할인201210</v>
      </c>
    </row>
    <row r="653" spans="2:16" x14ac:dyDescent="0.3">
      <c r="B653" s="2">
        <v>44211</v>
      </c>
      <c r="C653" s="19" t="str">
        <f t="shared" si="152"/>
        <v>금</v>
      </c>
      <c r="E653" s="17" t="str">
        <f>INDEX(매칭테이블!C:C,MATCH(RD!G653,매칭테이블!D:D,0))</f>
        <v>뉴트리셔스밤</v>
      </c>
      <c r="F653" t="s">
        <v>91</v>
      </c>
      <c r="G653" t="s">
        <v>126</v>
      </c>
      <c r="H653">
        <v>2</v>
      </c>
      <c r="I653" s="17" t="str">
        <f>VLOOKUP(G653,매칭테이블!D:E,2,0)</f>
        <v>트리트먼트+뉴트리셔스밤</v>
      </c>
      <c r="J653">
        <v>201210</v>
      </c>
      <c r="L653" s="19">
        <f>VLOOKUP($P653,매칭테이블!$G:$J,2,0)*H653</f>
        <v>96710</v>
      </c>
      <c r="M653" s="19">
        <f>L653-L653*VLOOKUP($P653,매칭테이블!$G:$J,3,0)</f>
        <v>91052.464999999997</v>
      </c>
      <c r="N653" s="19">
        <f>VLOOKUP($P653,매칭테이블!$G:$J,4,0)*H653</f>
        <v>6354</v>
      </c>
      <c r="O653" s="20">
        <f t="shared" si="153"/>
        <v>87918.181818181809</v>
      </c>
      <c r="P653" s="19" t="str">
        <f t="shared" si="141"/>
        <v>카페24뉴트리셔스밤라베나 리커버리 15 뉴트리셔스 밤 [HAIR RÉ:COVERY 15 Nutritious Balm]제품선택=뉴트리셔스밤 1개 + 헤어팩 트리트먼트 1개 세트 5%추가할인201210</v>
      </c>
    </row>
    <row r="654" spans="2:16" x14ac:dyDescent="0.3">
      <c r="B654" s="2">
        <v>44211</v>
      </c>
      <c r="C654" s="19" t="str">
        <f t="shared" si="152"/>
        <v>금</v>
      </c>
      <c r="E654" s="17" t="str">
        <f>INDEX(매칭테이블!C:C,MATCH(RD!G654,매칭테이블!D:D,0))</f>
        <v>샴푸</v>
      </c>
      <c r="F654" t="s">
        <v>91</v>
      </c>
      <c r="G654" t="s">
        <v>127</v>
      </c>
      <c r="H654">
        <v>310</v>
      </c>
      <c r="I654" s="17" t="str">
        <f>VLOOKUP(G654,매칭테이블!D:E,2,0)</f>
        <v>리바이탈 샴푸</v>
      </c>
      <c r="J654">
        <v>201210</v>
      </c>
      <c r="L654" s="19">
        <f>VLOOKUP($P654,매칭테이블!$G:$J,2,0)*H654</f>
        <v>8339000</v>
      </c>
      <c r="M654" s="19">
        <f>L654-L654*VLOOKUP($P654,매칭테이블!$G:$J,3,0)</f>
        <v>7851168.5</v>
      </c>
      <c r="N654" s="19">
        <f>VLOOKUP($P654,매칭테이블!$G:$J,4,0)*H654</f>
        <v>936200</v>
      </c>
      <c r="O654" s="20">
        <f t="shared" si="153"/>
        <v>7580909.0909090899</v>
      </c>
      <c r="P654" s="19" t="str">
        <f t="shared" si="141"/>
        <v>카페24샴푸라베나 리커버리 15 리바이탈 샴푸 [HAIR RÉ:COVERY 15 Revital Shampoo]제품선택=헤어 리커버리 15 리바이탈 샴푸 - 500ml201210</v>
      </c>
    </row>
    <row r="655" spans="2:16" x14ac:dyDescent="0.3">
      <c r="B655" s="2">
        <v>44211</v>
      </c>
      <c r="C655" s="19" t="str">
        <f t="shared" si="152"/>
        <v>금</v>
      </c>
      <c r="E655" s="17" t="str">
        <f>INDEX(매칭테이블!C:C,MATCH(RD!G655,매칭테이블!D:D,0))</f>
        <v>샴푸</v>
      </c>
      <c r="F655" t="s">
        <v>91</v>
      </c>
      <c r="G655" t="s">
        <v>128</v>
      </c>
      <c r="H655">
        <v>122</v>
      </c>
      <c r="I655" s="17" t="str">
        <f>VLOOKUP(G655,매칭테이블!D:E,2,0)</f>
        <v>리바이탈 샴푸 2set</v>
      </c>
      <c r="J655">
        <v>201210</v>
      </c>
      <c r="L655" s="19">
        <f>VLOOKUP($P655,매칭테이블!$G:$J,2,0)*H655</f>
        <v>6235420</v>
      </c>
      <c r="M655" s="19">
        <f>L655-L655*VLOOKUP($P655,매칭테이블!$G:$J,3,0)</f>
        <v>5870647.9299999997</v>
      </c>
      <c r="N655" s="19">
        <f>VLOOKUP($P655,매칭테이블!$G:$J,4,0)*H655</f>
        <v>736880</v>
      </c>
      <c r="O655" s="20">
        <f t="shared" si="153"/>
        <v>5668563.6363636358</v>
      </c>
      <c r="P655" s="19" t="str">
        <f t="shared" si="141"/>
        <v>카페24샴푸라베나 리커버리 15 리바이탈 샴푸 [HAIR RÉ:COVERY 15 Revital Shampoo]제품선택=리바이탈 샴푸 2개 세트 5%추가할인201210</v>
      </c>
    </row>
    <row r="656" spans="2:16" x14ac:dyDescent="0.3">
      <c r="B656" s="2">
        <v>44211</v>
      </c>
      <c r="C656" s="19" t="str">
        <f t="shared" si="152"/>
        <v>금</v>
      </c>
      <c r="E656" s="17" t="str">
        <f>INDEX(매칭테이블!C:C,MATCH(RD!G656,매칭테이블!D:D,0))</f>
        <v>샴푸</v>
      </c>
      <c r="F656" t="s">
        <v>91</v>
      </c>
      <c r="G656" t="s">
        <v>129</v>
      </c>
      <c r="H656">
        <v>50</v>
      </c>
      <c r="I656" s="17" t="str">
        <f>VLOOKUP(G656,매칭테이블!D:E,2,0)</f>
        <v>리바이탈 샴푸 3set</v>
      </c>
      <c r="J656">
        <v>201210</v>
      </c>
      <c r="L656" s="19">
        <f>VLOOKUP($P656,매칭테이블!$G:$J,2,0)*H656</f>
        <v>3631500</v>
      </c>
      <c r="M656" s="19">
        <f>L656-L656*VLOOKUP($P656,매칭테이블!$G:$J,3,0)</f>
        <v>3419057.25</v>
      </c>
      <c r="N656" s="19">
        <f>VLOOKUP($P656,매칭테이블!$G:$J,4,0)*H656</f>
        <v>453000</v>
      </c>
      <c r="O656" s="20">
        <f t="shared" si="153"/>
        <v>3301363.6363636362</v>
      </c>
      <c r="P656" s="19" t="str">
        <f t="shared" si="141"/>
        <v>카페24샴푸라베나 리커버리 15 리바이탈 샴푸 [HAIR RÉ:COVERY 15 Revital Shampoo]제품선택=리바이탈 샴푸 3개 세트 10% 추가할인201210</v>
      </c>
    </row>
    <row r="657" spans="2:16" x14ac:dyDescent="0.3">
      <c r="B657" s="2">
        <v>44211</v>
      </c>
      <c r="C657" s="19" t="str">
        <f t="shared" si="152"/>
        <v>금</v>
      </c>
      <c r="E657" s="17" t="str">
        <f>INDEX(매칭테이블!C:C,MATCH(RD!G657,매칭테이블!D:D,0))</f>
        <v>트리트먼트</v>
      </c>
      <c r="F657" t="s">
        <v>91</v>
      </c>
      <c r="G657" t="s">
        <v>130</v>
      </c>
      <c r="H657">
        <v>16</v>
      </c>
      <c r="I657" s="17" t="str">
        <f>VLOOKUP(G657,매칭테이블!D:E,2,0)</f>
        <v>트리트먼트</v>
      </c>
      <c r="J657">
        <v>201210</v>
      </c>
      <c r="L657" s="19">
        <f>VLOOKUP($P657,매칭테이블!$G:$J,2,0)*H657</f>
        <v>416000</v>
      </c>
      <c r="M657" s="19">
        <f>L657-L657*VLOOKUP($P657,매칭테이블!$G:$J,3,0)</f>
        <v>391664</v>
      </c>
      <c r="N657" s="19">
        <f>VLOOKUP($P657,매칭테이블!$G:$J,4,0)*H657</f>
        <v>25552</v>
      </c>
      <c r="O657" s="20">
        <f t="shared" si="153"/>
        <v>378181.81818181818</v>
      </c>
      <c r="P657" s="19" t="str">
        <f t="shared" si="141"/>
        <v>카페24트리트먼트라베나 리커버리 15 헤어팩 트리트먼트 [HAIR RÉ:COVERY 15 Hairpack Treatment]제품선택=헤어 리커버리 15 헤어팩 트리트먼트201210</v>
      </c>
    </row>
    <row r="658" spans="2:16" x14ac:dyDescent="0.3">
      <c r="B658" s="2">
        <v>44211</v>
      </c>
      <c r="C658" s="19" t="str">
        <f t="shared" si="152"/>
        <v>금</v>
      </c>
      <c r="E658" s="17" t="str">
        <f>INDEX(매칭테이블!C:C,MATCH(RD!G658,매칭테이블!D:D,0))</f>
        <v>트리트먼트</v>
      </c>
      <c r="F658" t="s">
        <v>91</v>
      </c>
      <c r="G658" t="s">
        <v>131</v>
      </c>
      <c r="H658">
        <v>4</v>
      </c>
      <c r="I658" s="17" t="str">
        <f>VLOOKUP(G658,매칭테이블!D:E,2,0)</f>
        <v>트리트먼트 2set</v>
      </c>
      <c r="J658">
        <v>201210</v>
      </c>
      <c r="L658" s="19">
        <f>VLOOKUP($P658,매칭테이블!$G:$J,2,0)*H658</f>
        <v>197600</v>
      </c>
      <c r="M658" s="19">
        <f>L658-L658*VLOOKUP($P658,매칭테이블!$G:$J,3,0)</f>
        <v>186040.4</v>
      </c>
      <c r="N658" s="19">
        <f>VLOOKUP($P658,매칭테이블!$G:$J,4,0)*H658</f>
        <v>12776</v>
      </c>
      <c r="O658" s="20">
        <f t="shared" si="153"/>
        <v>179636.36363636362</v>
      </c>
      <c r="P658" s="19" t="str">
        <f t="shared" si="141"/>
        <v>카페24트리트먼트라베나 리커버리 15 헤어팩 트리트먼트 [HAIR RÉ:COVERY 15 Hairpack Treatment]제품선택=헤어팩 트리트먼트 2개 세트 5% 추가할인201210</v>
      </c>
    </row>
    <row r="659" spans="2:16" x14ac:dyDescent="0.3">
      <c r="B659" s="2">
        <v>44211</v>
      </c>
      <c r="C659" s="19" t="str">
        <f t="shared" si="152"/>
        <v>금</v>
      </c>
      <c r="E659" s="17" t="str">
        <f>INDEX(매칭테이블!C:C,MATCH(RD!G659,매칭테이블!D:D,0))</f>
        <v>트리트먼트</v>
      </c>
      <c r="F659" t="s">
        <v>91</v>
      </c>
      <c r="G659" t="s">
        <v>132</v>
      </c>
      <c r="H659">
        <v>2</v>
      </c>
      <c r="I659" s="17" t="str">
        <f>VLOOKUP(G659,매칭테이블!D:E,2,0)</f>
        <v>트리트먼트 3set</v>
      </c>
      <c r="J659">
        <v>201210</v>
      </c>
      <c r="L659" s="19">
        <f>VLOOKUP($P659,매칭테이블!$G:$J,2,0)*H659</f>
        <v>140400</v>
      </c>
      <c r="M659" s="19">
        <f>L659-L659*VLOOKUP($P659,매칭테이블!$G:$J,3,0)</f>
        <v>132186.6</v>
      </c>
      <c r="N659" s="19">
        <f>VLOOKUP($P659,매칭테이블!$G:$J,4,0)*H659</f>
        <v>9582</v>
      </c>
      <c r="O659" s="20">
        <f t="shared" si="153"/>
        <v>127636.36363636363</v>
      </c>
      <c r="P659" s="19" t="str">
        <f t="shared" si="141"/>
        <v>카페24트리트먼트라베나 리커버리 15 헤어팩 트리트먼트 [HAIR RÉ:COVERY 15 Hairpack Treatment]제품선택=헤어팩 트리트먼트 3개 세트 10% 추가할인201210</v>
      </c>
    </row>
    <row r="660" spans="2:16" x14ac:dyDescent="0.3">
      <c r="B660" s="2">
        <v>44211</v>
      </c>
      <c r="C660" s="19" t="str">
        <f t="shared" si="152"/>
        <v>금</v>
      </c>
      <c r="E660" s="17" t="str">
        <f>INDEX(매칭테이블!C:C,MATCH(RD!G660,매칭테이블!D:D,0))</f>
        <v>트리트먼트</v>
      </c>
      <c r="F660" t="s">
        <v>91</v>
      </c>
      <c r="G660" t="s">
        <v>133</v>
      </c>
      <c r="H660">
        <v>3</v>
      </c>
      <c r="I660" s="17" t="str">
        <f>VLOOKUP(G660,매칭테이블!D:E,2,0)</f>
        <v>트리트먼트+뉴트리셔스밤</v>
      </c>
      <c r="J660">
        <v>201210</v>
      </c>
      <c r="L660" s="19">
        <f>VLOOKUP($P660,매칭테이블!$G:$J,2,0)*H660</f>
        <v>145065</v>
      </c>
      <c r="M660" s="19">
        <f>L660-L660*VLOOKUP($P660,매칭테이블!$G:$J,3,0)</f>
        <v>136578.69750000001</v>
      </c>
      <c r="N660" s="19">
        <f>VLOOKUP($P660,매칭테이블!$G:$J,4,0)*H660</f>
        <v>9531</v>
      </c>
      <c r="O660" s="20">
        <f t="shared" si="153"/>
        <v>131877.27272727271</v>
      </c>
      <c r="P660" s="19" t="str">
        <f t="shared" si="141"/>
        <v>카페24트리트먼트라베나 리커버리 15 헤어팩 트리트먼트 [HAIR RÉ:COVERY 15 Hairpack Treatment]제품선택=헤어팩 트리트먼트 1개 + 뉴트리셔스밤 1개 세트 5% 추가할인201210</v>
      </c>
    </row>
    <row r="661" spans="2:16" x14ac:dyDescent="0.3">
      <c r="B661" s="2">
        <v>44211</v>
      </c>
      <c r="C661" s="19" t="str">
        <f t="shared" si="152"/>
        <v>금</v>
      </c>
      <c r="E661" s="17" t="str">
        <f>INDEX(매칭테이블!C:C,MATCH(RD!G661,매칭테이블!D:D,0))</f>
        <v>샴푸</v>
      </c>
      <c r="F661" t="s">
        <v>91</v>
      </c>
      <c r="G661" t="s">
        <v>123</v>
      </c>
      <c r="H661">
        <v>4</v>
      </c>
      <c r="I661" s="17" t="str">
        <f>VLOOKUP(G661,매칭테이블!D:E,2,0)</f>
        <v>리바이탈 샴푸</v>
      </c>
      <c r="J661">
        <v>201210</v>
      </c>
      <c r="L661" s="19">
        <f>VLOOKUP($P661,매칭테이블!$G:$J,2,0)*H661</f>
        <v>107600</v>
      </c>
      <c r="M661" s="19">
        <f>L661-L661*VLOOKUP($P661,매칭테이블!$G:$J,3,0)</f>
        <v>101305.4</v>
      </c>
      <c r="N661" s="19">
        <f>VLOOKUP($P661,매칭테이블!$G:$J,4,0)*H661</f>
        <v>12080</v>
      </c>
      <c r="O661" s="20">
        <f t="shared" si="153"/>
        <v>97818.181818181809</v>
      </c>
      <c r="P661" s="19" t="str">
        <f t="shared" si="141"/>
        <v>카페24샴푸헤어 리커버리 15 리바이탈 샴푸201210</v>
      </c>
    </row>
    <row r="662" spans="2:16" x14ac:dyDescent="0.3">
      <c r="B662" s="2">
        <v>44212</v>
      </c>
      <c r="C662" s="19" t="str">
        <f t="shared" ref="C662" si="154">TEXT(B662,"aaa")</f>
        <v>토</v>
      </c>
      <c r="E662" s="17" t="str">
        <f>INDEX(매칭테이블!C:C,MATCH(RD!G662,매칭테이블!D:D,0))</f>
        <v>트리트먼트</v>
      </c>
      <c r="F662" t="s">
        <v>91</v>
      </c>
      <c r="G662" t="s">
        <v>115</v>
      </c>
      <c r="H662">
        <v>1</v>
      </c>
      <c r="I662" s="17" t="str">
        <f>VLOOKUP(G662,매칭테이블!D:E,2,0)</f>
        <v>트리트먼트</v>
      </c>
      <c r="J662">
        <v>201210</v>
      </c>
      <c r="L662" s="19">
        <f>VLOOKUP($P662,매칭테이블!$G:$J,2,0)*H662</f>
        <v>26000</v>
      </c>
      <c r="M662" s="19">
        <f>L662-L662*VLOOKUP($P662,매칭테이블!$G:$J,3,0)</f>
        <v>24479</v>
      </c>
      <c r="N662" s="19">
        <f>VLOOKUP($P662,매칭테이블!$G:$J,4,0)*H662</f>
        <v>1597</v>
      </c>
      <c r="O662" s="20">
        <f t="shared" ref="O662" si="155">L662/1.1</f>
        <v>23636.363636363636</v>
      </c>
      <c r="P662" s="19" t="str">
        <f t="shared" si="141"/>
        <v>카페24트리트먼트HAIR RÉ:COVERY 15 Hairpack Treatment [라베나 리커버리 15 헤어팩 트리트먼트]제품선택=헤어 리커버리 15 헤어팩 트리트먼트201210</v>
      </c>
    </row>
    <row r="663" spans="2:16" x14ac:dyDescent="0.3">
      <c r="B663" s="2">
        <v>44212</v>
      </c>
      <c r="C663" s="19" t="str">
        <f t="shared" ref="C663:C673" si="156">TEXT(B663,"aaa")</f>
        <v>토</v>
      </c>
      <c r="E663" s="17" t="str">
        <f>INDEX(매칭테이블!C:C,MATCH(RD!G663,매칭테이블!D:D,0))</f>
        <v>뉴트리셔스밤</v>
      </c>
      <c r="F663" t="s">
        <v>91</v>
      </c>
      <c r="G663" t="s">
        <v>124</v>
      </c>
      <c r="H663">
        <v>10</v>
      </c>
      <c r="I663" s="17" t="str">
        <f>VLOOKUP(G663,매칭테이블!D:E,2,0)</f>
        <v>뉴트리셔스밤</v>
      </c>
      <c r="J663">
        <v>201210</v>
      </c>
      <c r="L663" s="19">
        <f>VLOOKUP($P663,매칭테이블!$G:$J,2,0)*H663</f>
        <v>249000</v>
      </c>
      <c r="M663" s="19">
        <f>L663-L663*VLOOKUP($P663,매칭테이블!$G:$J,3,0)</f>
        <v>234433.5</v>
      </c>
      <c r="N663" s="19">
        <f>VLOOKUP($P663,매칭테이블!$G:$J,4,0)*H663</f>
        <v>15800</v>
      </c>
      <c r="O663" s="20">
        <f t="shared" ref="O663:O673" si="157">L663/1.1</f>
        <v>226363.63636363635</v>
      </c>
      <c r="P663" s="19" t="str">
        <f t="shared" si="141"/>
        <v>카페24뉴트리셔스밤라베나 리커버리 15 뉴트리셔스 밤 [HAIR RÉ:COVERY 15 Nutritious Balm]제품선택=헤어 리커버리 15 뉴트리셔스 밤201210</v>
      </c>
    </row>
    <row r="664" spans="2:16" x14ac:dyDescent="0.3">
      <c r="B664" s="2">
        <v>44212</v>
      </c>
      <c r="C664" s="19" t="str">
        <f t="shared" si="156"/>
        <v>토</v>
      </c>
      <c r="E664" s="17" t="str">
        <f>INDEX(매칭테이블!C:C,MATCH(RD!G664,매칭테이블!D:D,0))</f>
        <v>뉴트리셔스밤</v>
      </c>
      <c r="F664" t="s">
        <v>91</v>
      </c>
      <c r="G664" t="s">
        <v>125</v>
      </c>
      <c r="H664">
        <v>2</v>
      </c>
      <c r="I664" s="17" t="str">
        <f>VLOOKUP(G664,매칭테이블!D:E,2,0)</f>
        <v>뉴트리셔스밤 2set</v>
      </c>
      <c r="J664">
        <v>201210</v>
      </c>
      <c r="L664" s="19">
        <f>VLOOKUP($P664,매칭테이블!$G:$J,2,0)*H664</f>
        <v>94620</v>
      </c>
      <c r="M664" s="19">
        <f>L664-L664*VLOOKUP($P664,매칭테이블!$G:$J,3,0)</f>
        <v>89084.73</v>
      </c>
      <c r="N664" s="19">
        <f>VLOOKUP($P664,매칭테이블!$G:$J,4,0)*H664</f>
        <v>6320</v>
      </c>
      <c r="O664" s="20">
        <f t="shared" si="157"/>
        <v>86018.181818181809</v>
      </c>
      <c r="P664" s="19" t="str">
        <f t="shared" si="141"/>
        <v>카페24뉴트리셔스밤라베나 리커버리 15 뉴트리셔스 밤 [HAIR RÉ:COVERY 15 Nutritious Balm]제품선택=뉴트리셔스 밤 2개 세트 5% 추가할인201210</v>
      </c>
    </row>
    <row r="665" spans="2:16" x14ac:dyDescent="0.3">
      <c r="B665" s="2">
        <v>44212</v>
      </c>
      <c r="C665" s="19" t="str">
        <f t="shared" si="156"/>
        <v>토</v>
      </c>
      <c r="E665" s="17" t="str">
        <f>INDEX(매칭테이블!C:C,MATCH(RD!G665,매칭테이블!D:D,0))</f>
        <v>뉴트리셔스밤</v>
      </c>
      <c r="F665" t="s">
        <v>91</v>
      </c>
      <c r="G665" t="s">
        <v>134</v>
      </c>
      <c r="H665">
        <v>1</v>
      </c>
      <c r="I665" s="17" t="str">
        <f>VLOOKUP(G665,매칭테이블!D:E,2,0)</f>
        <v>뉴트리셔스밤 3set</v>
      </c>
      <c r="J665">
        <v>201210</v>
      </c>
      <c r="L665" s="19">
        <f>VLOOKUP($P665,매칭테이블!$G:$J,2,0)*H665</f>
        <v>62868</v>
      </c>
      <c r="M665" s="19">
        <f>L665-L665*VLOOKUP($P665,매칭테이블!$G:$J,3,0)</f>
        <v>59190.222000000002</v>
      </c>
      <c r="N665" s="19">
        <f>VLOOKUP($P665,매칭테이블!$G:$J,4,0)*H665</f>
        <v>4740</v>
      </c>
      <c r="O665" s="20">
        <f t="shared" si="157"/>
        <v>57152.727272727265</v>
      </c>
      <c r="P665" s="19" t="str">
        <f t="shared" si="141"/>
        <v>카페24뉴트리셔스밤라베나 리커버리 15 뉴트리셔스 밤 [HAIR RÉ:COVERY 15 Nutritious Balm]제품선택=뉴트리셔스 밤 3개 세트 10% 추가할인201210</v>
      </c>
    </row>
    <row r="666" spans="2:16" x14ac:dyDescent="0.3">
      <c r="B666" s="2">
        <v>44212</v>
      </c>
      <c r="C666" s="19" t="str">
        <f t="shared" si="156"/>
        <v>토</v>
      </c>
      <c r="E666" s="17" t="str">
        <f>INDEX(매칭테이블!C:C,MATCH(RD!G666,매칭테이블!D:D,0))</f>
        <v>뉴트리셔스밤</v>
      </c>
      <c r="F666" t="s">
        <v>91</v>
      </c>
      <c r="G666" t="s">
        <v>126</v>
      </c>
      <c r="H666">
        <v>2</v>
      </c>
      <c r="I666" s="17" t="str">
        <f>VLOOKUP(G666,매칭테이블!D:E,2,0)</f>
        <v>트리트먼트+뉴트리셔스밤</v>
      </c>
      <c r="J666">
        <v>201210</v>
      </c>
      <c r="L666" s="19">
        <f>VLOOKUP($P666,매칭테이블!$G:$J,2,0)*H666</f>
        <v>96710</v>
      </c>
      <c r="M666" s="19">
        <f>L666-L666*VLOOKUP($P666,매칭테이블!$G:$J,3,0)</f>
        <v>91052.464999999997</v>
      </c>
      <c r="N666" s="19">
        <f>VLOOKUP($P666,매칭테이블!$G:$J,4,0)*H666</f>
        <v>6354</v>
      </c>
      <c r="O666" s="20">
        <f t="shared" si="157"/>
        <v>87918.181818181809</v>
      </c>
      <c r="P666" s="19" t="str">
        <f t="shared" si="141"/>
        <v>카페24뉴트리셔스밤라베나 리커버리 15 뉴트리셔스 밤 [HAIR RÉ:COVERY 15 Nutritious Balm]제품선택=뉴트리셔스밤 1개 + 헤어팩 트리트먼트 1개 세트 5%추가할인201210</v>
      </c>
    </row>
    <row r="667" spans="2:16" x14ac:dyDescent="0.3">
      <c r="B667" s="2">
        <v>44212</v>
      </c>
      <c r="C667" s="19" t="str">
        <f t="shared" si="156"/>
        <v>토</v>
      </c>
      <c r="E667" s="17" t="str">
        <f>INDEX(매칭테이블!C:C,MATCH(RD!G667,매칭테이블!D:D,0))</f>
        <v>샴푸</v>
      </c>
      <c r="F667" t="s">
        <v>91</v>
      </c>
      <c r="G667" t="s">
        <v>127</v>
      </c>
      <c r="H667">
        <v>73</v>
      </c>
      <c r="I667" s="17" t="str">
        <f>VLOOKUP(G667,매칭테이블!D:E,2,0)</f>
        <v>리바이탈 샴푸</v>
      </c>
      <c r="J667">
        <v>201210</v>
      </c>
      <c r="L667" s="19">
        <f>VLOOKUP($P667,매칭테이블!$G:$J,2,0)*H667</f>
        <v>1963700</v>
      </c>
      <c r="M667" s="19">
        <f>L667-L667*VLOOKUP($P667,매칭테이블!$G:$J,3,0)</f>
        <v>1848823.55</v>
      </c>
      <c r="N667" s="19">
        <f>VLOOKUP($P667,매칭테이블!$G:$J,4,0)*H667</f>
        <v>220460</v>
      </c>
      <c r="O667" s="20">
        <f t="shared" si="157"/>
        <v>1785181.8181818181</v>
      </c>
      <c r="P667" s="19" t="str">
        <f t="shared" si="141"/>
        <v>카페24샴푸라베나 리커버리 15 리바이탈 샴푸 [HAIR RÉ:COVERY 15 Revital Shampoo]제품선택=헤어 리커버리 15 리바이탈 샴푸 - 500ml201210</v>
      </c>
    </row>
    <row r="668" spans="2:16" x14ac:dyDescent="0.3">
      <c r="B668" s="2">
        <v>44212</v>
      </c>
      <c r="C668" s="19" t="str">
        <f t="shared" si="156"/>
        <v>토</v>
      </c>
      <c r="E668" s="17" t="str">
        <f>INDEX(매칭테이블!C:C,MATCH(RD!G668,매칭테이블!D:D,0))</f>
        <v>샴푸</v>
      </c>
      <c r="F668" t="s">
        <v>91</v>
      </c>
      <c r="G668" t="s">
        <v>128</v>
      </c>
      <c r="H668">
        <v>18</v>
      </c>
      <c r="I668" s="17" t="str">
        <f>VLOOKUP(G668,매칭테이블!D:E,2,0)</f>
        <v>리바이탈 샴푸 2set</v>
      </c>
      <c r="J668">
        <v>201210</v>
      </c>
      <c r="L668" s="19">
        <f>VLOOKUP($P668,매칭테이블!$G:$J,2,0)*H668</f>
        <v>919980</v>
      </c>
      <c r="M668" s="19">
        <f>L668-L668*VLOOKUP($P668,매칭테이블!$G:$J,3,0)</f>
        <v>866161.17</v>
      </c>
      <c r="N668" s="19">
        <f>VLOOKUP($P668,매칭테이블!$G:$J,4,0)*H668</f>
        <v>108720</v>
      </c>
      <c r="O668" s="20">
        <f t="shared" si="157"/>
        <v>836345.45454545447</v>
      </c>
      <c r="P668" s="19" t="str">
        <f t="shared" si="141"/>
        <v>카페24샴푸라베나 리커버리 15 리바이탈 샴푸 [HAIR RÉ:COVERY 15 Revital Shampoo]제품선택=리바이탈 샴푸 2개 세트 5%추가할인201210</v>
      </c>
    </row>
    <row r="669" spans="2:16" x14ac:dyDescent="0.3">
      <c r="B669" s="2">
        <v>44212</v>
      </c>
      <c r="C669" s="19" t="str">
        <f t="shared" si="156"/>
        <v>토</v>
      </c>
      <c r="E669" s="17" t="str">
        <f>INDEX(매칭테이블!C:C,MATCH(RD!G669,매칭테이블!D:D,0))</f>
        <v>샴푸</v>
      </c>
      <c r="F669" t="s">
        <v>91</v>
      </c>
      <c r="G669" t="s">
        <v>129</v>
      </c>
      <c r="H669">
        <v>7</v>
      </c>
      <c r="I669" s="17" t="str">
        <f>VLOOKUP(G669,매칭테이블!D:E,2,0)</f>
        <v>리바이탈 샴푸 3set</v>
      </c>
      <c r="J669">
        <v>201210</v>
      </c>
      <c r="L669" s="19">
        <f>VLOOKUP($P669,매칭테이블!$G:$J,2,0)*H669</f>
        <v>508410</v>
      </c>
      <c r="M669" s="19">
        <f>L669-L669*VLOOKUP($P669,매칭테이블!$G:$J,3,0)</f>
        <v>478668.01500000001</v>
      </c>
      <c r="N669" s="19">
        <f>VLOOKUP($P669,매칭테이블!$G:$J,4,0)*H669</f>
        <v>63420</v>
      </c>
      <c r="O669" s="20">
        <f t="shared" si="157"/>
        <v>462190.90909090906</v>
      </c>
      <c r="P669" s="19" t="str">
        <f t="shared" si="141"/>
        <v>카페24샴푸라베나 리커버리 15 리바이탈 샴푸 [HAIR RÉ:COVERY 15 Revital Shampoo]제품선택=리바이탈 샴푸 3개 세트 10% 추가할인201210</v>
      </c>
    </row>
    <row r="670" spans="2:16" x14ac:dyDescent="0.3">
      <c r="B670" s="2">
        <v>44212</v>
      </c>
      <c r="C670" s="19" t="str">
        <f t="shared" si="156"/>
        <v>토</v>
      </c>
      <c r="E670" s="17" t="str">
        <f>INDEX(매칭테이블!C:C,MATCH(RD!G670,매칭테이블!D:D,0))</f>
        <v>트리트먼트</v>
      </c>
      <c r="F670" t="s">
        <v>91</v>
      </c>
      <c r="G670" t="s">
        <v>130</v>
      </c>
      <c r="H670">
        <v>6</v>
      </c>
      <c r="I670" s="17" t="str">
        <f>VLOOKUP(G670,매칭테이블!D:E,2,0)</f>
        <v>트리트먼트</v>
      </c>
      <c r="J670">
        <v>201210</v>
      </c>
      <c r="L670" s="19">
        <f>VLOOKUP($P670,매칭테이블!$G:$J,2,0)*H670</f>
        <v>156000</v>
      </c>
      <c r="M670" s="19">
        <f>L670-L670*VLOOKUP($P670,매칭테이블!$G:$J,3,0)</f>
        <v>146874</v>
      </c>
      <c r="N670" s="19">
        <f>VLOOKUP($P670,매칭테이블!$G:$J,4,0)*H670</f>
        <v>9582</v>
      </c>
      <c r="O670" s="20">
        <f t="shared" si="157"/>
        <v>141818.18181818179</v>
      </c>
      <c r="P670" s="19" t="str">
        <f t="shared" si="141"/>
        <v>카페24트리트먼트라베나 리커버리 15 헤어팩 트리트먼트 [HAIR RÉ:COVERY 15 Hairpack Treatment]제품선택=헤어 리커버리 15 헤어팩 트리트먼트201210</v>
      </c>
    </row>
    <row r="671" spans="2:16" x14ac:dyDescent="0.3">
      <c r="B671" s="2">
        <v>44212</v>
      </c>
      <c r="C671" s="19" t="str">
        <f t="shared" si="156"/>
        <v>토</v>
      </c>
      <c r="E671" s="17" t="str">
        <f>INDEX(매칭테이블!C:C,MATCH(RD!G671,매칭테이블!D:D,0))</f>
        <v>트리트먼트</v>
      </c>
      <c r="F671" t="s">
        <v>91</v>
      </c>
      <c r="G671" t="s">
        <v>131</v>
      </c>
      <c r="H671">
        <v>5</v>
      </c>
      <c r="I671" s="17" t="str">
        <f>VLOOKUP(G671,매칭테이블!D:E,2,0)</f>
        <v>트리트먼트 2set</v>
      </c>
      <c r="J671">
        <v>201210</v>
      </c>
      <c r="L671" s="19">
        <f>VLOOKUP($P671,매칭테이블!$G:$J,2,0)*H671</f>
        <v>247000</v>
      </c>
      <c r="M671" s="19">
        <f>L671-L671*VLOOKUP($P671,매칭테이블!$G:$J,3,0)</f>
        <v>232550.5</v>
      </c>
      <c r="N671" s="19">
        <f>VLOOKUP($P671,매칭테이블!$G:$J,4,0)*H671</f>
        <v>15970</v>
      </c>
      <c r="O671" s="20">
        <f t="shared" si="157"/>
        <v>224545.45454545453</v>
      </c>
      <c r="P671" s="19" t="str">
        <f t="shared" si="141"/>
        <v>카페24트리트먼트라베나 리커버리 15 헤어팩 트리트먼트 [HAIR RÉ:COVERY 15 Hairpack Treatment]제품선택=헤어팩 트리트먼트 2개 세트 5% 추가할인201210</v>
      </c>
    </row>
    <row r="672" spans="2:16" x14ac:dyDescent="0.3">
      <c r="B672" s="2">
        <v>44212</v>
      </c>
      <c r="C672" s="19" t="str">
        <f t="shared" si="156"/>
        <v>토</v>
      </c>
      <c r="E672" s="17" t="str">
        <f>INDEX(매칭테이블!C:C,MATCH(RD!G672,매칭테이블!D:D,0))</f>
        <v>트리트먼트</v>
      </c>
      <c r="F672" t="s">
        <v>91</v>
      </c>
      <c r="G672" t="s">
        <v>132</v>
      </c>
      <c r="H672">
        <v>3</v>
      </c>
      <c r="I672" s="17" t="str">
        <f>VLOOKUP(G672,매칭테이블!D:E,2,0)</f>
        <v>트리트먼트 3set</v>
      </c>
      <c r="J672">
        <v>201210</v>
      </c>
      <c r="L672" s="19">
        <f>VLOOKUP($P672,매칭테이블!$G:$J,2,0)*H672</f>
        <v>210600</v>
      </c>
      <c r="M672" s="19">
        <f>L672-L672*VLOOKUP($P672,매칭테이블!$G:$J,3,0)</f>
        <v>198279.9</v>
      </c>
      <c r="N672" s="19">
        <f>VLOOKUP($P672,매칭테이블!$G:$J,4,0)*H672</f>
        <v>14373</v>
      </c>
      <c r="O672" s="20">
        <f t="shared" si="157"/>
        <v>191454.54545454544</v>
      </c>
      <c r="P672" s="19" t="str">
        <f t="shared" si="141"/>
        <v>카페24트리트먼트라베나 리커버리 15 헤어팩 트리트먼트 [HAIR RÉ:COVERY 15 Hairpack Treatment]제품선택=헤어팩 트리트먼트 3개 세트 10% 추가할인201210</v>
      </c>
    </row>
    <row r="673" spans="2:16" x14ac:dyDescent="0.3">
      <c r="B673" s="2">
        <v>44212</v>
      </c>
      <c r="C673" s="19" t="str">
        <f t="shared" si="156"/>
        <v>토</v>
      </c>
      <c r="E673" s="17" t="str">
        <f>INDEX(매칭테이블!C:C,MATCH(RD!G673,매칭테이블!D:D,0))</f>
        <v>트리트먼트</v>
      </c>
      <c r="F673" t="s">
        <v>91</v>
      </c>
      <c r="G673" t="s">
        <v>133</v>
      </c>
      <c r="H673">
        <v>2</v>
      </c>
      <c r="I673" s="17" t="str">
        <f>VLOOKUP(G673,매칭테이블!D:E,2,0)</f>
        <v>트리트먼트+뉴트리셔스밤</v>
      </c>
      <c r="J673">
        <v>201210</v>
      </c>
      <c r="L673" s="19">
        <f>VLOOKUP($P673,매칭테이블!$G:$J,2,0)*H673</f>
        <v>96710</v>
      </c>
      <c r="M673" s="19">
        <f>L673-L673*VLOOKUP($P673,매칭테이블!$G:$J,3,0)</f>
        <v>91052.464999999997</v>
      </c>
      <c r="N673" s="19">
        <f>VLOOKUP($P673,매칭테이블!$G:$J,4,0)*H673</f>
        <v>6354</v>
      </c>
      <c r="O673" s="20">
        <f t="shared" si="157"/>
        <v>87918.181818181809</v>
      </c>
      <c r="P673" s="19" t="str">
        <f t="shared" si="141"/>
        <v>카페24트리트먼트라베나 리커버리 15 헤어팩 트리트먼트 [HAIR RÉ:COVERY 15 Hairpack Treatment]제품선택=헤어팩 트리트먼트 1개 + 뉴트리셔스밤 1개 세트 5% 추가할인201210</v>
      </c>
    </row>
    <row r="674" spans="2:16" x14ac:dyDescent="0.3">
      <c r="B674" s="2">
        <v>44213</v>
      </c>
      <c r="C674" s="19" t="str">
        <f t="shared" ref="C674" si="158">TEXT(B674,"aaa")</f>
        <v>일</v>
      </c>
      <c r="E674" s="17" t="str">
        <f>INDEX(매칭테이블!C:C,MATCH(RD!G674,매칭테이블!D:D,0))</f>
        <v>뉴트리셔스밤</v>
      </c>
      <c r="F674" t="s">
        <v>91</v>
      </c>
      <c r="G674" t="s">
        <v>124</v>
      </c>
      <c r="H674">
        <v>7</v>
      </c>
      <c r="I674" s="17" t="str">
        <f>VLOOKUP(G674,매칭테이블!D:E,2,0)</f>
        <v>뉴트리셔스밤</v>
      </c>
      <c r="J674">
        <v>201210</v>
      </c>
      <c r="L674" s="19">
        <f>VLOOKUP($P674,매칭테이블!$G:$J,2,0)*H674</f>
        <v>174300</v>
      </c>
      <c r="M674" s="19">
        <f>L674-L674*VLOOKUP($P674,매칭테이블!$G:$J,3,0)</f>
        <v>164103.45000000001</v>
      </c>
      <c r="N674" s="19">
        <f>VLOOKUP($P674,매칭테이블!$G:$J,4,0)*H674</f>
        <v>11060</v>
      </c>
      <c r="O674" s="20">
        <f t="shared" ref="O674" si="159">L674/1.1</f>
        <v>158454.54545454544</v>
      </c>
      <c r="P674" s="19" t="str">
        <f t="shared" si="141"/>
        <v>카페24뉴트리셔스밤라베나 리커버리 15 뉴트리셔스 밤 [HAIR RÉ:COVERY 15 Nutritious Balm]제품선택=헤어 리커버리 15 뉴트리셔스 밤201210</v>
      </c>
    </row>
    <row r="675" spans="2:16" x14ac:dyDescent="0.3">
      <c r="B675" s="2">
        <v>44213</v>
      </c>
      <c r="C675" s="19" t="str">
        <f t="shared" ref="C675:C682" si="160">TEXT(B675,"aaa")</f>
        <v>일</v>
      </c>
      <c r="E675" s="17" t="str">
        <f>INDEX(매칭테이블!C:C,MATCH(RD!G675,매칭테이블!D:D,0))</f>
        <v>뉴트리셔스밤</v>
      </c>
      <c r="F675" t="s">
        <v>91</v>
      </c>
      <c r="G675" t="s">
        <v>125</v>
      </c>
      <c r="H675">
        <v>1</v>
      </c>
      <c r="I675" s="17" t="str">
        <f>VLOOKUP(G675,매칭테이블!D:E,2,0)</f>
        <v>뉴트리셔스밤 2set</v>
      </c>
      <c r="J675">
        <v>201210</v>
      </c>
      <c r="L675" s="19">
        <f>VLOOKUP($P675,매칭테이블!$G:$J,2,0)*H675</f>
        <v>47310</v>
      </c>
      <c r="M675" s="19">
        <f>L675-L675*VLOOKUP($P675,매칭테이블!$G:$J,3,0)</f>
        <v>44542.364999999998</v>
      </c>
      <c r="N675" s="19">
        <f>VLOOKUP($P675,매칭테이블!$G:$J,4,0)*H675</f>
        <v>3160</v>
      </c>
      <c r="O675" s="20">
        <f t="shared" ref="O675:O682" si="161">L675/1.1</f>
        <v>43009.090909090904</v>
      </c>
      <c r="P675" s="19" t="str">
        <f t="shared" si="141"/>
        <v>카페24뉴트리셔스밤라베나 리커버리 15 뉴트리셔스 밤 [HAIR RÉ:COVERY 15 Nutritious Balm]제품선택=뉴트리셔스 밤 2개 세트 5% 추가할인201210</v>
      </c>
    </row>
    <row r="676" spans="2:16" x14ac:dyDescent="0.3">
      <c r="B676" s="2">
        <v>44213</v>
      </c>
      <c r="C676" s="19" t="str">
        <f t="shared" si="160"/>
        <v>일</v>
      </c>
      <c r="E676" s="17" t="str">
        <f>INDEX(매칭테이블!C:C,MATCH(RD!G676,매칭테이블!D:D,0))</f>
        <v>샴푸</v>
      </c>
      <c r="F676" t="s">
        <v>91</v>
      </c>
      <c r="G676" t="s">
        <v>127</v>
      </c>
      <c r="H676">
        <v>35</v>
      </c>
      <c r="I676" s="17" t="str">
        <f>VLOOKUP(G676,매칭테이블!D:E,2,0)</f>
        <v>리바이탈 샴푸</v>
      </c>
      <c r="J676">
        <v>201210</v>
      </c>
      <c r="L676" s="19">
        <f>VLOOKUP($P676,매칭테이블!$G:$J,2,0)*H676</f>
        <v>941500</v>
      </c>
      <c r="M676" s="19">
        <f>L676-L676*VLOOKUP($P676,매칭테이블!$G:$J,3,0)</f>
        <v>886422.25</v>
      </c>
      <c r="N676" s="19">
        <f>VLOOKUP($P676,매칭테이블!$G:$J,4,0)*H676</f>
        <v>105700</v>
      </c>
      <c r="O676" s="20">
        <f t="shared" si="161"/>
        <v>855909.09090909082</v>
      </c>
      <c r="P676" s="19" t="str">
        <f t="shared" si="141"/>
        <v>카페24샴푸라베나 리커버리 15 리바이탈 샴푸 [HAIR RÉ:COVERY 15 Revital Shampoo]제품선택=헤어 리커버리 15 리바이탈 샴푸 - 500ml201210</v>
      </c>
    </row>
    <row r="677" spans="2:16" x14ac:dyDescent="0.3">
      <c r="B677" s="2">
        <v>44213</v>
      </c>
      <c r="C677" s="19" t="str">
        <f t="shared" si="160"/>
        <v>일</v>
      </c>
      <c r="E677" s="17" t="str">
        <f>INDEX(매칭테이블!C:C,MATCH(RD!G677,매칭테이블!D:D,0))</f>
        <v>샴푸</v>
      </c>
      <c r="F677" t="s">
        <v>91</v>
      </c>
      <c r="G677" t="s">
        <v>128</v>
      </c>
      <c r="H677">
        <v>13</v>
      </c>
      <c r="I677" s="17" t="str">
        <f>VLOOKUP(G677,매칭테이블!D:E,2,0)</f>
        <v>리바이탈 샴푸 2set</v>
      </c>
      <c r="J677">
        <v>201210</v>
      </c>
      <c r="L677" s="19">
        <f>VLOOKUP($P677,매칭테이블!$G:$J,2,0)*H677</f>
        <v>664430</v>
      </c>
      <c r="M677" s="19">
        <f>L677-L677*VLOOKUP($P677,매칭테이블!$G:$J,3,0)</f>
        <v>625560.84499999997</v>
      </c>
      <c r="N677" s="19">
        <f>VLOOKUP($P677,매칭테이블!$G:$J,4,0)*H677</f>
        <v>78520</v>
      </c>
      <c r="O677" s="20">
        <f t="shared" si="161"/>
        <v>604027.27272727271</v>
      </c>
      <c r="P677" s="19" t="str">
        <f t="shared" si="141"/>
        <v>카페24샴푸라베나 리커버리 15 리바이탈 샴푸 [HAIR RÉ:COVERY 15 Revital Shampoo]제품선택=리바이탈 샴푸 2개 세트 5%추가할인201210</v>
      </c>
    </row>
    <row r="678" spans="2:16" x14ac:dyDescent="0.3">
      <c r="B678" s="2">
        <v>44213</v>
      </c>
      <c r="C678" s="19" t="str">
        <f t="shared" si="160"/>
        <v>일</v>
      </c>
      <c r="E678" s="17" t="str">
        <f>INDEX(매칭테이블!C:C,MATCH(RD!G678,매칭테이블!D:D,0))</f>
        <v>샴푸</v>
      </c>
      <c r="F678" t="s">
        <v>91</v>
      </c>
      <c r="G678" t="s">
        <v>129</v>
      </c>
      <c r="H678">
        <v>5</v>
      </c>
      <c r="I678" s="17" t="str">
        <f>VLOOKUP(G678,매칭테이블!D:E,2,0)</f>
        <v>리바이탈 샴푸 3set</v>
      </c>
      <c r="J678">
        <v>201210</v>
      </c>
      <c r="L678" s="19">
        <f>VLOOKUP($P678,매칭테이블!$G:$J,2,0)*H678</f>
        <v>363150</v>
      </c>
      <c r="M678" s="19">
        <f>L678-L678*VLOOKUP($P678,매칭테이블!$G:$J,3,0)</f>
        <v>341905.72499999998</v>
      </c>
      <c r="N678" s="19">
        <f>VLOOKUP($P678,매칭테이블!$G:$J,4,0)*H678</f>
        <v>45300</v>
      </c>
      <c r="O678" s="20">
        <f t="shared" si="161"/>
        <v>330136.36363636359</v>
      </c>
      <c r="P678" s="19" t="str">
        <f t="shared" si="141"/>
        <v>카페24샴푸라베나 리커버리 15 리바이탈 샴푸 [HAIR RÉ:COVERY 15 Revital Shampoo]제품선택=리바이탈 샴푸 3개 세트 10% 추가할인201210</v>
      </c>
    </row>
    <row r="679" spans="2:16" x14ac:dyDescent="0.3">
      <c r="B679" s="2">
        <v>44213</v>
      </c>
      <c r="C679" s="19" t="str">
        <f t="shared" si="160"/>
        <v>일</v>
      </c>
      <c r="E679" s="17" t="str">
        <f>INDEX(매칭테이블!C:C,MATCH(RD!G679,매칭테이블!D:D,0))</f>
        <v>트리트먼트</v>
      </c>
      <c r="F679" t="s">
        <v>91</v>
      </c>
      <c r="G679" t="s">
        <v>130</v>
      </c>
      <c r="H679">
        <v>10</v>
      </c>
      <c r="I679" s="17" t="str">
        <f>VLOOKUP(G679,매칭테이블!D:E,2,0)</f>
        <v>트리트먼트</v>
      </c>
      <c r="J679">
        <v>201210</v>
      </c>
      <c r="L679" s="19">
        <f>VLOOKUP($P679,매칭테이블!$G:$J,2,0)*H679</f>
        <v>260000</v>
      </c>
      <c r="M679" s="19">
        <f>L679-L679*VLOOKUP($P679,매칭테이블!$G:$J,3,0)</f>
        <v>244790</v>
      </c>
      <c r="N679" s="19">
        <f>VLOOKUP($P679,매칭테이블!$G:$J,4,0)*H679</f>
        <v>15970</v>
      </c>
      <c r="O679" s="20">
        <f t="shared" si="161"/>
        <v>236363.63636363635</v>
      </c>
      <c r="P679" s="19" t="str">
        <f t="shared" si="141"/>
        <v>카페24트리트먼트라베나 리커버리 15 헤어팩 트리트먼트 [HAIR RÉ:COVERY 15 Hairpack Treatment]제품선택=헤어 리커버리 15 헤어팩 트리트먼트201210</v>
      </c>
    </row>
    <row r="680" spans="2:16" x14ac:dyDescent="0.3">
      <c r="B680" s="2">
        <v>44213</v>
      </c>
      <c r="C680" s="19" t="str">
        <f t="shared" si="160"/>
        <v>일</v>
      </c>
      <c r="E680" s="17" t="str">
        <f>INDEX(매칭테이블!C:C,MATCH(RD!G680,매칭테이블!D:D,0))</f>
        <v>트리트먼트</v>
      </c>
      <c r="F680" t="s">
        <v>91</v>
      </c>
      <c r="G680" t="s">
        <v>131</v>
      </c>
      <c r="H680">
        <v>5</v>
      </c>
      <c r="I680" s="17" t="str">
        <f>VLOOKUP(G680,매칭테이블!D:E,2,0)</f>
        <v>트리트먼트 2set</v>
      </c>
      <c r="J680">
        <v>201210</v>
      </c>
      <c r="L680" s="19">
        <f>VLOOKUP($P680,매칭테이블!$G:$J,2,0)*H680</f>
        <v>247000</v>
      </c>
      <c r="M680" s="19">
        <f>L680-L680*VLOOKUP($P680,매칭테이블!$G:$J,3,0)</f>
        <v>232550.5</v>
      </c>
      <c r="N680" s="19">
        <f>VLOOKUP($P680,매칭테이블!$G:$J,4,0)*H680</f>
        <v>15970</v>
      </c>
      <c r="O680" s="20">
        <f t="shared" si="161"/>
        <v>224545.45454545453</v>
      </c>
      <c r="P680" s="19" t="str">
        <f t="shared" ref="P680:P743" si="162">F680&amp;E680&amp;G680&amp;J680</f>
        <v>카페24트리트먼트라베나 리커버리 15 헤어팩 트리트먼트 [HAIR RÉ:COVERY 15 Hairpack Treatment]제품선택=헤어팩 트리트먼트 2개 세트 5% 추가할인201210</v>
      </c>
    </row>
    <row r="681" spans="2:16" x14ac:dyDescent="0.3">
      <c r="B681" s="2">
        <v>44213</v>
      </c>
      <c r="C681" s="19" t="str">
        <f t="shared" si="160"/>
        <v>일</v>
      </c>
      <c r="E681" s="17" t="str">
        <f>INDEX(매칭테이블!C:C,MATCH(RD!G681,매칭테이블!D:D,0))</f>
        <v>트리트먼트</v>
      </c>
      <c r="F681" t="s">
        <v>91</v>
      </c>
      <c r="G681" t="s">
        <v>132</v>
      </c>
      <c r="H681">
        <v>1</v>
      </c>
      <c r="I681" s="17" t="str">
        <f>VLOOKUP(G681,매칭테이블!D:E,2,0)</f>
        <v>트리트먼트 3set</v>
      </c>
      <c r="J681">
        <v>201210</v>
      </c>
      <c r="L681" s="19">
        <f>VLOOKUP($P681,매칭테이블!$G:$J,2,0)*H681</f>
        <v>70200</v>
      </c>
      <c r="M681" s="19">
        <f>L681-L681*VLOOKUP($P681,매칭테이블!$G:$J,3,0)</f>
        <v>66093.3</v>
      </c>
      <c r="N681" s="19">
        <f>VLOOKUP($P681,매칭테이블!$G:$J,4,0)*H681</f>
        <v>4791</v>
      </c>
      <c r="O681" s="20">
        <f t="shared" si="161"/>
        <v>63818.181818181816</v>
      </c>
      <c r="P681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682" spans="2:16" x14ac:dyDescent="0.3">
      <c r="B682" s="2">
        <v>44213</v>
      </c>
      <c r="C682" s="19" t="str">
        <f t="shared" si="160"/>
        <v>일</v>
      </c>
      <c r="E682" s="17" t="str">
        <f>INDEX(매칭테이블!C:C,MATCH(RD!G682,매칭테이블!D:D,0))</f>
        <v>트리트먼트</v>
      </c>
      <c r="F682" t="s">
        <v>91</v>
      </c>
      <c r="G682" t="s">
        <v>133</v>
      </c>
      <c r="H682">
        <v>4</v>
      </c>
      <c r="I682" s="17" t="str">
        <f>VLOOKUP(G682,매칭테이블!D:E,2,0)</f>
        <v>트리트먼트+뉴트리셔스밤</v>
      </c>
      <c r="J682">
        <v>201210</v>
      </c>
      <c r="L682" s="19">
        <f>VLOOKUP($P682,매칭테이블!$G:$J,2,0)*H682</f>
        <v>193420</v>
      </c>
      <c r="M682" s="19">
        <f>L682-L682*VLOOKUP($P682,매칭테이블!$G:$J,3,0)</f>
        <v>182104.93</v>
      </c>
      <c r="N682" s="19">
        <f>VLOOKUP($P682,매칭테이블!$G:$J,4,0)*H682</f>
        <v>12708</v>
      </c>
      <c r="O682" s="20">
        <f t="shared" si="161"/>
        <v>175836.36363636362</v>
      </c>
      <c r="P682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683" spans="2:16" x14ac:dyDescent="0.3">
      <c r="B683" s="2">
        <v>44214</v>
      </c>
      <c r="C683" s="19" t="str">
        <f t="shared" ref="C683" si="163">TEXT(B683,"aaa")</f>
        <v>월</v>
      </c>
      <c r="E683" s="17" t="str">
        <f>INDEX(매칭테이블!C:C,MATCH(RD!G683,매칭테이블!D:D,0))</f>
        <v>뉴트리셔스밤</v>
      </c>
      <c r="F683" t="s">
        <v>91</v>
      </c>
      <c r="G683" t="s">
        <v>124</v>
      </c>
      <c r="H683">
        <v>7</v>
      </c>
      <c r="I683" s="17" t="str">
        <f>VLOOKUP(G683,매칭테이블!D:E,2,0)</f>
        <v>뉴트리셔스밤</v>
      </c>
      <c r="J683">
        <v>201210</v>
      </c>
      <c r="L683" s="19">
        <f>VLOOKUP($P683,매칭테이블!$G:$J,2,0)*H683</f>
        <v>174300</v>
      </c>
      <c r="M683" s="19">
        <f>L683-L683*VLOOKUP($P683,매칭테이블!$G:$J,3,0)</f>
        <v>164103.45000000001</v>
      </c>
      <c r="N683" s="19">
        <f>VLOOKUP($P683,매칭테이블!$G:$J,4,0)*H683</f>
        <v>11060</v>
      </c>
      <c r="O683" s="20">
        <f t="shared" ref="O683" si="164">L683/1.1</f>
        <v>158454.54545454544</v>
      </c>
      <c r="P683" s="19" t="str">
        <f t="shared" si="162"/>
        <v>카페24뉴트리셔스밤라베나 리커버리 15 뉴트리셔스 밤 [HAIR RÉ:COVERY 15 Nutritious Balm]제품선택=헤어 리커버리 15 뉴트리셔스 밤201210</v>
      </c>
    </row>
    <row r="684" spans="2:16" x14ac:dyDescent="0.3">
      <c r="B684" s="2">
        <v>44214</v>
      </c>
      <c r="C684" s="19" t="str">
        <f t="shared" ref="C684:C691" si="165">TEXT(B684,"aaa")</f>
        <v>월</v>
      </c>
      <c r="E684" s="17" t="str">
        <f>INDEX(매칭테이블!C:C,MATCH(RD!G684,매칭테이블!D:D,0))</f>
        <v>뉴트리셔스밤</v>
      </c>
      <c r="F684" t="s">
        <v>91</v>
      </c>
      <c r="G684" t="s">
        <v>126</v>
      </c>
      <c r="H684">
        <v>2</v>
      </c>
      <c r="I684" s="17" t="str">
        <f>VLOOKUP(G684,매칭테이블!D:E,2,0)</f>
        <v>트리트먼트+뉴트리셔스밤</v>
      </c>
      <c r="J684">
        <v>201210</v>
      </c>
      <c r="L684" s="19">
        <f>VLOOKUP($P684,매칭테이블!$G:$J,2,0)*H684</f>
        <v>96710</v>
      </c>
      <c r="M684" s="19">
        <f>L684-L684*VLOOKUP($P684,매칭테이블!$G:$J,3,0)</f>
        <v>91052.464999999997</v>
      </c>
      <c r="N684" s="19">
        <f>VLOOKUP($P684,매칭테이블!$G:$J,4,0)*H684</f>
        <v>6354</v>
      </c>
      <c r="O684" s="20">
        <f t="shared" ref="O684:O691" si="166">L684/1.1</f>
        <v>87918.181818181809</v>
      </c>
      <c r="P684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685" spans="2:16" x14ac:dyDescent="0.3">
      <c r="B685" s="2">
        <v>44214</v>
      </c>
      <c r="C685" s="19" t="str">
        <f t="shared" si="165"/>
        <v>월</v>
      </c>
      <c r="E685" s="17" t="str">
        <f>INDEX(매칭테이블!C:C,MATCH(RD!G685,매칭테이블!D:D,0))</f>
        <v>샴푸</v>
      </c>
      <c r="F685" t="s">
        <v>91</v>
      </c>
      <c r="G685" t="s">
        <v>127</v>
      </c>
      <c r="H685">
        <v>190</v>
      </c>
      <c r="I685" s="17" t="str">
        <f>VLOOKUP(G685,매칭테이블!D:E,2,0)</f>
        <v>리바이탈 샴푸</v>
      </c>
      <c r="J685">
        <v>201210</v>
      </c>
      <c r="L685" s="19">
        <f>VLOOKUP($P685,매칭테이블!$G:$J,2,0)*H685</f>
        <v>5111000</v>
      </c>
      <c r="M685" s="19">
        <f>L685-L685*VLOOKUP($P685,매칭테이블!$G:$J,3,0)</f>
        <v>4812006.5</v>
      </c>
      <c r="N685" s="19">
        <f>VLOOKUP($P685,매칭테이블!$G:$J,4,0)*H685</f>
        <v>573800</v>
      </c>
      <c r="O685" s="20">
        <f t="shared" si="166"/>
        <v>4646363.6363636358</v>
      </c>
      <c r="P685" s="19" t="str">
        <f t="shared" si="162"/>
        <v>카페24샴푸라베나 리커버리 15 리바이탈 샴푸 [HAIR RÉ:COVERY 15 Revital Shampoo]제품선택=헤어 리커버리 15 리바이탈 샴푸 - 500ml201210</v>
      </c>
    </row>
    <row r="686" spans="2:16" x14ac:dyDescent="0.3">
      <c r="B686" s="2">
        <v>44214</v>
      </c>
      <c r="C686" s="19" t="str">
        <f t="shared" si="165"/>
        <v>월</v>
      </c>
      <c r="E686" s="17" t="str">
        <f>INDEX(매칭테이블!C:C,MATCH(RD!G686,매칭테이블!D:D,0))</f>
        <v>샴푸</v>
      </c>
      <c r="F686" t="s">
        <v>91</v>
      </c>
      <c r="G686" t="s">
        <v>128</v>
      </c>
      <c r="H686">
        <v>50</v>
      </c>
      <c r="I686" s="17" t="str">
        <f>VLOOKUP(G686,매칭테이블!D:E,2,0)</f>
        <v>리바이탈 샴푸 2set</v>
      </c>
      <c r="J686">
        <v>201210</v>
      </c>
      <c r="L686" s="19">
        <f>VLOOKUP($P686,매칭테이블!$G:$J,2,0)*H686</f>
        <v>2555500</v>
      </c>
      <c r="M686" s="19">
        <f>L686-L686*VLOOKUP($P686,매칭테이블!$G:$J,3,0)</f>
        <v>2406003.25</v>
      </c>
      <c r="N686" s="19">
        <f>VLOOKUP($P686,매칭테이블!$G:$J,4,0)*H686</f>
        <v>302000</v>
      </c>
      <c r="O686" s="20">
        <f t="shared" si="166"/>
        <v>2323181.8181818179</v>
      </c>
      <c r="P686" s="19" t="str">
        <f t="shared" si="162"/>
        <v>카페24샴푸라베나 리커버리 15 리바이탈 샴푸 [HAIR RÉ:COVERY 15 Revital Shampoo]제품선택=리바이탈 샴푸 2개 세트 5%추가할인201210</v>
      </c>
    </row>
    <row r="687" spans="2:16" x14ac:dyDescent="0.3">
      <c r="B687" s="2">
        <v>44214</v>
      </c>
      <c r="C687" s="19" t="str">
        <f t="shared" si="165"/>
        <v>월</v>
      </c>
      <c r="E687" s="17" t="str">
        <f>INDEX(매칭테이블!C:C,MATCH(RD!G687,매칭테이블!D:D,0))</f>
        <v>샴푸</v>
      </c>
      <c r="F687" t="s">
        <v>91</v>
      </c>
      <c r="G687" t="s">
        <v>129</v>
      </c>
      <c r="H687">
        <v>31</v>
      </c>
      <c r="I687" s="17" t="str">
        <f>VLOOKUP(G687,매칭테이블!D:E,2,0)</f>
        <v>리바이탈 샴푸 3set</v>
      </c>
      <c r="J687">
        <v>201210</v>
      </c>
      <c r="L687" s="19">
        <f>VLOOKUP($P687,매칭테이블!$G:$J,2,0)*H687</f>
        <v>2251530</v>
      </c>
      <c r="M687" s="19">
        <f>L687-L687*VLOOKUP($P687,매칭테이블!$G:$J,3,0)</f>
        <v>2119815.4950000001</v>
      </c>
      <c r="N687" s="19">
        <f>VLOOKUP($P687,매칭테이블!$G:$J,4,0)*H687</f>
        <v>280860</v>
      </c>
      <c r="O687" s="20">
        <f t="shared" si="166"/>
        <v>2046845.4545454544</v>
      </c>
      <c r="P687" s="19" t="str">
        <f t="shared" si="162"/>
        <v>카페24샴푸라베나 리커버리 15 리바이탈 샴푸 [HAIR RÉ:COVERY 15 Revital Shampoo]제품선택=리바이탈 샴푸 3개 세트 10% 추가할인201210</v>
      </c>
    </row>
    <row r="688" spans="2:16" x14ac:dyDescent="0.3">
      <c r="B688" s="2">
        <v>44214</v>
      </c>
      <c r="C688" s="19" t="str">
        <f t="shared" si="165"/>
        <v>월</v>
      </c>
      <c r="E688" s="17" t="str">
        <f>INDEX(매칭테이블!C:C,MATCH(RD!G688,매칭테이블!D:D,0))</f>
        <v>트리트먼트</v>
      </c>
      <c r="F688" t="s">
        <v>91</v>
      </c>
      <c r="G688" t="s">
        <v>130</v>
      </c>
      <c r="H688">
        <v>8</v>
      </c>
      <c r="I688" s="17" t="str">
        <f>VLOOKUP(G688,매칭테이블!D:E,2,0)</f>
        <v>트리트먼트</v>
      </c>
      <c r="J688">
        <v>201210</v>
      </c>
      <c r="L688" s="19">
        <f>VLOOKUP($P688,매칭테이블!$G:$J,2,0)*H688</f>
        <v>208000</v>
      </c>
      <c r="M688" s="19">
        <f>L688-L688*VLOOKUP($P688,매칭테이블!$G:$J,3,0)</f>
        <v>195832</v>
      </c>
      <c r="N688" s="19">
        <f>VLOOKUP($P688,매칭테이블!$G:$J,4,0)*H688</f>
        <v>12776</v>
      </c>
      <c r="O688" s="20">
        <f t="shared" si="166"/>
        <v>189090.90909090909</v>
      </c>
      <c r="P688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689" spans="2:16" x14ac:dyDescent="0.3">
      <c r="B689" s="2">
        <v>44214</v>
      </c>
      <c r="C689" s="19" t="str">
        <f t="shared" si="165"/>
        <v>월</v>
      </c>
      <c r="E689" s="17" t="str">
        <f>INDEX(매칭테이블!C:C,MATCH(RD!G689,매칭테이블!D:D,0))</f>
        <v>트리트먼트</v>
      </c>
      <c r="F689" t="s">
        <v>91</v>
      </c>
      <c r="G689" t="s">
        <v>131</v>
      </c>
      <c r="H689">
        <v>3</v>
      </c>
      <c r="I689" s="17" t="str">
        <f>VLOOKUP(G689,매칭테이블!D:E,2,0)</f>
        <v>트리트먼트 2set</v>
      </c>
      <c r="J689">
        <v>201210</v>
      </c>
      <c r="L689" s="19">
        <f>VLOOKUP($P689,매칭테이블!$G:$J,2,0)*H689</f>
        <v>148200</v>
      </c>
      <c r="M689" s="19">
        <f>L689-L689*VLOOKUP($P689,매칭테이블!$G:$J,3,0)</f>
        <v>139530.29999999999</v>
      </c>
      <c r="N689" s="19">
        <f>VLOOKUP($P689,매칭테이블!$G:$J,4,0)*H689</f>
        <v>9582</v>
      </c>
      <c r="O689" s="20">
        <f t="shared" si="166"/>
        <v>134727.27272727271</v>
      </c>
      <c r="P689" s="19" t="str">
        <f t="shared" si="162"/>
        <v>카페24트리트먼트라베나 리커버리 15 헤어팩 트리트먼트 [HAIR RÉ:COVERY 15 Hairpack Treatment]제품선택=헤어팩 트리트먼트 2개 세트 5% 추가할인201210</v>
      </c>
    </row>
    <row r="690" spans="2:16" x14ac:dyDescent="0.3">
      <c r="B690" s="2">
        <v>44214</v>
      </c>
      <c r="C690" s="19" t="str">
        <f t="shared" si="165"/>
        <v>월</v>
      </c>
      <c r="E690" s="17" t="str">
        <f>INDEX(매칭테이블!C:C,MATCH(RD!G690,매칭테이블!D:D,0))</f>
        <v>트리트먼트</v>
      </c>
      <c r="F690" t="s">
        <v>91</v>
      </c>
      <c r="G690" t="s">
        <v>132</v>
      </c>
      <c r="H690">
        <v>1</v>
      </c>
      <c r="I690" s="17" t="str">
        <f>VLOOKUP(G690,매칭테이블!D:E,2,0)</f>
        <v>트리트먼트 3set</v>
      </c>
      <c r="J690">
        <v>201210</v>
      </c>
      <c r="L690" s="19">
        <f>VLOOKUP($P690,매칭테이블!$G:$J,2,0)*H690</f>
        <v>70200</v>
      </c>
      <c r="M690" s="19">
        <f>L690-L690*VLOOKUP($P690,매칭테이블!$G:$J,3,0)</f>
        <v>66093.3</v>
      </c>
      <c r="N690" s="19">
        <f>VLOOKUP($P690,매칭테이블!$G:$J,4,0)*H690</f>
        <v>4791</v>
      </c>
      <c r="O690" s="20">
        <f t="shared" si="166"/>
        <v>63818.181818181816</v>
      </c>
      <c r="P690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691" spans="2:16" x14ac:dyDescent="0.3">
      <c r="B691" s="2">
        <v>44214</v>
      </c>
      <c r="C691" s="19" t="str">
        <f t="shared" si="165"/>
        <v>월</v>
      </c>
      <c r="E691" s="17" t="str">
        <f>INDEX(매칭테이블!C:C,MATCH(RD!G691,매칭테이블!D:D,0))</f>
        <v>트리트먼트</v>
      </c>
      <c r="F691" t="s">
        <v>91</v>
      </c>
      <c r="G691" t="s">
        <v>133</v>
      </c>
      <c r="H691">
        <v>2</v>
      </c>
      <c r="I691" s="17" t="str">
        <f>VLOOKUP(G691,매칭테이블!D:E,2,0)</f>
        <v>트리트먼트+뉴트리셔스밤</v>
      </c>
      <c r="J691">
        <v>201210</v>
      </c>
      <c r="L691" s="19">
        <f>VLOOKUP($P691,매칭테이블!$G:$J,2,0)*H691</f>
        <v>96710</v>
      </c>
      <c r="M691" s="19">
        <f>L691-L691*VLOOKUP($P691,매칭테이블!$G:$J,3,0)</f>
        <v>91052.464999999997</v>
      </c>
      <c r="N691" s="19">
        <f>VLOOKUP($P691,매칭테이블!$G:$J,4,0)*H691</f>
        <v>6354</v>
      </c>
      <c r="O691" s="20">
        <f t="shared" si="166"/>
        <v>87918.181818181809</v>
      </c>
      <c r="P691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692" spans="2:16" x14ac:dyDescent="0.3">
      <c r="B692" s="2">
        <v>44215</v>
      </c>
      <c r="C692" s="19" t="str">
        <f t="shared" ref="C692" si="167">TEXT(B692,"aaa")</f>
        <v>화</v>
      </c>
      <c r="E692" s="17" t="str">
        <f>INDEX(매칭테이블!C:C,MATCH(RD!G692,매칭테이블!D:D,0))</f>
        <v>샴푸</v>
      </c>
      <c r="F692" t="s">
        <v>95</v>
      </c>
      <c r="G692" t="s">
        <v>123</v>
      </c>
      <c r="H692">
        <v>2</v>
      </c>
      <c r="I692" s="17" t="str">
        <f>VLOOKUP(G692,매칭테이블!D:E,2,0)</f>
        <v>리바이탈 샴푸</v>
      </c>
      <c r="J692">
        <v>201210</v>
      </c>
      <c r="L692" s="19">
        <f>VLOOKUP($P692,매칭테이블!$G:$J,2,0)*H692</f>
        <v>0</v>
      </c>
      <c r="M692" s="19">
        <f>L692-L692*VLOOKUP($P692,매칭테이블!$G:$J,3,0)</f>
        <v>0</v>
      </c>
      <c r="N692" s="19">
        <f>VLOOKUP($P692,매칭테이블!$G:$J,4,0)*H692</f>
        <v>6040</v>
      </c>
      <c r="O692" s="20">
        <f t="shared" ref="O692" si="168">L692/1.1</f>
        <v>0</v>
      </c>
      <c r="P692" s="19" t="str">
        <f t="shared" si="162"/>
        <v>라베나 CS샴푸헤어 리커버리 15 리바이탈 샴푸201210</v>
      </c>
    </row>
    <row r="693" spans="2:16" x14ac:dyDescent="0.3">
      <c r="B693" s="2">
        <v>44215</v>
      </c>
      <c r="C693" s="19" t="str">
        <f t="shared" ref="C693:C699" si="169">TEXT(B693,"aaa")</f>
        <v>화</v>
      </c>
      <c r="E693" s="17" t="str">
        <f>INDEX(매칭테이블!C:C,MATCH(RD!G693,매칭테이블!D:D,0))</f>
        <v>뉴트리셔스밤</v>
      </c>
      <c r="F693" t="s">
        <v>91</v>
      </c>
      <c r="G693" t="s">
        <v>124</v>
      </c>
      <c r="H693">
        <v>9</v>
      </c>
      <c r="I693" s="17" t="str">
        <f>VLOOKUP(G693,매칭테이블!D:E,2,0)</f>
        <v>뉴트리셔스밤</v>
      </c>
      <c r="J693">
        <v>201210</v>
      </c>
      <c r="L693" s="19">
        <f>VLOOKUP($P693,매칭테이블!$G:$J,2,0)*H693</f>
        <v>224100</v>
      </c>
      <c r="M693" s="19">
        <f>L693-L693*VLOOKUP($P693,매칭테이블!$G:$J,3,0)</f>
        <v>210990.15</v>
      </c>
      <c r="N693" s="19">
        <f>VLOOKUP($P693,매칭테이블!$G:$J,4,0)*H693</f>
        <v>14220</v>
      </c>
      <c r="O693" s="20">
        <f t="shared" ref="O693:O699" si="170">L693/1.1</f>
        <v>203727.27272727271</v>
      </c>
      <c r="P693" s="19" t="str">
        <f t="shared" si="162"/>
        <v>카페24뉴트리셔스밤라베나 리커버리 15 뉴트리셔스 밤 [HAIR RÉ:COVERY 15 Nutritious Balm]제품선택=헤어 리커버리 15 뉴트리셔스 밤201210</v>
      </c>
    </row>
    <row r="694" spans="2:16" x14ac:dyDescent="0.3">
      <c r="B694" s="2">
        <v>44215</v>
      </c>
      <c r="C694" s="19" t="str">
        <f t="shared" si="169"/>
        <v>화</v>
      </c>
      <c r="E694" s="17" t="str">
        <f>INDEX(매칭테이블!C:C,MATCH(RD!G694,매칭테이블!D:D,0))</f>
        <v>뉴트리셔스밤</v>
      </c>
      <c r="F694" t="s">
        <v>91</v>
      </c>
      <c r="G694" t="s">
        <v>125</v>
      </c>
      <c r="H694">
        <v>1</v>
      </c>
      <c r="I694" s="17" t="str">
        <f>VLOOKUP(G694,매칭테이블!D:E,2,0)</f>
        <v>뉴트리셔스밤 2set</v>
      </c>
      <c r="J694">
        <v>201210</v>
      </c>
      <c r="L694" s="19">
        <f>VLOOKUP($P694,매칭테이블!$G:$J,2,0)*H694</f>
        <v>47310</v>
      </c>
      <c r="M694" s="19">
        <f>L694-L694*VLOOKUP($P694,매칭테이블!$G:$J,3,0)</f>
        <v>44542.364999999998</v>
      </c>
      <c r="N694" s="19">
        <f>VLOOKUP($P694,매칭테이블!$G:$J,4,0)*H694</f>
        <v>3160</v>
      </c>
      <c r="O694" s="20">
        <f t="shared" si="170"/>
        <v>43009.090909090904</v>
      </c>
      <c r="P694" s="19" t="str">
        <f t="shared" si="162"/>
        <v>카페24뉴트리셔스밤라베나 리커버리 15 뉴트리셔스 밤 [HAIR RÉ:COVERY 15 Nutritious Balm]제품선택=뉴트리셔스 밤 2개 세트 5% 추가할인201210</v>
      </c>
    </row>
    <row r="695" spans="2:16" x14ac:dyDescent="0.3">
      <c r="B695" s="2">
        <v>44215</v>
      </c>
      <c r="C695" s="19" t="str">
        <f t="shared" si="169"/>
        <v>화</v>
      </c>
      <c r="E695" s="17" t="str">
        <f>INDEX(매칭테이블!C:C,MATCH(RD!G695,매칭테이블!D:D,0))</f>
        <v>뉴트리셔스밤</v>
      </c>
      <c r="F695" t="s">
        <v>91</v>
      </c>
      <c r="G695" t="s">
        <v>126</v>
      </c>
      <c r="H695">
        <v>2</v>
      </c>
      <c r="I695" s="17" t="str">
        <f>VLOOKUP(G695,매칭테이블!D:E,2,0)</f>
        <v>트리트먼트+뉴트리셔스밤</v>
      </c>
      <c r="J695">
        <v>201210</v>
      </c>
      <c r="L695" s="19">
        <f>VLOOKUP($P695,매칭테이블!$G:$J,2,0)*H695</f>
        <v>96710</v>
      </c>
      <c r="M695" s="19">
        <f>L695-L695*VLOOKUP($P695,매칭테이블!$G:$J,3,0)</f>
        <v>91052.464999999997</v>
      </c>
      <c r="N695" s="19">
        <f>VLOOKUP($P695,매칭테이블!$G:$J,4,0)*H695</f>
        <v>6354</v>
      </c>
      <c r="O695" s="20">
        <f t="shared" si="170"/>
        <v>87918.181818181809</v>
      </c>
      <c r="P695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696" spans="2:16" x14ac:dyDescent="0.3">
      <c r="B696" s="2">
        <v>44215</v>
      </c>
      <c r="C696" s="19" t="str">
        <f t="shared" si="169"/>
        <v>화</v>
      </c>
      <c r="E696" s="17" t="str">
        <f>INDEX(매칭테이블!C:C,MATCH(RD!G696,매칭테이블!D:D,0))</f>
        <v>샴푸</v>
      </c>
      <c r="F696" t="s">
        <v>91</v>
      </c>
      <c r="G696" t="s">
        <v>127</v>
      </c>
      <c r="H696">
        <v>298</v>
      </c>
      <c r="I696" s="17" t="str">
        <f>VLOOKUP(G696,매칭테이블!D:E,2,0)</f>
        <v>리바이탈 샴푸</v>
      </c>
      <c r="J696">
        <v>201210</v>
      </c>
      <c r="L696" s="19">
        <f>VLOOKUP($P696,매칭테이블!$G:$J,2,0)*H696</f>
        <v>8016200</v>
      </c>
      <c r="M696" s="19">
        <f>L696-L696*VLOOKUP($P696,매칭테이블!$G:$J,3,0)</f>
        <v>7547252.2999999998</v>
      </c>
      <c r="N696" s="19">
        <f>VLOOKUP($P696,매칭테이블!$G:$J,4,0)*H696</f>
        <v>899960</v>
      </c>
      <c r="O696" s="20">
        <f t="shared" si="170"/>
        <v>7287454.5454545449</v>
      </c>
      <c r="P696" s="19" t="str">
        <f t="shared" si="162"/>
        <v>카페24샴푸라베나 리커버리 15 리바이탈 샴푸 [HAIR RÉ:COVERY 15 Revital Shampoo]제품선택=헤어 리커버리 15 리바이탈 샴푸 - 500ml201210</v>
      </c>
    </row>
    <row r="697" spans="2:16" x14ac:dyDescent="0.3">
      <c r="B697" s="2">
        <v>44215</v>
      </c>
      <c r="C697" s="19" t="str">
        <f t="shared" si="169"/>
        <v>화</v>
      </c>
      <c r="E697" s="17" t="str">
        <f>INDEX(매칭테이블!C:C,MATCH(RD!G697,매칭테이블!D:D,0))</f>
        <v>샴푸</v>
      </c>
      <c r="F697" t="s">
        <v>91</v>
      </c>
      <c r="G697" t="s">
        <v>128</v>
      </c>
      <c r="H697">
        <v>59</v>
      </c>
      <c r="I697" s="17" t="str">
        <f>VLOOKUP(G697,매칭테이블!D:E,2,0)</f>
        <v>리바이탈 샴푸 2set</v>
      </c>
      <c r="J697">
        <v>201210</v>
      </c>
      <c r="L697" s="19">
        <f>VLOOKUP($P697,매칭테이블!$G:$J,2,0)*H697</f>
        <v>3015490</v>
      </c>
      <c r="M697" s="19">
        <f>L697-L697*VLOOKUP($P697,매칭테이블!$G:$J,3,0)</f>
        <v>2839083.835</v>
      </c>
      <c r="N697" s="19">
        <f>VLOOKUP($P697,매칭테이블!$G:$J,4,0)*H697</f>
        <v>356360</v>
      </c>
      <c r="O697" s="20">
        <f t="shared" si="170"/>
        <v>2741354.5454545454</v>
      </c>
      <c r="P697" s="19" t="str">
        <f t="shared" si="162"/>
        <v>카페24샴푸라베나 리커버리 15 리바이탈 샴푸 [HAIR RÉ:COVERY 15 Revital Shampoo]제품선택=리바이탈 샴푸 2개 세트 5%추가할인201210</v>
      </c>
    </row>
    <row r="698" spans="2:16" x14ac:dyDescent="0.3">
      <c r="B698" s="2">
        <v>44215</v>
      </c>
      <c r="C698" s="19" t="str">
        <f t="shared" si="169"/>
        <v>화</v>
      </c>
      <c r="E698" s="17" t="str">
        <f>INDEX(매칭테이블!C:C,MATCH(RD!G698,매칭테이블!D:D,0))</f>
        <v>샴푸</v>
      </c>
      <c r="F698" t="s">
        <v>91</v>
      </c>
      <c r="G698" t="s">
        <v>129</v>
      </c>
      <c r="H698">
        <v>25</v>
      </c>
      <c r="I698" s="17" t="str">
        <f>VLOOKUP(G698,매칭테이블!D:E,2,0)</f>
        <v>리바이탈 샴푸 3set</v>
      </c>
      <c r="J698">
        <v>201210</v>
      </c>
      <c r="L698" s="19">
        <f>VLOOKUP($P698,매칭테이블!$G:$J,2,0)*H698</f>
        <v>1815750</v>
      </c>
      <c r="M698" s="19">
        <f>L698-L698*VLOOKUP($P698,매칭테이블!$G:$J,3,0)</f>
        <v>1709528.625</v>
      </c>
      <c r="N698" s="19">
        <f>VLOOKUP($P698,매칭테이블!$G:$J,4,0)*H698</f>
        <v>226500</v>
      </c>
      <c r="O698" s="20">
        <f t="shared" si="170"/>
        <v>1650681.8181818181</v>
      </c>
      <c r="P698" s="19" t="str">
        <f t="shared" si="162"/>
        <v>카페24샴푸라베나 리커버리 15 리바이탈 샴푸 [HAIR RÉ:COVERY 15 Revital Shampoo]제품선택=리바이탈 샴푸 3개 세트 10% 추가할인201210</v>
      </c>
    </row>
    <row r="699" spans="2:16" x14ac:dyDescent="0.3">
      <c r="B699" s="2">
        <v>44215</v>
      </c>
      <c r="C699" s="19" t="str">
        <f t="shared" si="169"/>
        <v>화</v>
      </c>
      <c r="E699" s="17" t="str">
        <f>INDEX(매칭테이블!C:C,MATCH(RD!G699,매칭테이블!D:D,0))</f>
        <v>트리트먼트</v>
      </c>
      <c r="F699" t="s">
        <v>91</v>
      </c>
      <c r="G699" t="s">
        <v>130</v>
      </c>
      <c r="H699">
        <v>14</v>
      </c>
      <c r="I699" s="17" t="str">
        <f>VLOOKUP(G699,매칭테이블!D:E,2,0)</f>
        <v>트리트먼트</v>
      </c>
      <c r="J699">
        <v>201210</v>
      </c>
      <c r="L699" s="19">
        <f>VLOOKUP($P699,매칭테이블!$G:$J,2,0)*H699</f>
        <v>364000</v>
      </c>
      <c r="M699" s="19">
        <f>L699-L699*VLOOKUP($P699,매칭테이블!$G:$J,3,0)</f>
        <v>342706</v>
      </c>
      <c r="N699" s="19">
        <f>VLOOKUP($P699,매칭테이블!$G:$J,4,0)*H699</f>
        <v>22358</v>
      </c>
      <c r="O699" s="20">
        <f t="shared" si="170"/>
        <v>330909.09090909088</v>
      </c>
      <c r="P699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700" spans="2:16" x14ac:dyDescent="0.3">
      <c r="B700" s="2">
        <v>44215</v>
      </c>
      <c r="C700" s="19" t="str">
        <f t="shared" ref="C700" si="171">TEXT(B700,"aaa")</f>
        <v>화</v>
      </c>
      <c r="E700" s="17" t="str">
        <f>INDEX(매칭테이블!C:C,MATCH(RD!G700,매칭테이블!D:D,0))</f>
        <v>샴푸</v>
      </c>
      <c r="F700" t="s">
        <v>91</v>
      </c>
      <c r="G700" t="s">
        <v>123</v>
      </c>
      <c r="H700">
        <v>9</v>
      </c>
      <c r="I700" s="17" t="str">
        <f>VLOOKUP(G700,매칭테이블!D:E,2,0)</f>
        <v>리바이탈 샴푸</v>
      </c>
      <c r="J700">
        <v>201210</v>
      </c>
      <c r="L700" s="19">
        <f>VLOOKUP($P700,매칭테이블!$G:$J,2,0)*H700</f>
        <v>242100</v>
      </c>
      <c r="M700" s="19">
        <f>L700-L700*VLOOKUP($P700,매칭테이블!$G:$J,3,0)</f>
        <v>227937.15</v>
      </c>
      <c r="N700" s="19">
        <f>VLOOKUP($P700,매칭테이블!$G:$J,4,0)*H700</f>
        <v>27180</v>
      </c>
      <c r="O700" s="20">
        <f t="shared" ref="O700" si="172">L700/1.1</f>
        <v>220090.90909090906</v>
      </c>
      <c r="P700" s="19" t="str">
        <f t="shared" si="162"/>
        <v>카페24샴푸헤어 리커버리 15 리바이탈 샴푸201210</v>
      </c>
    </row>
    <row r="701" spans="2:16" x14ac:dyDescent="0.3">
      <c r="B701" s="2">
        <v>44216</v>
      </c>
      <c r="C701" s="19" t="str">
        <f t="shared" ref="C701" si="173">TEXT(B701,"aaa")</f>
        <v>수</v>
      </c>
      <c r="E701" s="17" t="str">
        <f>INDEX(매칭테이블!C:C,MATCH(RD!G701,매칭테이블!D:D,0))</f>
        <v>뉴트리셔스밤</v>
      </c>
      <c r="F701" t="s">
        <v>91</v>
      </c>
      <c r="G701" t="s">
        <v>124</v>
      </c>
      <c r="H701">
        <v>6</v>
      </c>
      <c r="I701" s="17" t="str">
        <f>VLOOKUP(G701,매칭테이블!D:E,2,0)</f>
        <v>뉴트리셔스밤</v>
      </c>
      <c r="J701">
        <v>201210</v>
      </c>
      <c r="L701" s="19">
        <f>VLOOKUP($P701,매칭테이블!$G:$J,2,0)*H701</f>
        <v>149400</v>
      </c>
      <c r="M701" s="19">
        <f>L701-L701*VLOOKUP($P701,매칭테이블!$G:$J,3,0)</f>
        <v>140660.1</v>
      </c>
      <c r="N701" s="19">
        <f>VLOOKUP($P701,매칭테이블!$G:$J,4,0)*H701</f>
        <v>9480</v>
      </c>
      <c r="O701" s="20">
        <f t="shared" ref="O701" si="174">L701/1.1</f>
        <v>135818.18181818179</v>
      </c>
      <c r="P701" s="19" t="str">
        <f t="shared" si="162"/>
        <v>카페24뉴트리셔스밤라베나 리커버리 15 뉴트리셔스 밤 [HAIR RÉ:COVERY 15 Nutritious Balm]제품선택=헤어 리커버리 15 뉴트리셔스 밤201210</v>
      </c>
    </row>
    <row r="702" spans="2:16" x14ac:dyDescent="0.3">
      <c r="B702" s="2">
        <v>44216</v>
      </c>
      <c r="C702" s="19" t="str">
        <f t="shared" ref="C702:C711" si="175">TEXT(B702,"aaa")</f>
        <v>수</v>
      </c>
      <c r="E702" s="17" t="str">
        <f>INDEX(매칭테이블!C:C,MATCH(RD!G702,매칭테이블!D:D,0))</f>
        <v>뉴트리셔스밤</v>
      </c>
      <c r="F702" t="s">
        <v>91</v>
      </c>
      <c r="G702" t="s">
        <v>125</v>
      </c>
      <c r="H702">
        <v>1</v>
      </c>
      <c r="I702" s="17" t="str">
        <f>VLOOKUP(G702,매칭테이블!D:E,2,0)</f>
        <v>뉴트리셔스밤 2set</v>
      </c>
      <c r="J702">
        <v>201210</v>
      </c>
      <c r="L702" s="19">
        <f>VLOOKUP($P702,매칭테이블!$G:$J,2,0)*H702</f>
        <v>47310</v>
      </c>
      <c r="M702" s="19">
        <f>L702-L702*VLOOKUP($P702,매칭테이블!$G:$J,3,0)</f>
        <v>44542.364999999998</v>
      </c>
      <c r="N702" s="19">
        <f>VLOOKUP($P702,매칭테이블!$G:$J,4,0)*H702</f>
        <v>3160</v>
      </c>
      <c r="O702" s="20">
        <f t="shared" ref="O702:O711" si="176">L702/1.1</f>
        <v>43009.090909090904</v>
      </c>
      <c r="P702" s="19" t="str">
        <f t="shared" si="162"/>
        <v>카페24뉴트리셔스밤라베나 리커버리 15 뉴트리셔스 밤 [HAIR RÉ:COVERY 15 Nutritious Balm]제품선택=뉴트리셔스 밤 2개 세트 5% 추가할인201210</v>
      </c>
    </row>
    <row r="703" spans="2:16" x14ac:dyDescent="0.3">
      <c r="B703" s="2">
        <v>44216</v>
      </c>
      <c r="C703" s="19" t="str">
        <f t="shared" si="175"/>
        <v>수</v>
      </c>
      <c r="E703" s="17" t="str">
        <f>INDEX(매칭테이블!C:C,MATCH(RD!G703,매칭테이블!D:D,0))</f>
        <v>뉴트리셔스밤</v>
      </c>
      <c r="F703" t="s">
        <v>91</v>
      </c>
      <c r="G703" t="s">
        <v>126</v>
      </c>
      <c r="H703">
        <v>1</v>
      </c>
      <c r="I703" s="17" t="str">
        <f>VLOOKUP(G703,매칭테이블!D:E,2,0)</f>
        <v>트리트먼트+뉴트리셔스밤</v>
      </c>
      <c r="J703">
        <v>201210</v>
      </c>
      <c r="L703" s="19">
        <f>VLOOKUP($P703,매칭테이블!$G:$J,2,0)*H703</f>
        <v>48355</v>
      </c>
      <c r="M703" s="19">
        <f>L703-L703*VLOOKUP($P703,매칭테이블!$G:$J,3,0)</f>
        <v>45526.232499999998</v>
      </c>
      <c r="N703" s="19">
        <f>VLOOKUP($P703,매칭테이블!$G:$J,4,0)*H703</f>
        <v>3177</v>
      </c>
      <c r="O703" s="20">
        <f t="shared" si="176"/>
        <v>43959.090909090904</v>
      </c>
      <c r="P703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704" spans="2:16" x14ac:dyDescent="0.3">
      <c r="B704" s="2">
        <v>44216</v>
      </c>
      <c r="C704" s="19" t="str">
        <f t="shared" si="175"/>
        <v>수</v>
      </c>
      <c r="E704" s="17" t="str">
        <f>INDEX(매칭테이블!C:C,MATCH(RD!G704,매칭테이블!D:D,0))</f>
        <v>샴푸</v>
      </c>
      <c r="F704" t="s">
        <v>91</v>
      </c>
      <c r="G704" t="s">
        <v>127</v>
      </c>
      <c r="H704">
        <v>206</v>
      </c>
      <c r="I704" s="17" t="str">
        <f>VLOOKUP(G704,매칭테이블!D:E,2,0)</f>
        <v>리바이탈 샴푸</v>
      </c>
      <c r="J704">
        <v>201210</v>
      </c>
      <c r="L704" s="19">
        <f>VLOOKUP($P704,매칭테이블!$G:$J,2,0)*H704</f>
        <v>5541400</v>
      </c>
      <c r="M704" s="19">
        <f>L704-L704*VLOOKUP($P704,매칭테이블!$G:$J,3,0)</f>
        <v>5217228.0999999996</v>
      </c>
      <c r="N704" s="19">
        <f>VLOOKUP($P704,매칭테이블!$G:$J,4,0)*H704</f>
        <v>622120</v>
      </c>
      <c r="O704" s="20">
        <f t="shared" si="176"/>
        <v>5037636.3636363633</v>
      </c>
      <c r="P704" s="19" t="str">
        <f t="shared" si="162"/>
        <v>카페24샴푸라베나 리커버리 15 리바이탈 샴푸 [HAIR RÉ:COVERY 15 Revital Shampoo]제품선택=헤어 리커버리 15 리바이탈 샴푸 - 500ml201210</v>
      </c>
    </row>
    <row r="705" spans="2:16" x14ac:dyDescent="0.3">
      <c r="B705" s="2">
        <v>44216</v>
      </c>
      <c r="C705" s="19" t="str">
        <f t="shared" si="175"/>
        <v>수</v>
      </c>
      <c r="E705" s="17" t="str">
        <f>INDEX(매칭테이블!C:C,MATCH(RD!G705,매칭테이블!D:D,0))</f>
        <v>샴푸</v>
      </c>
      <c r="F705" t="s">
        <v>91</v>
      </c>
      <c r="G705" t="s">
        <v>128</v>
      </c>
      <c r="H705">
        <v>57</v>
      </c>
      <c r="I705" s="17" t="str">
        <f>VLOOKUP(G705,매칭테이블!D:E,2,0)</f>
        <v>리바이탈 샴푸 2set</v>
      </c>
      <c r="J705">
        <v>201210</v>
      </c>
      <c r="L705" s="19">
        <f>VLOOKUP($P705,매칭테이블!$G:$J,2,0)*H705</f>
        <v>2913270</v>
      </c>
      <c r="M705" s="19">
        <f>L705-L705*VLOOKUP($P705,매칭테이블!$G:$J,3,0)</f>
        <v>2742843.7050000001</v>
      </c>
      <c r="N705" s="19">
        <f>VLOOKUP($P705,매칭테이블!$G:$J,4,0)*H705</f>
        <v>344280</v>
      </c>
      <c r="O705" s="20">
        <f t="shared" si="176"/>
        <v>2648427.2727272725</v>
      </c>
      <c r="P705" s="19" t="str">
        <f t="shared" si="162"/>
        <v>카페24샴푸라베나 리커버리 15 리바이탈 샴푸 [HAIR RÉ:COVERY 15 Revital Shampoo]제품선택=리바이탈 샴푸 2개 세트 5%추가할인201210</v>
      </c>
    </row>
    <row r="706" spans="2:16" x14ac:dyDescent="0.3">
      <c r="B706" s="2">
        <v>44216</v>
      </c>
      <c r="C706" s="19" t="str">
        <f t="shared" si="175"/>
        <v>수</v>
      </c>
      <c r="E706" s="17" t="str">
        <f>INDEX(매칭테이블!C:C,MATCH(RD!G706,매칭테이블!D:D,0))</f>
        <v>샴푸</v>
      </c>
      <c r="F706" t="s">
        <v>91</v>
      </c>
      <c r="G706" t="s">
        <v>129</v>
      </c>
      <c r="H706">
        <v>14</v>
      </c>
      <c r="I706" s="17" t="str">
        <f>VLOOKUP(G706,매칭테이블!D:E,2,0)</f>
        <v>리바이탈 샴푸 3set</v>
      </c>
      <c r="J706">
        <v>201210</v>
      </c>
      <c r="L706" s="19">
        <f>VLOOKUP($P706,매칭테이블!$G:$J,2,0)*H706</f>
        <v>1016820</v>
      </c>
      <c r="M706" s="19">
        <f>L706-L706*VLOOKUP($P706,매칭테이블!$G:$J,3,0)</f>
        <v>957336.03</v>
      </c>
      <c r="N706" s="19">
        <f>VLOOKUP($P706,매칭테이블!$G:$J,4,0)*H706</f>
        <v>126840</v>
      </c>
      <c r="O706" s="20">
        <f t="shared" si="176"/>
        <v>924381.81818181812</v>
      </c>
      <c r="P706" s="19" t="str">
        <f t="shared" si="162"/>
        <v>카페24샴푸라베나 리커버리 15 리바이탈 샴푸 [HAIR RÉ:COVERY 15 Revital Shampoo]제품선택=리바이탈 샴푸 3개 세트 10% 추가할인201210</v>
      </c>
    </row>
    <row r="707" spans="2:16" x14ac:dyDescent="0.3">
      <c r="B707" s="2">
        <v>44216</v>
      </c>
      <c r="C707" s="19" t="str">
        <f t="shared" si="175"/>
        <v>수</v>
      </c>
      <c r="E707" s="17" t="str">
        <f>INDEX(매칭테이블!C:C,MATCH(RD!G707,매칭테이블!D:D,0))</f>
        <v>트리트먼트</v>
      </c>
      <c r="F707" t="s">
        <v>91</v>
      </c>
      <c r="G707" t="s">
        <v>130</v>
      </c>
      <c r="H707">
        <v>7</v>
      </c>
      <c r="I707" s="17" t="str">
        <f>VLOOKUP(G707,매칭테이블!D:E,2,0)</f>
        <v>트리트먼트</v>
      </c>
      <c r="J707">
        <v>201210</v>
      </c>
      <c r="L707" s="19">
        <f>VLOOKUP($P707,매칭테이블!$G:$J,2,0)*H707</f>
        <v>182000</v>
      </c>
      <c r="M707" s="19">
        <f>L707-L707*VLOOKUP($P707,매칭테이블!$G:$J,3,0)</f>
        <v>171353</v>
      </c>
      <c r="N707" s="19">
        <f>VLOOKUP($P707,매칭테이블!$G:$J,4,0)*H707</f>
        <v>11179</v>
      </c>
      <c r="O707" s="20">
        <f t="shared" si="176"/>
        <v>165454.54545454544</v>
      </c>
      <c r="P707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708" spans="2:16" x14ac:dyDescent="0.3">
      <c r="B708" s="2">
        <v>44216</v>
      </c>
      <c r="C708" s="19" t="str">
        <f t="shared" si="175"/>
        <v>수</v>
      </c>
      <c r="E708" s="17" t="str">
        <f>INDEX(매칭테이블!C:C,MATCH(RD!G708,매칭테이블!D:D,0))</f>
        <v>트리트먼트</v>
      </c>
      <c r="F708" t="s">
        <v>91</v>
      </c>
      <c r="G708" t="s">
        <v>131</v>
      </c>
      <c r="H708">
        <v>2</v>
      </c>
      <c r="I708" s="17" t="str">
        <f>VLOOKUP(G708,매칭테이블!D:E,2,0)</f>
        <v>트리트먼트 2set</v>
      </c>
      <c r="J708">
        <v>201210</v>
      </c>
      <c r="L708" s="19">
        <f>VLOOKUP($P708,매칭테이블!$G:$J,2,0)*H708</f>
        <v>98800</v>
      </c>
      <c r="M708" s="19">
        <f>L708-L708*VLOOKUP($P708,매칭테이블!$G:$J,3,0)</f>
        <v>93020.2</v>
      </c>
      <c r="N708" s="19">
        <f>VLOOKUP($P708,매칭테이블!$G:$J,4,0)*H708</f>
        <v>6388</v>
      </c>
      <c r="O708" s="20">
        <f t="shared" si="176"/>
        <v>89818.181818181809</v>
      </c>
      <c r="P708" s="19" t="str">
        <f t="shared" si="162"/>
        <v>카페24트리트먼트라베나 리커버리 15 헤어팩 트리트먼트 [HAIR RÉ:COVERY 15 Hairpack Treatment]제품선택=헤어팩 트리트먼트 2개 세트 5% 추가할인201210</v>
      </c>
    </row>
    <row r="709" spans="2:16" x14ac:dyDescent="0.3">
      <c r="B709" s="2">
        <v>44216</v>
      </c>
      <c r="C709" s="19" t="str">
        <f t="shared" si="175"/>
        <v>수</v>
      </c>
      <c r="E709" s="17" t="str">
        <f>INDEX(매칭테이블!C:C,MATCH(RD!G709,매칭테이블!D:D,0))</f>
        <v>트리트먼트</v>
      </c>
      <c r="F709" t="s">
        <v>91</v>
      </c>
      <c r="G709" t="s">
        <v>132</v>
      </c>
      <c r="H709">
        <v>1</v>
      </c>
      <c r="I709" s="17" t="str">
        <f>VLOOKUP(G709,매칭테이블!D:E,2,0)</f>
        <v>트리트먼트 3set</v>
      </c>
      <c r="J709">
        <v>201210</v>
      </c>
      <c r="L709" s="19">
        <f>VLOOKUP($P709,매칭테이블!$G:$J,2,0)*H709</f>
        <v>70200</v>
      </c>
      <c r="M709" s="19">
        <f>L709-L709*VLOOKUP($P709,매칭테이블!$G:$J,3,0)</f>
        <v>66093.3</v>
      </c>
      <c r="N709" s="19">
        <f>VLOOKUP($P709,매칭테이블!$G:$J,4,0)*H709</f>
        <v>4791</v>
      </c>
      <c r="O709" s="20">
        <f t="shared" si="176"/>
        <v>63818.181818181816</v>
      </c>
      <c r="P709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710" spans="2:16" x14ac:dyDescent="0.3">
      <c r="B710" s="2">
        <v>44216</v>
      </c>
      <c r="C710" s="19" t="str">
        <f t="shared" si="175"/>
        <v>수</v>
      </c>
      <c r="E710" s="17" t="str">
        <f>INDEX(매칭테이블!C:C,MATCH(RD!G710,매칭테이블!D:D,0))</f>
        <v>트리트먼트</v>
      </c>
      <c r="F710" t="s">
        <v>91</v>
      </c>
      <c r="G710" t="s">
        <v>133</v>
      </c>
      <c r="H710">
        <v>1</v>
      </c>
      <c r="I710" s="17" t="str">
        <f>VLOOKUP(G710,매칭테이블!D:E,2,0)</f>
        <v>트리트먼트+뉴트리셔스밤</v>
      </c>
      <c r="J710">
        <v>201210</v>
      </c>
      <c r="L710" s="19">
        <f>VLOOKUP($P710,매칭테이블!$G:$J,2,0)*H710</f>
        <v>48355</v>
      </c>
      <c r="M710" s="19">
        <f>L710-L710*VLOOKUP($P710,매칭테이블!$G:$J,3,0)</f>
        <v>45526.232499999998</v>
      </c>
      <c r="N710" s="19">
        <f>VLOOKUP($P710,매칭테이블!$G:$J,4,0)*H710</f>
        <v>3177</v>
      </c>
      <c r="O710" s="20">
        <f t="shared" si="176"/>
        <v>43959.090909090904</v>
      </c>
      <c r="P710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711" spans="2:16" x14ac:dyDescent="0.3">
      <c r="B711" s="2">
        <v>44216</v>
      </c>
      <c r="C711" s="19" t="str">
        <f t="shared" si="175"/>
        <v>수</v>
      </c>
      <c r="E711" s="17" t="str">
        <f>INDEX(매칭테이블!C:C,MATCH(RD!G711,매칭테이블!D:D,0))</f>
        <v>샴푸</v>
      </c>
      <c r="F711" t="s">
        <v>91</v>
      </c>
      <c r="G711" t="s">
        <v>123</v>
      </c>
      <c r="H711">
        <v>2</v>
      </c>
      <c r="I711" s="17" t="str">
        <f>VLOOKUP(G711,매칭테이블!D:E,2,0)</f>
        <v>리바이탈 샴푸</v>
      </c>
      <c r="J711">
        <v>201210</v>
      </c>
      <c r="L711" s="19">
        <f>VLOOKUP($P711,매칭테이블!$G:$J,2,0)*H711</f>
        <v>53800</v>
      </c>
      <c r="M711" s="19">
        <f>L711-L711*VLOOKUP($P711,매칭테이블!$G:$J,3,0)</f>
        <v>50652.7</v>
      </c>
      <c r="N711" s="19">
        <f>VLOOKUP($P711,매칭테이블!$G:$J,4,0)*H711</f>
        <v>6040</v>
      </c>
      <c r="O711" s="20">
        <f t="shared" si="176"/>
        <v>48909.090909090904</v>
      </c>
      <c r="P711" s="19" t="str">
        <f t="shared" si="162"/>
        <v>카페24샴푸헤어 리커버리 15 리바이탈 샴푸201210</v>
      </c>
    </row>
    <row r="712" spans="2:16" x14ac:dyDescent="0.3">
      <c r="B712" s="2">
        <v>44217</v>
      </c>
      <c r="C712" s="19" t="str">
        <f t="shared" ref="C712" si="177">TEXT(B712,"aaa")</f>
        <v>목</v>
      </c>
      <c r="E712" s="17" t="str">
        <f>INDEX(매칭테이블!C:C,MATCH(RD!G712,매칭테이블!D:D,0))</f>
        <v>샴푸</v>
      </c>
      <c r="F712" t="s">
        <v>95</v>
      </c>
      <c r="G712" t="s">
        <v>123</v>
      </c>
      <c r="H712">
        <v>1</v>
      </c>
      <c r="I712" s="17" t="str">
        <f>VLOOKUP(G712,매칭테이블!D:E,2,0)</f>
        <v>리바이탈 샴푸</v>
      </c>
      <c r="J712">
        <v>201210</v>
      </c>
      <c r="L712" s="19">
        <f>VLOOKUP($P712,매칭테이블!$G:$J,2,0)*H712</f>
        <v>0</v>
      </c>
      <c r="M712" s="19">
        <f>L712-L712*VLOOKUP($P712,매칭테이블!$G:$J,3,0)</f>
        <v>0</v>
      </c>
      <c r="N712" s="19">
        <f>VLOOKUP($P712,매칭테이블!$G:$J,4,0)*H712</f>
        <v>3020</v>
      </c>
      <c r="O712" s="20">
        <f t="shared" ref="O712" si="178">L712/1.1</f>
        <v>0</v>
      </c>
      <c r="P712" s="19" t="str">
        <f t="shared" si="162"/>
        <v>라베나 CS샴푸헤어 리커버리 15 리바이탈 샴푸201210</v>
      </c>
    </row>
    <row r="713" spans="2:16" x14ac:dyDescent="0.3">
      <c r="B713" s="2">
        <v>44217</v>
      </c>
      <c r="C713" s="19" t="str">
        <f t="shared" ref="C713:C723" si="179">TEXT(B713,"aaa")</f>
        <v>목</v>
      </c>
      <c r="E713" s="17" t="str">
        <f>INDEX(매칭테이블!C:C,MATCH(RD!G713,매칭테이블!D:D,0))</f>
        <v>샴푸</v>
      </c>
      <c r="F713" t="s">
        <v>91</v>
      </c>
      <c r="G713" t="s">
        <v>92</v>
      </c>
      <c r="H713">
        <v>2</v>
      </c>
      <c r="I713" s="17" t="str">
        <f>VLOOKUP(G713,매칭테이블!D:E,2,0)</f>
        <v>리바이탈 샴푸</v>
      </c>
      <c r="J713">
        <v>201210</v>
      </c>
      <c r="L713" s="19">
        <f>VLOOKUP($P713,매칭테이블!$G:$J,2,0)*H713</f>
        <v>53800</v>
      </c>
      <c r="M713" s="19">
        <f>L713-L713*VLOOKUP($P713,매칭테이블!$G:$J,3,0)</f>
        <v>50652.7</v>
      </c>
      <c r="N713" s="19">
        <f>VLOOKUP($P713,매칭테이블!$G:$J,4,0)*H713</f>
        <v>6040</v>
      </c>
      <c r="O713" s="20">
        <f t="shared" ref="O713:O723" si="180">L713/1.1</f>
        <v>48909.090909090904</v>
      </c>
      <c r="P713" s="19" t="str">
        <f t="shared" si="162"/>
        <v>카페24샴푸HAIR RÉ:COVERY 15 Revital Shampoo [라베나 리커버리 15 리바이탈 샴푸]제품선택=헤어 리커버리 15 리바이탈 샴푸 - 500ml201210</v>
      </c>
    </row>
    <row r="714" spans="2:16" x14ac:dyDescent="0.3">
      <c r="B714" s="2">
        <v>44217</v>
      </c>
      <c r="C714" s="19" t="str">
        <f t="shared" si="179"/>
        <v>목</v>
      </c>
      <c r="E714" s="17" t="str">
        <f>INDEX(매칭테이블!C:C,MATCH(RD!G714,매칭테이블!D:D,0))</f>
        <v>뉴트리셔스밤</v>
      </c>
      <c r="F714" t="s">
        <v>91</v>
      </c>
      <c r="G714" t="s">
        <v>124</v>
      </c>
      <c r="H714">
        <v>3</v>
      </c>
      <c r="I714" s="17" t="str">
        <f>VLOOKUP(G714,매칭테이블!D:E,2,0)</f>
        <v>뉴트리셔스밤</v>
      </c>
      <c r="J714">
        <v>201210</v>
      </c>
      <c r="L714" s="19">
        <f>VLOOKUP($P714,매칭테이블!$G:$J,2,0)*H714</f>
        <v>74700</v>
      </c>
      <c r="M714" s="19">
        <f>L714-L714*VLOOKUP($P714,매칭테이블!$G:$J,3,0)</f>
        <v>70330.05</v>
      </c>
      <c r="N714" s="19">
        <f>VLOOKUP($P714,매칭테이블!$G:$J,4,0)*H714</f>
        <v>4740</v>
      </c>
      <c r="O714" s="20">
        <f t="shared" si="180"/>
        <v>67909.090909090897</v>
      </c>
      <c r="P714" s="19" t="str">
        <f t="shared" si="162"/>
        <v>카페24뉴트리셔스밤라베나 리커버리 15 뉴트리셔스 밤 [HAIR RÉ:COVERY 15 Nutritious Balm]제품선택=헤어 리커버리 15 뉴트리셔스 밤201210</v>
      </c>
    </row>
    <row r="715" spans="2:16" x14ac:dyDescent="0.3">
      <c r="B715" s="2">
        <v>44217</v>
      </c>
      <c r="C715" s="19" t="str">
        <f t="shared" si="179"/>
        <v>목</v>
      </c>
      <c r="E715" s="17" t="str">
        <f>INDEX(매칭테이블!C:C,MATCH(RD!G715,매칭테이블!D:D,0))</f>
        <v>뉴트리셔스밤</v>
      </c>
      <c r="F715" t="s">
        <v>91</v>
      </c>
      <c r="G715" t="s">
        <v>125</v>
      </c>
      <c r="H715">
        <v>1</v>
      </c>
      <c r="I715" s="17" t="str">
        <f>VLOOKUP(G715,매칭테이블!D:E,2,0)</f>
        <v>뉴트리셔스밤 2set</v>
      </c>
      <c r="J715">
        <v>201210</v>
      </c>
      <c r="L715" s="19">
        <f>VLOOKUP($P715,매칭테이블!$G:$J,2,0)*H715</f>
        <v>47310</v>
      </c>
      <c r="M715" s="19">
        <f>L715-L715*VLOOKUP($P715,매칭테이블!$G:$J,3,0)</f>
        <v>44542.364999999998</v>
      </c>
      <c r="N715" s="19">
        <f>VLOOKUP($P715,매칭테이블!$G:$J,4,0)*H715</f>
        <v>3160</v>
      </c>
      <c r="O715" s="20">
        <f t="shared" si="180"/>
        <v>43009.090909090904</v>
      </c>
      <c r="P715" s="19" t="str">
        <f t="shared" si="162"/>
        <v>카페24뉴트리셔스밤라베나 리커버리 15 뉴트리셔스 밤 [HAIR RÉ:COVERY 15 Nutritious Balm]제품선택=뉴트리셔스 밤 2개 세트 5% 추가할인201210</v>
      </c>
    </row>
    <row r="716" spans="2:16" x14ac:dyDescent="0.3">
      <c r="B716" s="2">
        <v>44217</v>
      </c>
      <c r="C716" s="19" t="str">
        <f t="shared" si="179"/>
        <v>목</v>
      </c>
      <c r="E716" s="17" t="str">
        <f>INDEX(매칭테이블!C:C,MATCH(RD!G716,매칭테이블!D:D,0))</f>
        <v>뉴트리셔스밤</v>
      </c>
      <c r="F716" t="s">
        <v>91</v>
      </c>
      <c r="G716" t="s">
        <v>126</v>
      </c>
      <c r="H716">
        <v>2</v>
      </c>
      <c r="I716" s="17" t="str">
        <f>VLOOKUP(G716,매칭테이블!D:E,2,0)</f>
        <v>트리트먼트+뉴트리셔스밤</v>
      </c>
      <c r="J716">
        <v>201210</v>
      </c>
      <c r="L716" s="19">
        <f>VLOOKUP($P716,매칭테이블!$G:$J,2,0)*H716</f>
        <v>96710</v>
      </c>
      <c r="M716" s="19">
        <f>L716-L716*VLOOKUP($P716,매칭테이블!$G:$J,3,0)</f>
        <v>91052.464999999997</v>
      </c>
      <c r="N716" s="19">
        <f>VLOOKUP($P716,매칭테이블!$G:$J,4,0)*H716</f>
        <v>6354</v>
      </c>
      <c r="O716" s="20">
        <f t="shared" si="180"/>
        <v>87918.181818181809</v>
      </c>
      <c r="P716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717" spans="2:16" x14ac:dyDescent="0.3">
      <c r="B717" s="2">
        <v>44217</v>
      </c>
      <c r="C717" s="19" t="str">
        <f t="shared" si="179"/>
        <v>목</v>
      </c>
      <c r="E717" s="17" t="str">
        <f>INDEX(매칭테이블!C:C,MATCH(RD!G717,매칭테이블!D:D,0))</f>
        <v>샴푸</v>
      </c>
      <c r="F717" t="s">
        <v>91</v>
      </c>
      <c r="G717" t="s">
        <v>127</v>
      </c>
      <c r="H717">
        <v>181</v>
      </c>
      <c r="I717" s="17" t="str">
        <f>VLOOKUP(G717,매칭테이블!D:E,2,0)</f>
        <v>리바이탈 샴푸</v>
      </c>
      <c r="J717">
        <v>201210</v>
      </c>
      <c r="L717" s="19">
        <f>VLOOKUP($P717,매칭테이블!$G:$J,2,0)*H717</f>
        <v>4868900</v>
      </c>
      <c r="M717" s="19">
        <f>L717-L717*VLOOKUP($P717,매칭테이블!$G:$J,3,0)</f>
        <v>4584069.3499999996</v>
      </c>
      <c r="N717" s="19">
        <f>VLOOKUP($P717,매칭테이블!$G:$J,4,0)*H717</f>
        <v>546620</v>
      </c>
      <c r="O717" s="20">
        <f t="shared" si="180"/>
        <v>4426272.7272727266</v>
      </c>
      <c r="P717" s="19" t="str">
        <f t="shared" si="162"/>
        <v>카페24샴푸라베나 리커버리 15 리바이탈 샴푸 [HAIR RÉ:COVERY 15 Revital Shampoo]제품선택=헤어 리커버리 15 리바이탈 샴푸 - 500ml201210</v>
      </c>
    </row>
    <row r="718" spans="2:16" x14ac:dyDescent="0.3">
      <c r="B718" s="2">
        <v>44217</v>
      </c>
      <c r="C718" s="19" t="str">
        <f t="shared" si="179"/>
        <v>목</v>
      </c>
      <c r="E718" s="17" t="str">
        <f>INDEX(매칭테이블!C:C,MATCH(RD!G718,매칭테이블!D:D,0))</f>
        <v>샴푸</v>
      </c>
      <c r="F718" t="s">
        <v>91</v>
      </c>
      <c r="G718" t="s">
        <v>128</v>
      </c>
      <c r="H718">
        <v>56</v>
      </c>
      <c r="I718" s="17" t="str">
        <f>VLOOKUP(G718,매칭테이블!D:E,2,0)</f>
        <v>리바이탈 샴푸 2set</v>
      </c>
      <c r="J718">
        <v>201210</v>
      </c>
      <c r="L718" s="19">
        <f>VLOOKUP($P718,매칭테이블!$G:$J,2,0)*H718</f>
        <v>2862160</v>
      </c>
      <c r="M718" s="19">
        <f>L718-L718*VLOOKUP($P718,매칭테이블!$G:$J,3,0)</f>
        <v>2694723.64</v>
      </c>
      <c r="N718" s="19">
        <f>VLOOKUP($P718,매칭테이블!$G:$J,4,0)*H718</f>
        <v>338240</v>
      </c>
      <c r="O718" s="20">
        <f t="shared" si="180"/>
        <v>2601963.6363636362</v>
      </c>
      <c r="P718" s="19" t="str">
        <f t="shared" si="162"/>
        <v>카페24샴푸라베나 리커버리 15 리바이탈 샴푸 [HAIR RÉ:COVERY 15 Revital Shampoo]제품선택=리바이탈 샴푸 2개 세트 5%추가할인201210</v>
      </c>
    </row>
    <row r="719" spans="2:16" x14ac:dyDescent="0.3">
      <c r="B719" s="2">
        <v>44217</v>
      </c>
      <c r="C719" s="19" t="str">
        <f t="shared" si="179"/>
        <v>목</v>
      </c>
      <c r="E719" s="17" t="str">
        <f>INDEX(매칭테이블!C:C,MATCH(RD!G719,매칭테이블!D:D,0))</f>
        <v>샴푸</v>
      </c>
      <c r="F719" t="s">
        <v>91</v>
      </c>
      <c r="G719" t="s">
        <v>129</v>
      </c>
      <c r="H719">
        <v>24</v>
      </c>
      <c r="I719" s="17" t="str">
        <f>VLOOKUP(G719,매칭테이블!D:E,2,0)</f>
        <v>리바이탈 샴푸 3set</v>
      </c>
      <c r="J719">
        <v>201210</v>
      </c>
      <c r="L719" s="19">
        <f>VLOOKUP($P719,매칭테이블!$G:$J,2,0)*H719</f>
        <v>1743120</v>
      </c>
      <c r="M719" s="19">
        <f>L719-L719*VLOOKUP($P719,매칭테이블!$G:$J,3,0)</f>
        <v>1641147.48</v>
      </c>
      <c r="N719" s="19">
        <f>VLOOKUP($P719,매칭테이블!$G:$J,4,0)*H719</f>
        <v>217440</v>
      </c>
      <c r="O719" s="20">
        <f t="shared" si="180"/>
        <v>1584654.5454545454</v>
      </c>
      <c r="P719" s="19" t="str">
        <f t="shared" si="162"/>
        <v>카페24샴푸라베나 리커버리 15 리바이탈 샴푸 [HAIR RÉ:COVERY 15 Revital Shampoo]제품선택=리바이탈 샴푸 3개 세트 10% 추가할인201210</v>
      </c>
    </row>
    <row r="720" spans="2:16" x14ac:dyDescent="0.3">
      <c r="B720" s="2">
        <v>44217</v>
      </c>
      <c r="C720" s="19" t="str">
        <f t="shared" si="179"/>
        <v>목</v>
      </c>
      <c r="E720" s="17" t="str">
        <f>INDEX(매칭테이블!C:C,MATCH(RD!G720,매칭테이블!D:D,0))</f>
        <v>트리트먼트</v>
      </c>
      <c r="F720" t="s">
        <v>91</v>
      </c>
      <c r="G720" t="s">
        <v>130</v>
      </c>
      <c r="H720">
        <v>10</v>
      </c>
      <c r="I720" s="17" t="str">
        <f>VLOOKUP(G720,매칭테이블!D:E,2,0)</f>
        <v>트리트먼트</v>
      </c>
      <c r="J720">
        <v>201210</v>
      </c>
      <c r="L720" s="19">
        <f>VLOOKUP($P720,매칭테이블!$G:$J,2,0)*H720</f>
        <v>260000</v>
      </c>
      <c r="M720" s="19">
        <f>L720-L720*VLOOKUP($P720,매칭테이블!$G:$J,3,0)</f>
        <v>244790</v>
      </c>
      <c r="N720" s="19">
        <f>VLOOKUP($P720,매칭테이블!$G:$J,4,0)*H720</f>
        <v>15970</v>
      </c>
      <c r="O720" s="20">
        <f t="shared" si="180"/>
        <v>236363.63636363635</v>
      </c>
      <c r="P720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721" spans="2:16" x14ac:dyDescent="0.3">
      <c r="B721" s="2">
        <v>44217</v>
      </c>
      <c r="C721" s="19" t="str">
        <f t="shared" si="179"/>
        <v>목</v>
      </c>
      <c r="E721" s="17" t="str">
        <f>INDEX(매칭테이블!C:C,MATCH(RD!G721,매칭테이블!D:D,0))</f>
        <v>트리트먼트</v>
      </c>
      <c r="F721" t="s">
        <v>91</v>
      </c>
      <c r="G721" t="s">
        <v>131</v>
      </c>
      <c r="H721">
        <v>1</v>
      </c>
      <c r="I721" s="17" t="str">
        <f>VLOOKUP(G721,매칭테이블!D:E,2,0)</f>
        <v>트리트먼트 2set</v>
      </c>
      <c r="J721">
        <v>201210</v>
      </c>
      <c r="L721" s="19">
        <f>VLOOKUP($P721,매칭테이블!$G:$J,2,0)*H721</f>
        <v>49400</v>
      </c>
      <c r="M721" s="19">
        <f>L721-L721*VLOOKUP($P721,매칭테이블!$G:$J,3,0)</f>
        <v>46510.1</v>
      </c>
      <c r="N721" s="19">
        <f>VLOOKUP($P721,매칭테이블!$G:$J,4,0)*H721</f>
        <v>3194</v>
      </c>
      <c r="O721" s="20">
        <f t="shared" si="180"/>
        <v>44909.090909090904</v>
      </c>
      <c r="P721" s="19" t="str">
        <f t="shared" si="162"/>
        <v>카페24트리트먼트라베나 리커버리 15 헤어팩 트리트먼트 [HAIR RÉ:COVERY 15 Hairpack Treatment]제품선택=헤어팩 트리트먼트 2개 세트 5% 추가할인201210</v>
      </c>
    </row>
    <row r="722" spans="2:16" x14ac:dyDescent="0.3">
      <c r="B722" s="2">
        <v>44217</v>
      </c>
      <c r="C722" s="19" t="str">
        <f t="shared" si="179"/>
        <v>목</v>
      </c>
      <c r="E722" s="17" t="str">
        <f>INDEX(매칭테이블!C:C,MATCH(RD!G722,매칭테이블!D:D,0))</f>
        <v>트리트먼트</v>
      </c>
      <c r="F722" t="s">
        <v>91</v>
      </c>
      <c r="G722" t="s">
        <v>132</v>
      </c>
      <c r="H722">
        <v>1</v>
      </c>
      <c r="I722" s="17" t="str">
        <f>VLOOKUP(G722,매칭테이블!D:E,2,0)</f>
        <v>트리트먼트 3set</v>
      </c>
      <c r="J722">
        <v>201210</v>
      </c>
      <c r="L722" s="19">
        <f>VLOOKUP($P722,매칭테이블!$G:$J,2,0)*H722</f>
        <v>70200</v>
      </c>
      <c r="M722" s="19">
        <f>L722-L722*VLOOKUP($P722,매칭테이블!$G:$J,3,0)</f>
        <v>66093.3</v>
      </c>
      <c r="N722" s="19">
        <f>VLOOKUP($P722,매칭테이블!$G:$J,4,0)*H722</f>
        <v>4791</v>
      </c>
      <c r="O722" s="20">
        <f t="shared" si="180"/>
        <v>63818.181818181816</v>
      </c>
      <c r="P722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723" spans="2:16" x14ac:dyDescent="0.3">
      <c r="B723" s="2">
        <v>44217</v>
      </c>
      <c r="C723" s="19" t="str">
        <f t="shared" si="179"/>
        <v>목</v>
      </c>
      <c r="E723" s="17" t="str">
        <f>INDEX(매칭테이블!C:C,MATCH(RD!G723,매칭테이블!D:D,0))</f>
        <v>트리트먼트</v>
      </c>
      <c r="F723" t="s">
        <v>91</v>
      </c>
      <c r="G723" t="s">
        <v>133</v>
      </c>
      <c r="H723">
        <v>3</v>
      </c>
      <c r="I723" s="17" t="str">
        <f>VLOOKUP(G723,매칭테이블!D:E,2,0)</f>
        <v>트리트먼트+뉴트리셔스밤</v>
      </c>
      <c r="J723">
        <v>201210</v>
      </c>
      <c r="L723" s="19">
        <f>VLOOKUP($P723,매칭테이블!$G:$J,2,0)*H723</f>
        <v>145065</v>
      </c>
      <c r="M723" s="19">
        <f>L723-L723*VLOOKUP($P723,매칭테이블!$G:$J,3,0)</f>
        <v>136578.69750000001</v>
      </c>
      <c r="N723" s="19">
        <f>VLOOKUP($P723,매칭테이블!$G:$J,4,0)*H723</f>
        <v>9531</v>
      </c>
      <c r="O723" s="20">
        <f t="shared" si="180"/>
        <v>131877.27272727271</v>
      </c>
      <c r="P723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724" spans="2:16" x14ac:dyDescent="0.3">
      <c r="B724" s="2">
        <v>44218</v>
      </c>
      <c r="C724" s="19" t="str">
        <f t="shared" ref="C724" si="181">TEXT(B724,"aaa")</f>
        <v>금</v>
      </c>
      <c r="E724" s="17" t="str">
        <f>INDEX(매칭테이블!C:C,MATCH(RD!G724,매칭테이블!D:D,0))</f>
        <v>뉴트리셔스밤</v>
      </c>
      <c r="F724" t="s">
        <v>91</v>
      </c>
      <c r="G724" t="s">
        <v>124</v>
      </c>
      <c r="H724">
        <v>8</v>
      </c>
      <c r="I724" s="17" t="str">
        <f>VLOOKUP(G724,매칭테이블!D:E,2,0)</f>
        <v>뉴트리셔스밤</v>
      </c>
      <c r="J724">
        <v>201210</v>
      </c>
      <c r="L724" s="19">
        <f>VLOOKUP($P724,매칭테이블!$G:$J,2,0)*H724</f>
        <v>199200</v>
      </c>
      <c r="M724" s="19">
        <f>L724-L724*VLOOKUP($P724,매칭테이블!$G:$J,3,0)</f>
        <v>187546.8</v>
      </c>
      <c r="N724" s="19">
        <f>VLOOKUP($P724,매칭테이블!$G:$J,4,0)*H724</f>
        <v>12640</v>
      </c>
      <c r="O724" s="20">
        <f t="shared" ref="O724" si="182">L724/1.1</f>
        <v>181090.90909090909</v>
      </c>
      <c r="P724" s="19" t="str">
        <f t="shared" si="162"/>
        <v>카페24뉴트리셔스밤라베나 리커버리 15 뉴트리셔스 밤 [HAIR RÉ:COVERY 15 Nutritious Balm]제품선택=헤어 리커버리 15 뉴트리셔스 밤201210</v>
      </c>
    </row>
    <row r="725" spans="2:16" x14ac:dyDescent="0.3">
      <c r="B725" s="2">
        <v>44218</v>
      </c>
      <c r="C725" s="19" t="str">
        <f t="shared" ref="C725:C733" si="183">TEXT(B725,"aaa")</f>
        <v>금</v>
      </c>
      <c r="E725" s="17" t="str">
        <f>INDEX(매칭테이블!C:C,MATCH(RD!G725,매칭테이블!D:D,0))</f>
        <v>뉴트리셔스밤</v>
      </c>
      <c r="F725" t="s">
        <v>91</v>
      </c>
      <c r="G725" t="s">
        <v>134</v>
      </c>
      <c r="H725">
        <v>1</v>
      </c>
      <c r="I725" s="17" t="str">
        <f>VLOOKUP(G725,매칭테이블!D:E,2,0)</f>
        <v>뉴트리셔스밤 3set</v>
      </c>
      <c r="J725">
        <v>201210</v>
      </c>
      <c r="L725" s="19">
        <f>VLOOKUP($P725,매칭테이블!$G:$J,2,0)*H725</f>
        <v>62868</v>
      </c>
      <c r="M725" s="19">
        <f>L725-L725*VLOOKUP($P725,매칭테이블!$G:$J,3,0)</f>
        <v>59190.222000000002</v>
      </c>
      <c r="N725" s="19">
        <f>VLOOKUP($P725,매칭테이블!$G:$J,4,0)*H725</f>
        <v>4740</v>
      </c>
      <c r="O725" s="20">
        <f t="shared" ref="O725:O733" si="184">L725/1.1</f>
        <v>57152.727272727265</v>
      </c>
      <c r="P725" s="19" t="str">
        <f t="shared" si="162"/>
        <v>카페24뉴트리셔스밤라베나 리커버리 15 뉴트리셔스 밤 [HAIR RÉ:COVERY 15 Nutritious Balm]제품선택=뉴트리셔스 밤 3개 세트 10% 추가할인201210</v>
      </c>
    </row>
    <row r="726" spans="2:16" x14ac:dyDescent="0.3">
      <c r="B726" s="2">
        <v>44218</v>
      </c>
      <c r="C726" s="19" t="str">
        <f t="shared" si="183"/>
        <v>금</v>
      </c>
      <c r="E726" s="17" t="str">
        <f>INDEX(매칭테이블!C:C,MATCH(RD!G726,매칭테이블!D:D,0))</f>
        <v>뉴트리셔스밤</v>
      </c>
      <c r="F726" t="s">
        <v>91</v>
      </c>
      <c r="G726" t="s">
        <v>126</v>
      </c>
      <c r="H726">
        <v>4</v>
      </c>
      <c r="I726" s="17" t="str">
        <f>VLOOKUP(G726,매칭테이블!D:E,2,0)</f>
        <v>트리트먼트+뉴트리셔스밤</v>
      </c>
      <c r="J726">
        <v>201210</v>
      </c>
      <c r="L726" s="19">
        <f>VLOOKUP($P726,매칭테이블!$G:$J,2,0)*H726</f>
        <v>193420</v>
      </c>
      <c r="M726" s="19">
        <f>L726-L726*VLOOKUP($P726,매칭테이블!$G:$J,3,0)</f>
        <v>182104.93</v>
      </c>
      <c r="N726" s="19">
        <f>VLOOKUP($P726,매칭테이블!$G:$J,4,0)*H726</f>
        <v>12708</v>
      </c>
      <c r="O726" s="20">
        <f t="shared" si="184"/>
        <v>175836.36363636362</v>
      </c>
      <c r="P726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727" spans="2:16" x14ac:dyDescent="0.3">
      <c r="B727" s="2">
        <v>44218</v>
      </c>
      <c r="C727" s="19" t="str">
        <f t="shared" si="183"/>
        <v>금</v>
      </c>
      <c r="E727" s="17" t="str">
        <f>INDEX(매칭테이블!C:C,MATCH(RD!G727,매칭테이블!D:D,0))</f>
        <v>샴푸</v>
      </c>
      <c r="F727" t="s">
        <v>91</v>
      </c>
      <c r="G727" t="s">
        <v>127</v>
      </c>
      <c r="H727">
        <v>143</v>
      </c>
      <c r="I727" s="17" t="str">
        <f>VLOOKUP(G727,매칭테이블!D:E,2,0)</f>
        <v>리바이탈 샴푸</v>
      </c>
      <c r="J727">
        <v>201210</v>
      </c>
      <c r="L727" s="19">
        <f>VLOOKUP($P727,매칭테이블!$G:$J,2,0)*H727</f>
        <v>3846700</v>
      </c>
      <c r="M727" s="19">
        <f>L727-L727*VLOOKUP($P727,매칭테이블!$G:$J,3,0)</f>
        <v>3621668.05</v>
      </c>
      <c r="N727" s="19">
        <f>VLOOKUP($P727,매칭테이블!$G:$J,4,0)*H727</f>
        <v>431860</v>
      </c>
      <c r="O727" s="20">
        <f t="shared" si="184"/>
        <v>3496999.9999999995</v>
      </c>
      <c r="P727" s="19" t="str">
        <f t="shared" si="162"/>
        <v>카페24샴푸라베나 리커버리 15 리바이탈 샴푸 [HAIR RÉ:COVERY 15 Revital Shampoo]제품선택=헤어 리커버리 15 리바이탈 샴푸 - 500ml201210</v>
      </c>
    </row>
    <row r="728" spans="2:16" x14ac:dyDescent="0.3">
      <c r="B728" s="2">
        <v>44218</v>
      </c>
      <c r="C728" s="19" t="str">
        <f t="shared" si="183"/>
        <v>금</v>
      </c>
      <c r="E728" s="17" t="str">
        <f>INDEX(매칭테이블!C:C,MATCH(RD!G728,매칭테이블!D:D,0))</f>
        <v>샴푸</v>
      </c>
      <c r="F728" t="s">
        <v>91</v>
      </c>
      <c r="G728" t="s">
        <v>128</v>
      </c>
      <c r="H728">
        <v>50</v>
      </c>
      <c r="I728" s="17" t="str">
        <f>VLOOKUP(G728,매칭테이블!D:E,2,0)</f>
        <v>리바이탈 샴푸 2set</v>
      </c>
      <c r="J728">
        <v>201210</v>
      </c>
      <c r="L728" s="19">
        <f>VLOOKUP($P728,매칭테이블!$G:$J,2,0)*H728</f>
        <v>2555500</v>
      </c>
      <c r="M728" s="19">
        <f>L728-L728*VLOOKUP($P728,매칭테이블!$G:$J,3,0)</f>
        <v>2406003.25</v>
      </c>
      <c r="N728" s="19">
        <f>VLOOKUP($P728,매칭테이블!$G:$J,4,0)*H728</f>
        <v>302000</v>
      </c>
      <c r="O728" s="20">
        <f t="shared" si="184"/>
        <v>2323181.8181818179</v>
      </c>
      <c r="P728" s="19" t="str">
        <f t="shared" si="162"/>
        <v>카페24샴푸라베나 리커버리 15 리바이탈 샴푸 [HAIR RÉ:COVERY 15 Revital Shampoo]제품선택=리바이탈 샴푸 2개 세트 5%추가할인201210</v>
      </c>
    </row>
    <row r="729" spans="2:16" x14ac:dyDescent="0.3">
      <c r="B729" s="2">
        <v>44218</v>
      </c>
      <c r="C729" s="19" t="str">
        <f t="shared" si="183"/>
        <v>금</v>
      </c>
      <c r="E729" s="17" t="str">
        <f>INDEX(매칭테이블!C:C,MATCH(RD!G729,매칭테이블!D:D,0))</f>
        <v>샴푸</v>
      </c>
      <c r="F729" t="s">
        <v>91</v>
      </c>
      <c r="G729" t="s">
        <v>129</v>
      </c>
      <c r="H729">
        <v>16</v>
      </c>
      <c r="I729" s="17" t="str">
        <f>VLOOKUP(G729,매칭테이블!D:E,2,0)</f>
        <v>리바이탈 샴푸 3set</v>
      </c>
      <c r="J729">
        <v>201210</v>
      </c>
      <c r="L729" s="19">
        <f>VLOOKUP($P729,매칭테이블!$G:$J,2,0)*H729</f>
        <v>1162080</v>
      </c>
      <c r="M729" s="19">
        <f>L729-L729*VLOOKUP($P729,매칭테이블!$G:$J,3,0)</f>
        <v>1094098.32</v>
      </c>
      <c r="N729" s="19">
        <f>VLOOKUP($P729,매칭테이블!$G:$J,4,0)*H729</f>
        <v>144960</v>
      </c>
      <c r="O729" s="20">
        <f t="shared" si="184"/>
        <v>1056436.3636363635</v>
      </c>
      <c r="P729" s="19" t="str">
        <f t="shared" si="162"/>
        <v>카페24샴푸라베나 리커버리 15 리바이탈 샴푸 [HAIR RÉ:COVERY 15 Revital Shampoo]제품선택=리바이탈 샴푸 3개 세트 10% 추가할인201210</v>
      </c>
    </row>
    <row r="730" spans="2:16" x14ac:dyDescent="0.3">
      <c r="B730" s="2">
        <v>44218</v>
      </c>
      <c r="C730" s="19" t="str">
        <f t="shared" si="183"/>
        <v>금</v>
      </c>
      <c r="E730" s="17" t="str">
        <f>INDEX(매칭테이블!C:C,MATCH(RD!G730,매칭테이블!D:D,0))</f>
        <v>트리트먼트</v>
      </c>
      <c r="F730" t="s">
        <v>91</v>
      </c>
      <c r="G730" t="s">
        <v>130</v>
      </c>
      <c r="H730">
        <v>9</v>
      </c>
      <c r="I730" s="17" t="str">
        <f>VLOOKUP(G730,매칭테이블!D:E,2,0)</f>
        <v>트리트먼트</v>
      </c>
      <c r="J730">
        <v>201210</v>
      </c>
      <c r="L730" s="19">
        <f>VLOOKUP($P730,매칭테이블!$G:$J,2,0)*H730</f>
        <v>234000</v>
      </c>
      <c r="M730" s="19">
        <f>L730-L730*VLOOKUP($P730,매칭테이블!$G:$J,3,0)</f>
        <v>220311</v>
      </c>
      <c r="N730" s="19">
        <f>VLOOKUP($P730,매칭테이블!$G:$J,4,0)*H730</f>
        <v>14373</v>
      </c>
      <c r="O730" s="20">
        <f t="shared" si="184"/>
        <v>212727.27272727271</v>
      </c>
      <c r="P730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731" spans="2:16" x14ac:dyDescent="0.3">
      <c r="B731" s="2">
        <v>44218</v>
      </c>
      <c r="C731" s="19" t="str">
        <f t="shared" si="183"/>
        <v>금</v>
      </c>
      <c r="E731" s="17" t="str">
        <f>INDEX(매칭테이블!C:C,MATCH(RD!G731,매칭테이블!D:D,0))</f>
        <v>트리트먼트</v>
      </c>
      <c r="F731" t="s">
        <v>91</v>
      </c>
      <c r="G731" t="s">
        <v>131</v>
      </c>
      <c r="H731">
        <v>3</v>
      </c>
      <c r="I731" s="17" t="str">
        <f>VLOOKUP(G731,매칭테이블!D:E,2,0)</f>
        <v>트리트먼트 2set</v>
      </c>
      <c r="J731">
        <v>201210</v>
      </c>
      <c r="L731" s="19">
        <f>VLOOKUP($P731,매칭테이블!$G:$J,2,0)*H731</f>
        <v>148200</v>
      </c>
      <c r="M731" s="19">
        <f>L731-L731*VLOOKUP($P731,매칭테이블!$G:$J,3,0)</f>
        <v>139530.29999999999</v>
      </c>
      <c r="N731" s="19">
        <f>VLOOKUP($P731,매칭테이블!$G:$J,4,0)*H731</f>
        <v>9582</v>
      </c>
      <c r="O731" s="20">
        <f t="shared" si="184"/>
        <v>134727.27272727271</v>
      </c>
      <c r="P731" s="19" t="str">
        <f t="shared" si="162"/>
        <v>카페24트리트먼트라베나 리커버리 15 헤어팩 트리트먼트 [HAIR RÉ:COVERY 15 Hairpack Treatment]제품선택=헤어팩 트리트먼트 2개 세트 5% 추가할인201210</v>
      </c>
    </row>
    <row r="732" spans="2:16" x14ac:dyDescent="0.3">
      <c r="B732" s="2">
        <v>44218</v>
      </c>
      <c r="C732" s="19" t="str">
        <f t="shared" si="183"/>
        <v>금</v>
      </c>
      <c r="E732" s="17" t="str">
        <f>INDEX(매칭테이블!C:C,MATCH(RD!G732,매칭테이블!D:D,0))</f>
        <v>트리트먼트</v>
      </c>
      <c r="F732" t="s">
        <v>91</v>
      </c>
      <c r="G732" t="s">
        <v>132</v>
      </c>
      <c r="H732">
        <v>1</v>
      </c>
      <c r="I732" s="17" t="str">
        <f>VLOOKUP(G732,매칭테이블!D:E,2,0)</f>
        <v>트리트먼트 3set</v>
      </c>
      <c r="J732">
        <v>201210</v>
      </c>
      <c r="L732" s="19">
        <f>VLOOKUP($P732,매칭테이블!$G:$J,2,0)*H732</f>
        <v>70200</v>
      </c>
      <c r="M732" s="19">
        <f>L732-L732*VLOOKUP($P732,매칭테이블!$G:$J,3,0)</f>
        <v>66093.3</v>
      </c>
      <c r="N732" s="19">
        <f>VLOOKUP($P732,매칭테이블!$G:$J,4,0)*H732</f>
        <v>4791</v>
      </c>
      <c r="O732" s="20">
        <f t="shared" si="184"/>
        <v>63818.181818181816</v>
      </c>
      <c r="P732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733" spans="2:16" x14ac:dyDescent="0.3">
      <c r="B733" s="2">
        <v>44218</v>
      </c>
      <c r="C733" s="19" t="str">
        <f t="shared" si="183"/>
        <v>금</v>
      </c>
      <c r="E733" s="17" t="str">
        <f>INDEX(매칭테이블!C:C,MATCH(RD!G733,매칭테이블!D:D,0))</f>
        <v>트리트먼트</v>
      </c>
      <c r="F733" t="s">
        <v>91</v>
      </c>
      <c r="G733" t="s">
        <v>133</v>
      </c>
      <c r="H733">
        <v>1</v>
      </c>
      <c r="I733" s="17" t="str">
        <f>VLOOKUP(G733,매칭테이블!D:E,2,0)</f>
        <v>트리트먼트+뉴트리셔스밤</v>
      </c>
      <c r="J733">
        <v>201210</v>
      </c>
      <c r="L733" s="19">
        <f>VLOOKUP($P733,매칭테이블!$G:$J,2,0)*H733</f>
        <v>48355</v>
      </c>
      <c r="M733" s="19">
        <f>L733-L733*VLOOKUP($P733,매칭테이블!$G:$J,3,0)</f>
        <v>45526.232499999998</v>
      </c>
      <c r="N733" s="19">
        <f>VLOOKUP($P733,매칭테이블!$G:$J,4,0)*H733</f>
        <v>3177</v>
      </c>
      <c r="O733" s="20">
        <f t="shared" si="184"/>
        <v>43959.090909090904</v>
      </c>
      <c r="P733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734" spans="2:16" x14ac:dyDescent="0.3">
      <c r="B734" s="2">
        <v>44219</v>
      </c>
      <c r="C734" s="19" t="str">
        <f t="shared" ref="C734" si="185">TEXT(B734,"aaa")</f>
        <v>토</v>
      </c>
      <c r="E734" s="17" t="str">
        <f>INDEX(매칭테이블!C:C,MATCH(RD!G734,매칭테이블!D:D,0))</f>
        <v>뉴트리셔스밤</v>
      </c>
      <c r="F734" t="s">
        <v>91</v>
      </c>
      <c r="G734" t="s">
        <v>124</v>
      </c>
      <c r="H734">
        <v>3</v>
      </c>
      <c r="I734" s="17" t="str">
        <f>VLOOKUP(G734,매칭테이블!D:E,2,0)</f>
        <v>뉴트리셔스밤</v>
      </c>
      <c r="J734">
        <v>201210</v>
      </c>
      <c r="L734" s="19">
        <f>VLOOKUP($P734,매칭테이블!$G:$J,2,0)*H734</f>
        <v>74700</v>
      </c>
      <c r="M734" s="19">
        <f>L734-L734*VLOOKUP($P734,매칭테이블!$G:$J,3,0)</f>
        <v>70330.05</v>
      </c>
      <c r="N734" s="19">
        <f>VLOOKUP($P734,매칭테이블!$G:$J,4,0)*H734</f>
        <v>4740</v>
      </c>
      <c r="O734" s="20">
        <f t="shared" ref="O734" si="186">L734/1.1</f>
        <v>67909.090909090897</v>
      </c>
      <c r="P734" s="19" t="str">
        <f t="shared" si="162"/>
        <v>카페24뉴트리셔스밤라베나 리커버리 15 뉴트리셔스 밤 [HAIR RÉ:COVERY 15 Nutritious Balm]제품선택=헤어 리커버리 15 뉴트리셔스 밤201210</v>
      </c>
    </row>
    <row r="735" spans="2:16" x14ac:dyDescent="0.3">
      <c r="B735" s="2">
        <v>44219</v>
      </c>
      <c r="C735" s="19" t="str">
        <f t="shared" ref="C735:C741" si="187">TEXT(B735,"aaa")</f>
        <v>토</v>
      </c>
      <c r="E735" s="17" t="str">
        <f>INDEX(매칭테이블!C:C,MATCH(RD!G735,매칭테이블!D:D,0))</f>
        <v>뉴트리셔스밤</v>
      </c>
      <c r="F735" t="s">
        <v>91</v>
      </c>
      <c r="G735" t="s">
        <v>126</v>
      </c>
      <c r="H735">
        <v>1</v>
      </c>
      <c r="I735" s="17" t="str">
        <f>VLOOKUP(G735,매칭테이블!D:E,2,0)</f>
        <v>트리트먼트+뉴트리셔스밤</v>
      </c>
      <c r="J735">
        <v>201210</v>
      </c>
      <c r="L735" s="19">
        <f>VLOOKUP($P735,매칭테이블!$G:$J,2,0)*H735</f>
        <v>48355</v>
      </c>
      <c r="M735" s="19">
        <f>L735-L735*VLOOKUP($P735,매칭테이블!$G:$J,3,0)</f>
        <v>45526.232499999998</v>
      </c>
      <c r="N735" s="19">
        <f>VLOOKUP($P735,매칭테이블!$G:$J,4,0)*H735</f>
        <v>3177</v>
      </c>
      <c r="O735" s="20">
        <f t="shared" ref="O735:O741" si="188">L735/1.1</f>
        <v>43959.090909090904</v>
      </c>
      <c r="P735" s="19" t="str">
        <f t="shared" si="162"/>
        <v>카페24뉴트리셔스밤라베나 리커버리 15 뉴트리셔스 밤 [HAIR RÉ:COVERY 15 Nutritious Balm]제품선택=뉴트리셔스밤 1개 + 헤어팩 트리트먼트 1개 세트 5%추가할인201210</v>
      </c>
    </row>
    <row r="736" spans="2:16" x14ac:dyDescent="0.3">
      <c r="B736" s="2">
        <v>44219</v>
      </c>
      <c r="C736" s="19" t="str">
        <f t="shared" si="187"/>
        <v>토</v>
      </c>
      <c r="E736" s="17" t="str">
        <f>INDEX(매칭테이블!C:C,MATCH(RD!G736,매칭테이블!D:D,0))</f>
        <v>샴푸</v>
      </c>
      <c r="F736" t="s">
        <v>91</v>
      </c>
      <c r="G736" t="s">
        <v>127</v>
      </c>
      <c r="H736">
        <v>141</v>
      </c>
      <c r="I736" s="17" t="str">
        <f>VLOOKUP(G736,매칭테이블!D:E,2,0)</f>
        <v>리바이탈 샴푸</v>
      </c>
      <c r="J736">
        <v>201210</v>
      </c>
      <c r="L736" s="19">
        <f>VLOOKUP($P736,매칭테이블!$G:$J,2,0)*H736</f>
        <v>3792900</v>
      </c>
      <c r="M736" s="19">
        <f>L736-L736*VLOOKUP($P736,매칭테이블!$G:$J,3,0)</f>
        <v>3571015.35</v>
      </c>
      <c r="N736" s="19">
        <f>VLOOKUP($P736,매칭테이블!$G:$J,4,0)*H736</f>
        <v>425820</v>
      </c>
      <c r="O736" s="20">
        <f t="shared" si="188"/>
        <v>3448090.9090909087</v>
      </c>
      <c r="P736" s="19" t="str">
        <f t="shared" si="162"/>
        <v>카페24샴푸라베나 리커버리 15 리바이탈 샴푸 [HAIR RÉ:COVERY 15 Revital Shampoo]제품선택=헤어 리커버리 15 리바이탈 샴푸 - 500ml201210</v>
      </c>
    </row>
    <row r="737" spans="2:16" x14ac:dyDescent="0.3">
      <c r="B737" s="2">
        <v>44219</v>
      </c>
      <c r="C737" s="19" t="str">
        <f t="shared" si="187"/>
        <v>토</v>
      </c>
      <c r="E737" s="17" t="str">
        <f>INDEX(매칭테이블!C:C,MATCH(RD!G737,매칭테이블!D:D,0))</f>
        <v>샴푸</v>
      </c>
      <c r="F737" t="s">
        <v>91</v>
      </c>
      <c r="G737" t="s">
        <v>128</v>
      </c>
      <c r="H737">
        <v>47</v>
      </c>
      <c r="I737" s="17" t="str">
        <f>VLOOKUP(G737,매칭테이블!D:E,2,0)</f>
        <v>리바이탈 샴푸 2set</v>
      </c>
      <c r="J737">
        <v>201210</v>
      </c>
      <c r="L737" s="19">
        <f>VLOOKUP($P737,매칭테이블!$G:$J,2,0)*H737</f>
        <v>2402170</v>
      </c>
      <c r="M737" s="19">
        <f>L737-L737*VLOOKUP($P737,매칭테이블!$G:$J,3,0)</f>
        <v>2261643.0550000002</v>
      </c>
      <c r="N737" s="19">
        <f>VLOOKUP($P737,매칭테이블!$G:$J,4,0)*H737</f>
        <v>283880</v>
      </c>
      <c r="O737" s="20">
        <f t="shared" si="188"/>
        <v>2183790.9090909087</v>
      </c>
      <c r="P737" s="19" t="str">
        <f t="shared" si="162"/>
        <v>카페24샴푸라베나 리커버리 15 리바이탈 샴푸 [HAIR RÉ:COVERY 15 Revital Shampoo]제품선택=리바이탈 샴푸 2개 세트 5%추가할인201210</v>
      </c>
    </row>
    <row r="738" spans="2:16" x14ac:dyDescent="0.3">
      <c r="B738" s="2">
        <v>44219</v>
      </c>
      <c r="C738" s="19" t="str">
        <f t="shared" si="187"/>
        <v>토</v>
      </c>
      <c r="E738" s="17" t="str">
        <f>INDEX(매칭테이블!C:C,MATCH(RD!G738,매칭테이블!D:D,0))</f>
        <v>샴푸</v>
      </c>
      <c r="F738" t="s">
        <v>91</v>
      </c>
      <c r="G738" t="s">
        <v>129</v>
      </c>
      <c r="H738">
        <v>19</v>
      </c>
      <c r="I738" s="17" t="str">
        <f>VLOOKUP(G738,매칭테이블!D:E,2,0)</f>
        <v>리바이탈 샴푸 3set</v>
      </c>
      <c r="J738">
        <v>201210</v>
      </c>
      <c r="L738" s="19">
        <f>VLOOKUP($P738,매칭테이블!$G:$J,2,0)*H738</f>
        <v>1379970</v>
      </c>
      <c r="M738" s="19">
        <f>L738-L738*VLOOKUP($P738,매칭테이블!$G:$J,3,0)</f>
        <v>1299241.7549999999</v>
      </c>
      <c r="N738" s="19">
        <f>VLOOKUP($P738,매칭테이블!$G:$J,4,0)*H738</f>
        <v>172140</v>
      </c>
      <c r="O738" s="20">
        <f t="shared" si="188"/>
        <v>1254518.1818181816</v>
      </c>
      <c r="P738" s="19" t="str">
        <f t="shared" si="162"/>
        <v>카페24샴푸라베나 리커버리 15 리바이탈 샴푸 [HAIR RÉ:COVERY 15 Revital Shampoo]제품선택=리바이탈 샴푸 3개 세트 10% 추가할인201210</v>
      </c>
    </row>
    <row r="739" spans="2:16" x14ac:dyDescent="0.3">
      <c r="B739" s="2">
        <v>44219</v>
      </c>
      <c r="C739" s="19" t="str">
        <f t="shared" si="187"/>
        <v>토</v>
      </c>
      <c r="E739" s="17" t="str">
        <f>INDEX(매칭테이블!C:C,MATCH(RD!G739,매칭테이블!D:D,0))</f>
        <v>트리트먼트</v>
      </c>
      <c r="F739" t="s">
        <v>91</v>
      </c>
      <c r="G739" t="s">
        <v>130</v>
      </c>
      <c r="H739">
        <v>8</v>
      </c>
      <c r="I739" s="17" t="str">
        <f>VLOOKUP(G739,매칭테이블!D:E,2,0)</f>
        <v>트리트먼트</v>
      </c>
      <c r="J739">
        <v>201210</v>
      </c>
      <c r="L739" s="19">
        <f>VLOOKUP($P739,매칭테이블!$G:$J,2,0)*H739</f>
        <v>208000</v>
      </c>
      <c r="M739" s="19">
        <f>L739-L739*VLOOKUP($P739,매칭테이블!$G:$J,3,0)</f>
        <v>195832</v>
      </c>
      <c r="N739" s="19">
        <f>VLOOKUP($P739,매칭테이블!$G:$J,4,0)*H739</f>
        <v>12776</v>
      </c>
      <c r="O739" s="20">
        <f t="shared" si="188"/>
        <v>189090.90909090909</v>
      </c>
      <c r="P739" s="19" t="str">
        <f t="shared" si="162"/>
        <v>카페24트리트먼트라베나 리커버리 15 헤어팩 트리트먼트 [HAIR RÉ:COVERY 15 Hairpack Treatment]제품선택=헤어 리커버리 15 헤어팩 트리트먼트201210</v>
      </c>
    </row>
    <row r="740" spans="2:16" x14ac:dyDescent="0.3">
      <c r="B740" s="2">
        <v>44219</v>
      </c>
      <c r="C740" s="19" t="str">
        <f t="shared" si="187"/>
        <v>토</v>
      </c>
      <c r="E740" s="17" t="str">
        <f>INDEX(매칭테이블!C:C,MATCH(RD!G740,매칭테이블!D:D,0))</f>
        <v>트리트먼트</v>
      </c>
      <c r="F740" t="s">
        <v>91</v>
      </c>
      <c r="G740" t="s">
        <v>132</v>
      </c>
      <c r="H740">
        <v>2</v>
      </c>
      <c r="I740" s="17" t="str">
        <f>VLOOKUP(G740,매칭테이블!D:E,2,0)</f>
        <v>트리트먼트 3set</v>
      </c>
      <c r="J740">
        <v>201210</v>
      </c>
      <c r="L740" s="19">
        <f>VLOOKUP($P740,매칭테이블!$G:$J,2,0)*H740</f>
        <v>140400</v>
      </c>
      <c r="M740" s="19">
        <f>L740-L740*VLOOKUP($P740,매칭테이블!$G:$J,3,0)</f>
        <v>132186.6</v>
      </c>
      <c r="N740" s="19">
        <f>VLOOKUP($P740,매칭테이블!$G:$J,4,0)*H740</f>
        <v>9582</v>
      </c>
      <c r="O740" s="20">
        <f t="shared" si="188"/>
        <v>127636.36363636363</v>
      </c>
      <c r="P740" s="19" t="str">
        <f t="shared" si="162"/>
        <v>카페24트리트먼트라베나 리커버리 15 헤어팩 트리트먼트 [HAIR RÉ:COVERY 15 Hairpack Treatment]제품선택=헤어팩 트리트먼트 3개 세트 10% 추가할인201210</v>
      </c>
    </row>
    <row r="741" spans="2:16" x14ac:dyDescent="0.3">
      <c r="B741" s="2">
        <v>44219</v>
      </c>
      <c r="C741" s="19" t="str">
        <f t="shared" si="187"/>
        <v>토</v>
      </c>
      <c r="E741" s="17" t="str">
        <f>INDEX(매칭테이블!C:C,MATCH(RD!G741,매칭테이블!D:D,0))</f>
        <v>트리트먼트</v>
      </c>
      <c r="F741" t="s">
        <v>91</v>
      </c>
      <c r="G741" t="s">
        <v>133</v>
      </c>
      <c r="H741">
        <v>3</v>
      </c>
      <c r="I741" s="17" t="str">
        <f>VLOOKUP(G741,매칭테이블!D:E,2,0)</f>
        <v>트리트먼트+뉴트리셔스밤</v>
      </c>
      <c r="J741">
        <v>201210</v>
      </c>
      <c r="L741" s="19">
        <f>VLOOKUP($P741,매칭테이블!$G:$J,2,0)*H741</f>
        <v>145065</v>
      </c>
      <c r="M741" s="19">
        <f>L741-L741*VLOOKUP($P741,매칭테이블!$G:$J,3,0)</f>
        <v>136578.69750000001</v>
      </c>
      <c r="N741" s="19">
        <f>VLOOKUP($P741,매칭테이블!$G:$J,4,0)*H741</f>
        <v>9531</v>
      </c>
      <c r="O741" s="20">
        <f t="shared" si="188"/>
        <v>131877.27272727271</v>
      </c>
      <c r="P741" s="19" t="str">
        <f t="shared" si="162"/>
        <v>카페24트리트먼트라베나 리커버리 15 헤어팩 트리트먼트 [HAIR RÉ:COVERY 15 Hairpack Treatment]제품선택=헤어팩 트리트먼트 1개 + 뉴트리셔스밤 1개 세트 5% 추가할인201210</v>
      </c>
    </row>
    <row r="742" spans="2:16" x14ac:dyDescent="0.3">
      <c r="B742" s="2">
        <v>44220</v>
      </c>
      <c r="C742" s="19" t="str">
        <f t="shared" ref="C742" si="189">TEXT(B742,"aaa")</f>
        <v>일</v>
      </c>
      <c r="E742" s="17" t="str">
        <f>INDEX(매칭테이블!C:C,MATCH(RD!G742,매칭테이블!D:D,0))</f>
        <v>뉴트리셔스밤</v>
      </c>
      <c r="F742" t="s">
        <v>91</v>
      </c>
      <c r="G742" t="s">
        <v>124</v>
      </c>
      <c r="H742">
        <v>12</v>
      </c>
      <c r="I742" s="17" t="str">
        <f>VLOOKUP(G742,매칭테이블!D:E,2,0)</f>
        <v>뉴트리셔스밤</v>
      </c>
      <c r="J742">
        <v>201210</v>
      </c>
      <c r="L742" s="19">
        <f>VLOOKUP($P742,매칭테이블!$G:$J,2,0)*H742</f>
        <v>298800</v>
      </c>
      <c r="M742" s="19">
        <f>L742-L742*VLOOKUP($P742,매칭테이블!$G:$J,3,0)</f>
        <v>281320.2</v>
      </c>
      <c r="N742" s="19">
        <f>VLOOKUP($P742,매칭테이블!$G:$J,4,0)*H742</f>
        <v>18960</v>
      </c>
      <c r="O742" s="20">
        <f t="shared" ref="O742" si="190">L742/1.1</f>
        <v>271636.36363636359</v>
      </c>
      <c r="P742" s="19" t="str">
        <f t="shared" si="162"/>
        <v>카페24뉴트리셔스밤라베나 리커버리 15 뉴트리셔스 밤 [HAIR RÉ:COVERY 15 Nutritious Balm]제품선택=헤어 리커버리 15 뉴트리셔스 밤201210</v>
      </c>
    </row>
    <row r="743" spans="2:16" x14ac:dyDescent="0.3">
      <c r="B743" s="2">
        <v>44220</v>
      </c>
      <c r="C743" s="19" t="str">
        <f t="shared" ref="C743:C750" si="191">TEXT(B743,"aaa")</f>
        <v>일</v>
      </c>
      <c r="E743" s="17" t="str">
        <f>INDEX(매칭테이블!C:C,MATCH(RD!G743,매칭테이블!D:D,0))</f>
        <v>뉴트리셔스밤</v>
      </c>
      <c r="F743" t="s">
        <v>91</v>
      </c>
      <c r="G743" t="s">
        <v>125</v>
      </c>
      <c r="H743">
        <v>1</v>
      </c>
      <c r="I743" s="17" t="str">
        <f>VLOOKUP(G743,매칭테이블!D:E,2,0)</f>
        <v>뉴트리셔스밤 2set</v>
      </c>
      <c r="J743">
        <v>201210</v>
      </c>
      <c r="L743" s="19">
        <f>VLOOKUP($P743,매칭테이블!$G:$J,2,0)*H743</f>
        <v>47310</v>
      </c>
      <c r="M743" s="19">
        <f>L743-L743*VLOOKUP($P743,매칭테이블!$G:$J,3,0)</f>
        <v>44542.364999999998</v>
      </c>
      <c r="N743" s="19">
        <f>VLOOKUP($P743,매칭테이블!$G:$J,4,0)*H743</f>
        <v>3160</v>
      </c>
      <c r="O743" s="20">
        <f t="shared" ref="O743:O750" si="192">L743/1.1</f>
        <v>43009.090909090904</v>
      </c>
      <c r="P743" s="19" t="str">
        <f t="shared" si="162"/>
        <v>카페24뉴트리셔스밤라베나 리커버리 15 뉴트리셔스 밤 [HAIR RÉ:COVERY 15 Nutritious Balm]제품선택=뉴트리셔스 밤 2개 세트 5% 추가할인201210</v>
      </c>
    </row>
    <row r="744" spans="2:16" x14ac:dyDescent="0.3">
      <c r="B744" s="2">
        <v>44220</v>
      </c>
      <c r="C744" s="19" t="str">
        <f t="shared" si="191"/>
        <v>일</v>
      </c>
      <c r="E744" s="17" t="str">
        <f>INDEX(매칭테이블!C:C,MATCH(RD!G744,매칭테이블!D:D,0))</f>
        <v>뉴트리셔스밤</v>
      </c>
      <c r="F744" t="s">
        <v>91</v>
      </c>
      <c r="G744" t="s">
        <v>126</v>
      </c>
      <c r="H744">
        <v>3</v>
      </c>
      <c r="I744" s="17" t="str">
        <f>VLOOKUP(G744,매칭테이블!D:E,2,0)</f>
        <v>트리트먼트+뉴트리셔스밤</v>
      </c>
      <c r="J744">
        <v>201210</v>
      </c>
      <c r="L744" s="19">
        <f>VLOOKUP($P744,매칭테이블!$G:$J,2,0)*H744</f>
        <v>145065</v>
      </c>
      <c r="M744" s="19">
        <f>L744-L744*VLOOKUP($P744,매칭테이블!$G:$J,3,0)</f>
        <v>136578.69750000001</v>
      </c>
      <c r="N744" s="19">
        <f>VLOOKUP($P744,매칭테이블!$G:$J,4,0)*H744</f>
        <v>9531</v>
      </c>
      <c r="O744" s="20">
        <f t="shared" si="192"/>
        <v>131877.27272727271</v>
      </c>
      <c r="P744" s="19" t="str">
        <f t="shared" ref="P744:P807" si="193">F744&amp;E744&amp;G744&amp;J744</f>
        <v>카페24뉴트리셔스밤라베나 리커버리 15 뉴트리셔스 밤 [HAIR RÉ:COVERY 15 Nutritious Balm]제품선택=뉴트리셔스밤 1개 + 헤어팩 트리트먼트 1개 세트 5%추가할인201210</v>
      </c>
    </row>
    <row r="745" spans="2:16" x14ac:dyDescent="0.3">
      <c r="B745" s="2">
        <v>44220</v>
      </c>
      <c r="C745" s="19" t="str">
        <f t="shared" si="191"/>
        <v>일</v>
      </c>
      <c r="E745" s="17" t="str">
        <f>INDEX(매칭테이블!C:C,MATCH(RD!G745,매칭테이블!D:D,0))</f>
        <v>샴푸</v>
      </c>
      <c r="F745" t="s">
        <v>91</v>
      </c>
      <c r="G745" t="s">
        <v>127</v>
      </c>
      <c r="H745">
        <v>176</v>
      </c>
      <c r="I745" s="17" t="str">
        <f>VLOOKUP(G745,매칭테이블!D:E,2,0)</f>
        <v>리바이탈 샴푸</v>
      </c>
      <c r="J745">
        <v>201210</v>
      </c>
      <c r="L745" s="19">
        <f>VLOOKUP($P745,매칭테이블!$G:$J,2,0)*H745</f>
        <v>4734400</v>
      </c>
      <c r="M745" s="19">
        <f>L745-L745*VLOOKUP($P745,매칭테이블!$G:$J,3,0)</f>
        <v>4457437.5999999996</v>
      </c>
      <c r="N745" s="19">
        <f>VLOOKUP($P745,매칭테이블!$G:$J,4,0)*H745</f>
        <v>531520</v>
      </c>
      <c r="O745" s="20">
        <f t="shared" si="192"/>
        <v>4304000</v>
      </c>
      <c r="P745" s="19" t="str">
        <f t="shared" si="193"/>
        <v>카페24샴푸라베나 리커버리 15 리바이탈 샴푸 [HAIR RÉ:COVERY 15 Revital Shampoo]제품선택=헤어 리커버리 15 리바이탈 샴푸 - 500ml201210</v>
      </c>
    </row>
    <row r="746" spans="2:16" x14ac:dyDescent="0.3">
      <c r="B746" s="2">
        <v>44220</v>
      </c>
      <c r="C746" s="19" t="str">
        <f t="shared" si="191"/>
        <v>일</v>
      </c>
      <c r="E746" s="17" t="str">
        <f>INDEX(매칭테이블!C:C,MATCH(RD!G746,매칭테이블!D:D,0))</f>
        <v>샴푸</v>
      </c>
      <c r="F746" t="s">
        <v>91</v>
      </c>
      <c r="G746" t="s">
        <v>128</v>
      </c>
      <c r="H746">
        <v>50</v>
      </c>
      <c r="I746" s="17" t="str">
        <f>VLOOKUP(G746,매칭테이블!D:E,2,0)</f>
        <v>리바이탈 샴푸 2set</v>
      </c>
      <c r="J746">
        <v>201210</v>
      </c>
      <c r="L746" s="19">
        <f>VLOOKUP($P746,매칭테이블!$G:$J,2,0)*H746</f>
        <v>2555500</v>
      </c>
      <c r="M746" s="19">
        <f>L746-L746*VLOOKUP($P746,매칭테이블!$G:$J,3,0)</f>
        <v>2406003.25</v>
      </c>
      <c r="N746" s="19">
        <f>VLOOKUP($P746,매칭테이블!$G:$J,4,0)*H746</f>
        <v>302000</v>
      </c>
      <c r="O746" s="20">
        <f t="shared" si="192"/>
        <v>2323181.8181818179</v>
      </c>
      <c r="P746" s="19" t="str">
        <f t="shared" si="193"/>
        <v>카페24샴푸라베나 리커버리 15 리바이탈 샴푸 [HAIR RÉ:COVERY 15 Revital Shampoo]제품선택=리바이탈 샴푸 2개 세트 5%추가할인201210</v>
      </c>
    </row>
    <row r="747" spans="2:16" x14ac:dyDescent="0.3">
      <c r="B747" s="2">
        <v>44220</v>
      </c>
      <c r="C747" s="19" t="str">
        <f t="shared" si="191"/>
        <v>일</v>
      </c>
      <c r="E747" s="17" t="str">
        <f>INDEX(매칭테이블!C:C,MATCH(RD!G747,매칭테이블!D:D,0))</f>
        <v>샴푸</v>
      </c>
      <c r="F747" t="s">
        <v>91</v>
      </c>
      <c r="G747" t="s">
        <v>129</v>
      </c>
      <c r="H747">
        <v>13</v>
      </c>
      <c r="I747" s="17" t="str">
        <f>VLOOKUP(G747,매칭테이블!D:E,2,0)</f>
        <v>리바이탈 샴푸 3set</v>
      </c>
      <c r="J747">
        <v>201210</v>
      </c>
      <c r="L747" s="19">
        <f>VLOOKUP($P747,매칭테이블!$G:$J,2,0)*H747</f>
        <v>944190</v>
      </c>
      <c r="M747" s="19">
        <f>L747-L747*VLOOKUP($P747,매칭테이블!$G:$J,3,0)</f>
        <v>888954.88500000001</v>
      </c>
      <c r="N747" s="19">
        <f>VLOOKUP($P747,매칭테이블!$G:$J,4,0)*H747</f>
        <v>117780</v>
      </c>
      <c r="O747" s="20">
        <f t="shared" si="192"/>
        <v>858354.54545454541</v>
      </c>
      <c r="P747" s="19" t="str">
        <f t="shared" si="193"/>
        <v>카페24샴푸라베나 리커버리 15 리바이탈 샴푸 [HAIR RÉ:COVERY 15 Revital Shampoo]제품선택=리바이탈 샴푸 3개 세트 10% 추가할인201210</v>
      </c>
    </row>
    <row r="748" spans="2:16" x14ac:dyDescent="0.3">
      <c r="B748" s="2">
        <v>44220</v>
      </c>
      <c r="C748" s="19" t="str">
        <f t="shared" si="191"/>
        <v>일</v>
      </c>
      <c r="E748" s="17" t="str">
        <f>INDEX(매칭테이블!C:C,MATCH(RD!G748,매칭테이블!D:D,0))</f>
        <v>트리트먼트</v>
      </c>
      <c r="F748" t="s">
        <v>91</v>
      </c>
      <c r="G748" t="s">
        <v>130</v>
      </c>
      <c r="H748">
        <v>10</v>
      </c>
      <c r="I748" s="17" t="str">
        <f>VLOOKUP(G748,매칭테이블!D:E,2,0)</f>
        <v>트리트먼트</v>
      </c>
      <c r="J748">
        <v>201210</v>
      </c>
      <c r="L748" s="19">
        <f>VLOOKUP($P748,매칭테이블!$G:$J,2,0)*H748</f>
        <v>260000</v>
      </c>
      <c r="M748" s="19">
        <f>L748-L748*VLOOKUP($P748,매칭테이블!$G:$J,3,0)</f>
        <v>244790</v>
      </c>
      <c r="N748" s="19">
        <f>VLOOKUP($P748,매칭테이블!$G:$J,4,0)*H748</f>
        <v>15970</v>
      </c>
      <c r="O748" s="20">
        <f t="shared" si="192"/>
        <v>236363.63636363635</v>
      </c>
      <c r="P748" s="19" t="str">
        <f t="shared" si="193"/>
        <v>카페24트리트먼트라베나 리커버리 15 헤어팩 트리트먼트 [HAIR RÉ:COVERY 15 Hairpack Treatment]제품선택=헤어 리커버리 15 헤어팩 트리트먼트201210</v>
      </c>
    </row>
    <row r="749" spans="2:16" x14ac:dyDescent="0.3">
      <c r="B749" s="2">
        <v>44220</v>
      </c>
      <c r="C749" s="19" t="str">
        <f t="shared" si="191"/>
        <v>일</v>
      </c>
      <c r="E749" s="17" t="str">
        <f>INDEX(매칭테이블!C:C,MATCH(RD!G749,매칭테이블!D:D,0))</f>
        <v>트리트먼트</v>
      </c>
      <c r="F749" t="s">
        <v>91</v>
      </c>
      <c r="G749" t="s">
        <v>131</v>
      </c>
      <c r="H749">
        <v>1</v>
      </c>
      <c r="I749" s="17" t="str">
        <f>VLOOKUP(G749,매칭테이블!D:E,2,0)</f>
        <v>트리트먼트 2set</v>
      </c>
      <c r="J749">
        <v>201210</v>
      </c>
      <c r="L749" s="19">
        <f>VLOOKUP($P749,매칭테이블!$G:$J,2,0)*H749</f>
        <v>49400</v>
      </c>
      <c r="M749" s="19">
        <f>L749-L749*VLOOKUP($P749,매칭테이블!$G:$J,3,0)</f>
        <v>46510.1</v>
      </c>
      <c r="N749" s="19">
        <f>VLOOKUP($P749,매칭테이블!$G:$J,4,0)*H749</f>
        <v>3194</v>
      </c>
      <c r="O749" s="20">
        <f t="shared" si="192"/>
        <v>44909.090909090904</v>
      </c>
      <c r="P749" s="19" t="str">
        <f t="shared" si="193"/>
        <v>카페24트리트먼트라베나 리커버리 15 헤어팩 트리트먼트 [HAIR RÉ:COVERY 15 Hairpack Treatment]제품선택=헤어팩 트리트먼트 2개 세트 5% 추가할인201210</v>
      </c>
    </row>
    <row r="750" spans="2:16" x14ac:dyDescent="0.3">
      <c r="B750" s="2">
        <v>44220</v>
      </c>
      <c r="C750" s="19" t="str">
        <f t="shared" si="191"/>
        <v>일</v>
      </c>
      <c r="E750" s="17" t="str">
        <f>INDEX(매칭테이블!C:C,MATCH(RD!G750,매칭테이블!D:D,0))</f>
        <v>트리트먼트</v>
      </c>
      <c r="F750" t="s">
        <v>91</v>
      </c>
      <c r="G750" t="s">
        <v>132</v>
      </c>
      <c r="H750">
        <v>1</v>
      </c>
      <c r="I750" s="17" t="str">
        <f>VLOOKUP(G750,매칭테이블!D:E,2,0)</f>
        <v>트리트먼트 3set</v>
      </c>
      <c r="J750">
        <v>201210</v>
      </c>
      <c r="L750" s="19">
        <f>VLOOKUP($P750,매칭테이블!$G:$J,2,0)*H750</f>
        <v>70200</v>
      </c>
      <c r="M750" s="19">
        <f>L750-L750*VLOOKUP($P750,매칭테이블!$G:$J,3,0)</f>
        <v>66093.3</v>
      </c>
      <c r="N750" s="19">
        <f>VLOOKUP($P750,매칭테이블!$G:$J,4,0)*H750</f>
        <v>4791</v>
      </c>
      <c r="O750" s="20">
        <f t="shared" si="192"/>
        <v>63818.181818181816</v>
      </c>
      <c r="P750" s="19" t="str">
        <f t="shared" si="193"/>
        <v>카페24트리트먼트라베나 리커버리 15 헤어팩 트리트먼트 [HAIR RÉ:COVERY 15 Hairpack Treatment]제품선택=헤어팩 트리트먼트 3개 세트 10% 추가할인201210</v>
      </c>
    </row>
    <row r="751" spans="2:16" x14ac:dyDescent="0.3">
      <c r="B751" s="2">
        <v>44221</v>
      </c>
      <c r="C751" s="19" t="str">
        <f t="shared" ref="C751" si="194">TEXT(B751,"aaa")</f>
        <v>월</v>
      </c>
      <c r="E751" s="17" t="str">
        <f>INDEX(매칭테이블!C:C,MATCH(RD!G751,매칭테이블!D:D,0))</f>
        <v>뉴트리셔스밤</v>
      </c>
      <c r="F751" t="s">
        <v>91</v>
      </c>
      <c r="G751" t="s">
        <v>135</v>
      </c>
      <c r="H751">
        <v>5</v>
      </c>
      <c r="I751" s="17" t="str">
        <f>VLOOKUP(G751,매칭테이블!D:E,2,0)</f>
        <v>뉴트리셔스밤</v>
      </c>
      <c r="J751">
        <v>201210</v>
      </c>
      <c r="L751" s="19">
        <f>VLOOKUP($P751,매칭테이블!$G:$J,2,0)*H751</f>
        <v>124500</v>
      </c>
      <c r="M751" s="19">
        <f>L751-L751*VLOOKUP($P751,매칭테이블!$G:$J,3,0)</f>
        <v>117216.75</v>
      </c>
      <c r="N751" s="19">
        <f>VLOOKUP($P751,매칭테이블!$G:$J,4,0)*H751</f>
        <v>7900</v>
      </c>
      <c r="O751" s="20">
        <f t="shared" ref="O751" si="195">L751/1.1</f>
        <v>113181.81818181818</v>
      </c>
      <c r="P751" s="19" t="str">
        <f t="shared" si="193"/>
        <v>카페24뉴트리셔스밤라베나 리커버리 15 뉴트리셔스 밤 [HAIR R?:COVERY 15 Nutritious Balm]제품선택=헤어 리커버리 15 뉴트리셔스 밤201210</v>
      </c>
    </row>
    <row r="752" spans="2:16" x14ac:dyDescent="0.3">
      <c r="B752" s="2">
        <v>44221</v>
      </c>
      <c r="C752" s="19" t="str">
        <f t="shared" ref="C752:C759" si="196">TEXT(B752,"aaa")</f>
        <v>월</v>
      </c>
      <c r="E752" s="17" t="str">
        <f>INDEX(매칭테이블!C:C,MATCH(RD!G752,매칭테이블!D:D,0))</f>
        <v>뉴트리셔스밤</v>
      </c>
      <c r="F752" t="s">
        <v>91</v>
      </c>
      <c r="G752" t="s">
        <v>136</v>
      </c>
      <c r="H752">
        <v>2</v>
      </c>
      <c r="I752" s="17" t="str">
        <f>VLOOKUP(G752,매칭테이블!D:E,2,0)</f>
        <v>뉴트리셔스밤 2set</v>
      </c>
      <c r="J752">
        <v>201210</v>
      </c>
      <c r="L752" s="19">
        <f>VLOOKUP($P752,매칭테이블!$G:$J,2,0)*H752</f>
        <v>94620</v>
      </c>
      <c r="M752" s="19">
        <f>L752-L752*VLOOKUP($P752,매칭테이블!$G:$J,3,0)</f>
        <v>89084.73</v>
      </c>
      <c r="N752" s="19">
        <f>VLOOKUP($P752,매칭테이블!$G:$J,4,0)*H752</f>
        <v>6320</v>
      </c>
      <c r="O752" s="20">
        <f t="shared" ref="O752:O759" si="197">L752/1.1</f>
        <v>86018.181818181809</v>
      </c>
      <c r="P752" s="19" t="str">
        <f t="shared" si="193"/>
        <v>카페24뉴트리셔스밤라베나 리커버리 15 뉴트리셔스 밤 [HAIR R?:COVERY 15 Nutritious Balm]제품선택=뉴트리셔스 밤 2개 세트 5% 추가할인201210</v>
      </c>
    </row>
    <row r="753" spans="2:16" x14ac:dyDescent="0.3">
      <c r="B753" s="2">
        <v>44221</v>
      </c>
      <c r="C753" s="19" t="str">
        <f t="shared" si="196"/>
        <v>월</v>
      </c>
      <c r="E753" s="17" t="str">
        <f>INDEX(매칭테이블!C:C,MATCH(RD!G753,매칭테이블!D:D,0))</f>
        <v>뉴트리셔스밤</v>
      </c>
      <c r="F753" t="s">
        <v>91</v>
      </c>
      <c r="G753" t="s">
        <v>137</v>
      </c>
      <c r="H753">
        <v>2</v>
      </c>
      <c r="I753" s="17" t="str">
        <f>VLOOKUP(G753,매칭테이블!D:E,2,0)</f>
        <v>트리트먼트+뉴트리셔스밤</v>
      </c>
      <c r="J753">
        <v>201210</v>
      </c>
      <c r="L753" s="19">
        <f>VLOOKUP($P753,매칭테이블!$G:$J,2,0)*H753</f>
        <v>96710</v>
      </c>
      <c r="M753" s="19">
        <f>L753-L753*VLOOKUP($P753,매칭테이블!$G:$J,3,0)</f>
        <v>91052.464999999997</v>
      </c>
      <c r="N753" s="19">
        <f>VLOOKUP($P753,매칭테이블!$G:$J,4,0)*H753</f>
        <v>6354</v>
      </c>
      <c r="O753" s="20">
        <f t="shared" si="197"/>
        <v>87918.181818181809</v>
      </c>
      <c r="P753" s="19" t="str">
        <f t="shared" si="193"/>
        <v>카페24뉴트리셔스밤라베나 리커버리 15 뉴트리셔스 밤 [HAIR R?:COVERY 15 Nutritious Balm]제품선택=뉴트리셔스밤 1개 + 헤어팩 트리트먼트 1개 세트 5%추가할인201210</v>
      </c>
    </row>
    <row r="754" spans="2:16" x14ac:dyDescent="0.3">
      <c r="B754" s="2">
        <v>44221</v>
      </c>
      <c r="C754" s="19" t="str">
        <f t="shared" si="196"/>
        <v>월</v>
      </c>
      <c r="E754" s="17" t="str">
        <f>INDEX(매칭테이블!C:C,MATCH(RD!G754,매칭테이블!D:D,0))</f>
        <v>샴푸</v>
      </c>
      <c r="F754" t="s">
        <v>91</v>
      </c>
      <c r="G754" t="s">
        <v>138</v>
      </c>
      <c r="H754">
        <v>148</v>
      </c>
      <c r="I754" s="17" t="str">
        <f>VLOOKUP(G754,매칭테이블!D:E,2,0)</f>
        <v>리바이탈 샴푸</v>
      </c>
      <c r="J754">
        <v>201210</v>
      </c>
      <c r="L754" s="19">
        <f>VLOOKUP($P754,매칭테이블!$G:$J,2,0)*H754</f>
        <v>3981200</v>
      </c>
      <c r="M754" s="19">
        <f>L754-L754*VLOOKUP($P754,매칭테이블!$G:$J,3,0)</f>
        <v>3748299.8</v>
      </c>
      <c r="N754" s="19">
        <f>VLOOKUP($P754,매칭테이블!$G:$J,4,0)*H754</f>
        <v>446960</v>
      </c>
      <c r="O754" s="20">
        <f t="shared" si="197"/>
        <v>3619272.7272727271</v>
      </c>
      <c r="P754" s="19" t="str">
        <f t="shared" si="193"/>
        <v>카페24샴푸라베나 리커버리 15 리바이탈 샴푸 [HAIR R?:COVERY 15 Revital Shampoo]제품선택=헤어 리커버리 15 리바이탈 샴푸 - 500ml201210</v>
      </c>
    </row>
    <row r="755" spans="2:16" x14ac:dyDescent="0.3">
      <c r="B755" s="2">
        <v>44221</v>
      </c>
      <c r="C755" s="19" t="str">
        <f t="shared" si="196"/>
        <v>월</v>
      </c>
      <c r="E755" s="17" t="str">
        <f>INDEX(매칭테이블!C:C,MATCH(RD!G755,매칭테이블!D:D,0))</f>
        <v>샴푸</v>
      </c>
      <c r="F755" t="s">
        <v>91</v>
      </c>
      <c r="G755" t="s">
        <v>139</v>
      </c>
      <c r="H755">
        <v>48</v>
      </c>
      <c r="I755" s="17" t="str">
        <f>VLOOKUP(G755,매칭테이블!D:E,2,0)</f>
        <v>리바이탈 샴푸 2set</v>
      </c>
      <c r="J755">
        <v>201210</v>
      </c>
      <c r="L755" s="19">
        <f>VLOOKUP($P755,매칭테이블!$G:$J,2,0)*H755</f>
        <v>2453280</v>
      </c>
      <c r="M755" s="19">
        <f>L755-L755*VLOOKUP($P755,매칭테이블!$G:$J,3,0)</f>
        <v>2309763.12</v>
      </c>
      <c r="N755" s="19">
        <f>VLOOKUP($P755,매칭테이블!$G:$J,4,0)*H755</f>
        <v>289920</v>
      </c>
      <c r="O755" s="20">
        <f t="shared" si="197"/>
        <v>2230254.5454545454</v>
      </c>
      <c r="P755" s="19" t="str">
        <f t="shared" si="193"/>
        <v>카페24샴푸라베나 리커버리 15 리바이탈 샴푸 [HAIR R?:COVERY 15 Revital Shampoo]제품선택=리바이탈 샴푸 2개 세트 5%추가할인201210</v>
      </c>
    </row>
    <row r="756" spans="2:16" x14ac:dyDescent="0.3">
      <c r="B756" s="2">
        <v>44221</v>
      </c>
      <c r="C756" s="19" t="str">
        <f t="shared" si="196"/>
        <v>월</v>
      </c>
      <c r="E756" s="17" t="str">
        <f>INDEX(매칭테이블!C:C,MATCH(RD!G756,매칭테이블!D:D,0))</f>
        <v>샴푸</v>
      </c>
      <c r="F756" t="s">
        <v>91</v>
      </c>
      <c r="G756" t="s">
        <v>140</v>
      </c>
      <c r="H756">
        <v>23</v>
      </c>
      <c r="I756" s="17" t="str">
        <f>VLOOKUP(G756,매칭테이블!D:E,2,0)</f>
        <v>리바이탈 샴푸 3set</v>
      </c>
      <c r="J756">
        <v>201210</v>
      </c>
      <c r="L756" s="19">
        <f>VLOOKUP($P756,매칭테이블!$G:$J,2,0)*H756</f>
        <v>1670490</v>
      </c>
      <c r="M756" s="19">
        <f>L756-L756*VLOOKUP($P756,매칭테이블!$G:$J,3,0)</f>
        <v>1572766.335</v>
      </c>
      <c r="N756" s="19">
        <f>VLOOKUP($P756,매칭테이블!$G:$J,4,0)*H756</f>
        <v>208380</v>
      </c>
      <c r="O756" s="20">
        <f t="shared" si="197"/>
        <v>1518627.2727272727</v>
      </c>
      <c r="P756" s="19" t="str">
        <f t="shared" si="193"/>
        <v>카페24샴푸라베나 리커버리 15 리바이탈 샴푸 [HAIR R?:COVERY 15 Revital Shampoo]제품선택=리바이탈 샴푸 3개 세트 10% 추가할인201210</v>
      </c>
    </row>
    <row r="757" spans="2:16" x14ac:dyDescent="0.3">
      <c r="B757" s="2">
        <v>44221</v>
      </c>
      <c r="C757" s="19" t="str">
        <f t="shared" si="196"/>
        <v>월</v>
      </c>
      <c r="E757" s="17" t="str">
        <f>INDEX(매칭테이블!C:C,MATCH(RD!G757,매칭테이블!D:D,0))</f>
        <v>트리트먼트</v>
      </c>
      <c r="F757" t="s">
        <v>91</v>
      </c>
      <c r="G757" t="s">
        <v>141</v>
      </c>
      <c r="H757">
        <v>13</v>
      </c>
      <c r="I757" s="17" t="str">
        <f>VLOOKUP(G757,매칭테이블!D:E,2,0)</f>
        <v>트리트먼트</v>
      </c>
      <c r="J757">
        <v>201210</v>
      </c>
      <c r="L757" s="19">
        <f>VLOOKUP($P757,매칭테이블!$G:$J,2,0)*H757</f>
        <v>338000</v>
      </c>
      <c r="M757" s="19">
        <f>L757-L757*VLOOKUP($P757,매칭테이블!$G:$J,3,0)</f>
        <v>318227</v>
      </c>
      <c r="N757" s="19">
        <f>VLOOKUP($P757,매칭테이블!$G:$J,4,0)*H757</f>
        <v>20761</v>
      </c>
      <c r="O757" s="20">
        <f t="shared" si="197"/>
        <v>307272.72727272724</v>
      </c>
      <c r="P757" s="19" t="str">
        <f t="shared" si="193"/>
        <v>카페24트리트먼트라베나 리커버리 15 헤어팩 트리트먼트 [HAIR R?:COVERY 15 Hairpack Treatment]제품선택=헤어 리커버리 15 헤어팩 트리트먼트201210</v>
      </c>
    </row>
    <row r="758" spans="2:16" x14ac:dyDescent="0.3">
      <c r="B758" s="2">
        <v>44221</v>
      </c>
      <c r="C758" s="19" t="str">
        <f t="shared" si="196"/>
        <v>월</v>
      </c>
      <c r="E758" s="17" t="str">
        <f>INDEX(매칭테이블!C:C,MATCH(RD!G758,매칭테이블!D:D,0))</f>
        <v>트리트먼트</v>
      </c>
      <c r="F758" t="s">
        <v>91</v>
      </c>
      <c r="G758" t="s">
        <v>142</v>
      </c>
      <c r="H758">
        <v>1</v>
      </c>
      <c r="I758" s="17" t="str">
        <f>VLOOKUP(G758,매칭테이블!D:E,2,0)</f>
        <v>트리트먼트 2set</v>
      </c>
      <c r="J758">
        <v>201210</v>
      </c>
      <c r="L758" s="19">
        <f>VLOOKUP($P758,매칭테이블!$G:$J,2,0)*H758</f>
        <v>49400</v>
      </c>
      <c r="M758" s="19">
        <f>L758-L758*VLOOKUP($P758,매칭테이블!$G:$J,3,0)</f>
        <v>46510.1</v>
      </c>
      <c r="N758" s="19">
        <f>VLOOKUP($P758,매칭테이블!$G:$J,4,0)*H758</f>
        <v>3194</v>
      </c>
      <c r="O758" s="20">
        <f t="shared" si="197"/>
        <v>44909.090909090904</v>
      </c>
      <c r="P758" s="19" t="str">
        <f t="shared" si="193"/>
        <v>카페24트리트먼트라베나 리커버리 15 헤어팩 트리트먼트 [HAIR R?:COVERY 15 Hairpack Treatment]제품선택=헤어팩 트리트먼트 2개 세트 5% 추가할인201210</v>
      </c>
    </row>
    <row r="759" spans="2:16" x14ac:dyDescent="0.3">
      <c r="B759" s="2">
        <v>44221</v>
      </c>
      <c r="C759" s="19" t="str">
        <f t="shared" si="196"/>
        <v>월</v>
      </c>
      <c r="E759" s="17" t="str">
        <f>INDEX(매칭테이블!C:C,MATCH(RD!G759,매칭테이블!D:D,0))</f>
        <v>샴푸</v>
      </c>
      <c r="F759" t="s">
        <v>91</v>
      </c>
      <c r="G759" t="s">
        <v>123</v>
      </c>
      <c r="H759">
        <v>1</v>
      </c>
      <c r="I759" s="17" t="str">
        <f>VLOOKUP(G759,매칭테이블!D:E,2,0)</f>
        <v>리바이탈 샴푸</v>
      </c>
      <c r="J759">
        <v>201210</v>
      </c>
      <c r="L759" s="19">
        <f>VLOOKUP($P759,매칭테이블!$G:$J,2,0)*H759</f>
        <v>26900</v>
      </c>
      <c r="M759" s="19">
        <f>L759-L759*VLOOKUP($P759,매칭테이블!$G:$J,3,0)</f>
        <v>25326.35</v>
      </c>
      <c r="N759" s="19">
        <f>VLOOKUP($P759,매칭테이블!$G:$J,4,0)*H759</f>
        <v>3020</v>
      </c>
      <c r="O759" s="20">
        <f t="shared" si="197"/>
        <v>24454.545454545452</v>
      </c>
      <c r="P759" s="19" t="str">
        <f t="shared" si="193"/>
        <v>카페24샴푸헤어 리커버리 15 리바이탈 샴푸201210</v>
      </c>
    </row>
    <row r="760" spans="2:16" x14ac:dyDescent="0.3">
      <c r="B760" s="2">
        <v>44222</v>
      </c>
      <c r="C760" s="19" t="str">
        <f t="shared" ref="C760" si="198">TEXT(B760,"aaa")</f>
        <v>화</v>
      </c>
      <c r="E760" s="17" t="str">
        <f>INDEX(매칭테이블!C:C,MATCH(RD!G760,매칭테이블!D:D,0))</f>
        <v>트리트먼트</v>
      </c>
      <c r="F760" t="s">
        <v>91</v>
      </c>
      <c r="G760" t="s">
        <v>98</v>
      </c>
      <c r="H760">
        <v>4</v>
      </c>
      <c r="I760" s="17" t="str">
        <f>VLOOKUP(G760,매칭테이블!D:E,2,0)</f>
        <v>트리트먼트</v>
      </c>
      <c r="J760">
        <v>201210</v>
      </c>
      <c r="L760" s="19">
        <f>VLOOKUP($P760,매칭테이블!$G:$J,2,0)*H760</f>
        <v>88440</v>
      </c>
      <c r="M760" s="19">
        <f>L760-L760*VLOOKUP($P760,매칭테이블!$G:$J,3,0)</f>
        <v>83266.259999999995</v>
      </c>
      <c r="N760" s="19">
        <f>VLOOKUP($P760,매칭테이블!$G:$J,4,0)*H760</f>
        <v>6388</v>
      </c>
      <c r="O760" s="20">
        <f t="shared" ref="O760" si="199">L760/1.1</f>
        <v>80400</v>
      </c>
      <c r="P760" s="19" t="str">
        <f t="shared" si="193"/>
        <v>카페24트리트먼트(플친전용)HAIR RÉ:COVERY 15 Hairpack Treatment [헤어 리커버리 15 헤어팩 트리트먼트]제품선택=헤어 리커버리 15 헤어팩 트리트먼트201210</v>
      </c>
    </row>
    <row r="761" spans="2:16" x14ac:dyDescent="0.3">
      <c r="B761" s="2">
        <v>44222</v>
      </c>
      <c r="C761" s="19" t="str">
        <f t="shared" ref="C761:C776" si="200">TEXT(B761,"aaa")</f>
        <v>화</v>
      </c>
      <c r="E761" s="17" t="str">
        <f>INDEX(매칭테이블!C:C,MATCH(RD!G761,매칭테이블!D:D,0))</f>
        <v>트리트먼트</v>
      </c>
      <c r="F761" t="s">
        <v>91</v>
      </c>
      <c r="G761" t="s">
        <v>99</v>
      </c>
      <c r="H761">
        <v>2</v>
      </c>
      <c r="I761" s="17" t="str">
        <f>VLOOKUP(G761,매칭테이블!D:E,2,0)</f>
        <v>트리트먼트 2set</v>
      </c>
      <c r="J761">
        <v>201210</v>
      </c>
      <c r="L761" s="19">
        <f>VLOOKUP($P761,매칭테이블!$G:$J,2,0)*H761</f>
        <v>88440</v>
      </c>
      <c r="M761" s="19">
        <f>L761-L761*VLOOKUP($P761,매칭테이블!$G:$J,3,0)</f>
        <v>83266.259999999995</v>
      </c>
      <c r="N761" s="19">
        <f>VLOOKUP($P761,매칭테이블!$G:$J,4,0)*H761</f>
        <v>6388</v>
      </c>
      <c r="O761" s="20">
        <f t="shared" ref="O761:O776" si="201">L761/1.1</f>
        <v>80400</v>
      </c>
      <c r="P761" s="19" t="str">
        <f t="shared" si="193"/>
        <v>카페24트리트먼트(플친전용)HAIR RÉ:COVERY 15 Hairpack Treatment [헤어 리커버리 15 헤어팩 트리트먼트]제품선택=헤어팩 트리트먼트 2개 세트201210</v>
      </c>
    </row>
    <row r="762" spans="2:16" x14ac:dyDescent="0.3">
      <c r="B762" s="2">
        <v>44222</v>
      </c>
      <c r="C762" s="19" t="str">
        <f t="shared" si="200"/>
        <v>화</v>
      </c>
      <c r="E762" s="17" t="str">
        <f>INDEX(매칭테이블!C:C,MATCH(RD!G762,매칭테이블!D:D,0))</f>
        <v>트리트먼트</v>
      </c>
      <c r="F762" t="s">
        <v>91</v>
      </c>
      <c r="G762" t="s">
        <v>100</v>
      </c>
      <c r="H762">
        <v>1</v>
      </c>
      <c r="I762" s="17" t="str">
        <f>VLOOKUP(G762,매칭테이블!D:E,2,0)</f>
        <v>트리트먼트 3set</v>
      </c>
      <c r="J762">
        <v>201210</v>
      </c>
      <c r="L762" s="19">
        <f>VLOOKUP($P762,매칭테이블!$G:$J,2,0)*H762</f>
        <v>66330</v>
      </c>
      <c r="M762" s="19">
        <f>L762-L762*VLOOKUP($P762,매칭테이블!$G:$J,3,0)</f>
        <v>62449.695</v>
      </c>
      <c r="N762" s="19">
        <f>VLOOKUP($P762,매칭테이블!$G:$J,4,0)*H762</f>
        <v>4791</v>
      </c>
      <c r="O762" s="20">
        <f t="shared" si="201"/>
        <v>60299.999999999993</v>
      </c>
      <c r="P762" s="19" t="str">
        <f t="shared" si="193"/>
        <v>카페24트리트먼트(플친전용)HAIR RÉ:COVERY 15 Hairpack Treatment [헤어 리커버리 15 헤어팩 트리트먼트]제품선택=헤어팩 트리트먼트 3개 세트201210</v>
      </c>
    </row>
    <row r="763" spans="2:16" x14ac:dyDescent="0.3">
      <c r="B763" s="2">
        <v>44222</v>
      </c>
      <c r="C763" s="19" t="str">
        <f t="shared" si="200"/>
        <v>화</v>
      </c>
      <c r="E763" s="17" t="str">
        <f>INDEX(매칭테이블!C:C,MATCH(RD!G763,매칭테이블!D:D,0))</f>
        <v>뉴트리셔스밤</v>
      </c>
      <c r="F763" t="s">
        <v>91</v>
      </c>
      <c r="G763" t="s">
        <v>102</v>
      </c>
      <c r="H763">
        <v>9</v>
      </c>
      <c r="I763" s="17" t="str">
        <f>VLOOKUP(G763,매칭테이블!D:E,2,0)</f>
        <v>뉴트리셔스밤</v>
      </c>
      <c r="J763">
        <v>201210</v>
      </c>
      <c r="L763" s="19">
        <f>VLOOKUP($P763,매칭테이블!$G:$J,2,0)*H763</f>
        <v>188604</v>
      </c>
      <c r="M763" s="19">
        <f>L763-L763*VLOOKUP($P763,매칭테이블!$G:$J,3,0)</f>
        <v>177570.666</v>
      </c>
      <c r="N763" s="19">
        <f>VLOOKUP($P763,매칭테이블!$G:$J,4,0)*H763</f>
        <v>14220</v>
      </c>
      <c r="O763" s="20">
        <f t="shared" si="201"/>
        <v>171458.18181818179</v>
      </c>
      <c r="P763" s="19" t="str">
        <f t="shared" si="193"/>
        <v>카페24뉴트리셔스밤(플친전용)HAIR RÉ:COVERY 15 Nutritious Balm [헤어 리커버리 15 뉴트리셔스 밤]제품선택=헤어 리커버리 15 뉴트리셔스 밤201210</v>
      </c>
    </row>
    <row r="764" spans="2:16" x14ac:dyDescent="0.3">
      <c r="B764" s="2">
        <v>44222</v>
      </c>
      <c r="C764" s="19" t="str">
        <f t="shared" si="200"/>
        <v>화</v>
      </c>
      <c r="E764" s="17" t="str">
        <f>INDEX(매칭테이블!C:C,MATCH(RD!G764,매칭테이블!D:D,0))</f>
        <v>뉴트리셔스밤</v>
      </c>
      <c r="F764" t="s">
        <v>91</v>
      </c>
      <c r="G764" t="s">
        <v>143</v>
      </c>
      <c r="H764">
        <v>2</v>
      </c>
      <c r="I764" s="17" t="str">
        <f>VLOOKUP(G764,매칭테이블!D:E,2,0)</f>
        <v>뉴트리셔스밤 2set</v>
      </c>
      <c r="J764">
        <v>201210</v>
      </c>
      <c r="L764" s="19">
        <f>VLOOKUP($P764,매칭테이블!$G:$J,2,0)*H764</f>
        <v>83824</v>
      </c>
      <c r="M764" s="19">
        <f>L764-L764*VLOOKUP($P764,매칭테이블!$G:$J,3,0)</f>
        <v>78920.296000000002</v>
      </c>
      <c r="N764" s="19">
        <f>VLOOKUP($P764,매칭테이블!$G:$J,4,0)*H764</f>
        <v>6320</v>
      </c>
      <c r="O764" s="20">
        <f t="shared" si="201"/>
        <v>76203.636363636353</v>
      </c>
      <c r="P764" s="19" t="str">
        <f t="shared" si="193"/>
        <v>카페24뉴트리셔스밤(플친전용)HAIR RÉ:COVERY 15 Nutritious Balm [헤어 리커버리 15 뉴트리셔스 밤]제품선택=뉴트리셔스 밤 2개 세트201210</v>
      </c>
    </row>
    <row r="765" spans="2:16" x14ac:dyDescent="0.3">
      <c r="B765" s="2">
        <v>44222</v>
      </c>
      <c r="C765" s="19" t="str">
        <f t="shared" si="200"/>
        <v>화</v>
      </c>
      <c r="E765" s="17" t="str">
        <f>INDEX(매칭테이블!C:C,MATCH(RD!G765,매칭테이블!D:D,0))</f>
        <v>뉴트리셔스밤</v>
      </c>
      <c r="F765" t="s">
        <v>91</v>
      </c>
      <c r="G765" t="s">
        <v>103</v>
      </c>
      <c r="H765">
        <v>1</v>
      </c>
      <c r="I765" s="17" t="str">
        <f>VLOOKUP(G765,매칭테이블!D:E,2,0)</f>
        <v>뉴트리셔스밤 3set</v>
      </c>
      <c r="J765">
        <v>201210</v>
      </c>
      <c r="L765" s="19">
        <f>VLOOKUP($P765,매칭테이블!$G:$J,2,0)*H765</f>
        <v>62868</v>
      </c>
      <c r="M765" s="19">
        <f>L765-L765*VLOOKUP($P765,매칭테이블!$G:$J,3,0)</f>
        <v>59190.222000000002</v>
      </c>
      <c r="N765" s="19">
        <f>VLOOKUP($P765,매칭테이블!$G:$J,4,0)*H765</f>
        <v>4740</v>
      </c>
      <c r="O765" s="20">
        <f t="shared" si="201"/>
        <v>57152.727272727265</v>
      </c>
      <c r="P765" s="19" t="str">
        <f t="shared" si="193"/>
        <v>카페24뉴트리셔스밤(플친전용)HAIR RÉ:COVERY 15 Nutritious Balm [헤어 리커버리 15 뉴트리셔스 밤]제품선택=뉴트리셔스 밤 3개 세트201210</v>
      </c>
    </row>
    <row r="766" spans="2:16" x14ac:dyDescent="0.3">
      <c r="B766" s="2">
        <v>44222</v>
      </c>
      <c r="C766" s="19" t="str">
        <f t="shared" si="200"/>
        <v>화</v>
      </c>
      <c r="E766" s="17" t="str">
        <f>INDEX(매칭테이블!C:C,MATCH(RD!G766,매칭테이블!D:D,0))</f>
        <v>뉴트리셔스밤</v>
      </c>
      <c r="F766" t="s">
        <v>91</v>
      </c>
      <c r="G766" t="s">
        <v>111</v>
      </c>
      <c r="H766">
        <v>2</v>
      </c>
      <c r="I766" s="17" t="str">
        <f>VLOOKUP(G766,매칭테이블!D:E,2,0)</f>
        <v>트리트먼트+뉴트리셔스밤</v>
      </c>
      <c r="J766">
        <v>201210</v>
      </c>
      <c r="L766" s="19">
        <f>VLOOKUP($P766,매칭테이블!$G:$J,2,0)*H766</f>
        <v>86132</v>
      </c>
      <c r="M766" s="19">
        <f>L766-L766*VLOOKUP($P766,매칭테이블!$G:$J,3,0)</f>
        <v>81093.278000000006</v>
      </c>
      <c r="N766" s="19">
        <f>VLOOKUP($P766,매칭테이블!$G:$J,4,0)*H766</f>
        <v>6354</v>
      </c>
      <c r="O766" s="20">
        <f t="shared" si="201"/>
        <v>78301.818181818177</v>
      </c>
      <c r="P766" s="19" t="str">
        <f t="shared" si="193"/>
        <v>카페24뉴트리셔스밤(플친전용)HAIR RÉ:COVERY 15 Nutritious Balm [헤어 리커버리 15 뉴트리셔스 밤]제품선택=뉴트리셔스밤 1개 + 헤어팩 트리트먼트 1개 세트201210</v>
      </c>
    </row>
    <row r="767" spans="2:16" x14ac:dyDescent="0.3">
      <c r="B767" s="2">
        <v>44222</v>
      </c>
      <c r="C767" s="19" t="str">
        <f t="shared" si="200"/>
        <v>화</v>
      </c>
      <c r="E767" s="17" t="str">
        <f>INDEX(매칭테이블!C:C,MATCH(RD!G767,매칭테이블!D:D,0))</f>
        <v>뉴트리셔스밤</v>
      </c>
      <c r="F767" t="s">
        <v>91</v>
      </c>
      <c r="G767" t="s">
        <v>124</v>
      </c>
      <c r="H767">
        <v>7</v>
      </c>
      <c r="I767" s="17" t="str">
        <f>VLOOKUP(G767,매칭테이블!D:E,2,0)</f>
        <v>뉴트리셔스밤</v>
      </c>
      <c r="J767">
        <v>201210</v>
      </c>
      <c r="L767" s="19">
        <f>VLOOKUP($P767,매칭테이블!$G:$J,2,0)*H767</f>
        <v>174300</v>
      </c>
      <c r="M767" s="19">
        <f>L767-L767*VLOOKUP($P767,매칭테이블!$G:$J,3,0)</f>
        <v>164103.45000000001</v>
      </c>
      <c r="N767" s="19">
        <f>VLOOKUP($P767,매칭테이블!$G:$J,4,0)*H767</f>
        <v>11060</v>
      </c>
      <c r="O767" s="20">
        <f t="shared" si="201"/>
        <v>158454.54545454544</v>
      </c>
      <c r="P767" s="19" t="str">
        <f t="shared" si="193"/>
        <v>카페24뉴트리셔스밤라베나 리커버리 15 뉴트리셔스 밤 [HAIR RÉ:COVERY 15 Nutritious Balm]제품선택=헤어 리커버리 15 뉴트리셔스 밤201210</v>
      </c>
    </row>
    <row r="768" spans="2:16" x14ac:dyDescent="0.3">
      <c r="B768" s="2">
        <v>44222</v>
      </c>
      <c r="C768" s="19" t="str">
        <f t="shared" si="200"/>
        <v>화</v>
      </c>
      <c r="E768" s="17" t="str">
        <f>INDEX(매칭테이블!C:C,MATCH(RD!G768,매칭테이블!D:D,0))</f>
        <v>뉴트리셔스밤</v>
      </c>
      <c r="F768" t="s">
        <v>91</v>
      </c>
      <c r="G768" t="s">
        <v>125</v>
      </c>
      <c r="H768">
        <v>2</v>
      </c>
      <c r="I768" s="17" t="str">
        <f>VLOOKUP(G768,매칭테이블!D:E,2,0)</f>
        <v>뉴트리셔스밤 2set</v>
      </c>
      <c r="J768">
        <v>201210</v>
      </c>
      <c r="L768" s="19">
        <f>VLOOKUP($P768,매칭테이블!$G:$J,2,0)*H768</f>
        <v>94620</v>
      </c>
      <c r="M768" s="19">
        <f>L768-L768*VLOOKUP($P768,매칭테이블!$G:$J,3,0)</f>
        <v>89084.73</v>
      </c>
      <c r="N768" s="19">
        <f>VLOOKUP($P768,매칭테이블!$G:$J,4,0)*H768</f>
        <v>6320</v>
      </c>
      <c r="O768" s="20">
        <f t="shared" si="201"/>
        <v>86018.181818181809</v>
      </c>
      <c r="P768" s="19" t="str">
        <f t="shared" si="193"/>
        <v>카페24뉴트리셔스밤라베나 리커버리 15 뉴트리셔스 밤 [HAIR RÉ:COVERY 15 Nutritious Balm]제품선택=뉴트리셔스 밤 2개 세트 5% 추가할인201210</v>
      </c>
    </row>
    <row r="769" spans="2:16" x14ac:dyDescent="0.3">
      <c r="B769" s="2">
        <v>44222</v>
      </c>
      <c r="C769" s="19" t="str">
        <f t="shared" si="200"/>
        <v>화</v>
      </c>
      <c r="E769" s="17" t="str">
        <f>INDEX(매칭테이블!C:C,MATCH(RD!G769,매칭테이블!D:D,0))</f>
        <v>뉴트리셔스밤</v>
      </c>
      <c r="F769" t="s">
        <v>91</v>
      </c>
      <c r="G769" t="s">
        <v>126</v>
      </c>
      <c r="H769">
        <v>2</v>
      </c>
      <c r="I769" s="17" t="str">
        <f>VLOOKUP(G769,매칭테이블!D:E,2,0)</f>
        <v>트리트먼트+뉴트리셔스밤</v>
      </c>
      <c r="J769">
        <v>201210</v>
      </c>
      <c r="L769" s="19">
        <f>VLOOKUP($P769,매칭테이블!$G:$J,2,0)*H769</f>
        <v>96710</v>
      </c>
      <c r="M769" s="19">
        <f>L769-L769*VLOOKUP($P769,매칭테이블!$G:$J,3,0)</f>
        <v>91052.464999999997</v>
      </c>
      <c r="N769" s="19">
        <f>VLOOKUP($P769,매칭테이블!$G:$J,4,0)*H769</f>
        <v>6354</v>
      </c>
      <c r="O769" s="20">
        <f t="shared" si="201"/>
        <v>87918.181818181809</v>
      </c>
      <c r="P769" s="19" t="str">
        <f t="shared" si="193"/>
        <v>카페24뉴트리셔스밤라베나 리커버리 15 뉴트리셔스 밤 [HAIR RÉ:COVERY 15 Nutritious Balm]제품선택=뉴트리셔스밤 1개 + 헤어팩 트리트먼트 1개 세트 5%추가할인201210</v>
      </c>
    </row>
    <row r="770" spans="2:16" x14ac:dyDescent="0.3">
      <c r="B770" s="2">
        <v>44222</v>
      </c>
      <c r="C770" s="19" t="str">
        <f t="shared" si="200"/>
        <v>화</v>
      </c>
      <c r="E770" s="17" t="str">
        <f>INDEX(매칭테이블!C:C,MATCH(RD!G770,매칭테이블!D:D,0))</f>
        <v>샴푸</v>
      </c>
      <c r="F770" t="s">
        <v>91</v>
      </c>
      <c r="G770" t="s">
        <v>127</v>
      </c>
      <c r="H770">
        <v>140</v>
      </c>
      <c r="I770" s="17" t="str">
        <f>VLOOKUP(G770,매칭테이블!D:E,2,0)</f>
        <v>리바이탈 샴푸</v>
      </c>
      <c r="J770">
        <v>201210</v>
      </c>
      <c r="L770" s="19">
        <f>VLOOKUP($P770,매칭테이블!$G:$J,2,0)*H770</f>
        <v>3766000</v>
      </c>
      <c r="M770" s="19">
        <f>L770-L770*VLOOKUP($P770,매칭테이블!$G:$J,3,0)</f>
        <v>3545689</v>
      </c>
      <c r="N770" s="19">
        <f>VLOOKUP($P770,매칭테이블!$G:$J,4,0)*H770</f>
        <v>422800</v>
      </c>
      <c r="O770" s="20">
        <f t="shared" si="201"/>
        <v>3423636.3636363633</v>
      </c>
      <c r="P770" s="19" t="str">
        <f t="shared" si="193"/>
        <v>카페24샴푸라베나 리커버리 15 리바이탈 샴푸 [HAIR RÉ:COVERY 15 Revital Shampoo]제품선택=헤어 리커버리 15 리바이탈 샴푸 - 500ml201210</v>
      </c>
    </row>
    <row r="771" spans="2:16" x14ac:dyDescent="0.3">
      <c r="B771" s="2">
        <v>44222</v>
      </c>
      <c r="C771" s="19" t="str">
        <f t="shared" si="200"/>
        <v>화</v>
      </c>
      <c r="E771" s="17" t="str">
        <f>INDEX(매칭테이블!C:C,MATCH(RD!G771,매칭테이블!D:D,0))</f>
        <v>샴푸</v>
      </c>
      <c r="F771" t="s">
        <v>91</v>
      </c>
      <c r="G771" t="s">
        <v>128</v>
      </c>
      <c r="H771">
        <v>39</v>
      </c>
      <c r="I771" s="17" t="str">
        <f>VLOOKUP(G771,매칭테이블!D:E,2,0)</f>
        <v>리바이탈 샴푸 2set</v>
      </c>
      <c r="J771">
        <v>201210</v>
      </c>
      <c r="L771" s="19">
        <f>VLOOKUP($P771,매칭테이블!$G:$J,2,0)*H771</f>
        <v>1993290</v>
      </c>
      <c r="M771" s="19">
        <f>L771-L771*VLOOKUP($P771,매칭테이블!$G:$J,3,0)</f>
        <v>1876682.5349999999</v>
      </c>
      <c r="N771" s="19">
        <f>VLOOKUP($P771,매칭테이블!$G:$J,4,0)*H771</f>
        <v>235560</v>
      </c>
      <c r="O771" s="20">
        <f t="shared" si="201"/>
        <v>1812081.8181818181</v>
      </c>
      <c r="P771" s="19" t="str">
        <f t="shared" si="193"/>
        <v>카페24샴푸라베나 리커버리 15 리바이탈 샴푸 [HAIR RÉ:COVERY 15 Revital Shampoo]제품선택=리바이탈 샴푸 2개 세트 5%추가할인201210</v>
      </c>
    </row>
    <row r="772" spans="2:16" x14ac:dyDescent="0.3">
      <c r="B772" s="2">
        <v>44222</v>
      </c>
      <c r="C772" s="19" t="str">
        <f t="shared" si="200"/>
        <v>화</v>
      </c>
      <c r="E772" s="17" t="str">
        <f>INDEX(매칭테이블!C:C,MATCH(RD!G772,매칭테이블!D:D,0))</f>
        <v>샴푸</v>
      </c>
      <c r="F772" t="s">
        <v>91</v>
      </c>
      <c r="G772" t="s">
        <v>129</v>
      </c>
      <c r="H772">
        <v>10</v>
      </c>
      <c r="I772" s="17" t="str">
        <f>VLOOKUP(G772,매칭테이블!D:E,2,0)</f>
        <v>리바이탈 샴푸 3set</v>
      </c>
      <c r="J772">
        <v>201210</v>
      </c>
      <c r="L772" s="19">
        <f>VLOOKUP($P772,매칭테이블!$G:$J,2,0)*H772</f>
        <v>726300</v>
      </c>
      <c r="M772" s="19">
        <f>L772-L772*VLOOKUP($P772,매칭테이블!$G:$J,3,0)</f>
        <v>683811.45</v>
      </c>
      <c r="N772" s="19">
        <f>VLOOKUP($P772,매칭테이블!$G:$J,4,0)*H772</f>
        <v>90600</v>
      </c>
      <c r="O772" s="20">
        <f t="shared" si="201"/>
        <v>660272.72727272718</v>
      </c>
      <c r="P772" s="19" t="str">
        <f t="shared" si="193"/>
        <v>카페24샴푸라베나 리커버리 15 리바이탈 샴푸 [HAIR RÉ:COVERY 15 Revital Shampoo]제품선택=리바이탈 샴푸 3개 세트 10% 추가할인201210</v>
      </c>
    </row>
    <row r="773" spans="2:16" x14ac:dyDescent="0.3">
      <c r="B773" s="2">
        <v>44222</v>
      </c>
      <c r="C773" s="19" t="str">
        <f t="shared" si="200"/>
        <v>화</v>
      </c>
      <c r="E773" s="17" t="str">
        <f>INDEX(매칭테이블!C:C,MATCH(RD!G773,매칭테이블!D:D,0))</f>
        <v>트리트먼트</v>
      </c>
      <c r="F773" t="s">
        <v>91</v>
      </c>
      <c r="G773" t="s">
        <v>130</v>
      </c>
      <c r="H773">
        <v>9</v>
      </c>
      <c r="I773" s="17" t="str">
        <f>VLOOKUP(G773,매칭테이블!D:E,2,0)</f>
        <v>트리트먼트</v>
      </c>
      <c r="J773">
        <v>201210</v>
      </c>
      <c r="L773" s="19">
        <f>VLOOKUP($P773,매칭테이블!$G:$J,2,0)*H773</f>
        <v>234000</v>
      </c>
      <c r="M773" s="19">
        <f>L773-L773*VLOOKUP($P773,매칭테이블!$G:$J,3,0)</f>
        <v>220311</v>
      </c>
      <c r="N773" s="19">
        <f>VLOOKUP($P773,매칭테이블!$G:$J,4,0)*H773</f>
        <v>14373</v>
      </c>
      <c r="O773" s="20">
        <f t="shared" si="201"/>
        <v>212727.27272727271</v>
      </c>
      <c r="P773" s="19" t="str">
        <f t="shared" si="193"/>
        <v>카페24트리트먼트라베나 리커버리 15 헤어팩 트리트먼트 [HAIR RÉ:COVERY 15 Hairpack Treatment]제품선택=헤어 리커버리 15 헤어팩 트리트먼트201210</v>
      </c>
    </row>
    <row r="774" spans="2:16" x14ac:dyDescent="0.3">
      <c r="B774" s="2">
        <v>44222</v>
      </c>
      <c r="C774" s="19" t="str">
        <f t="shared" si="200"/>
        <v>화</v>
      </c>
      <c r="E774" s="17" t="str">
        <f>INDEX(매칭테이블!C:C,MATCH(RD!G774,매칭테이블!D:D,0))</f>
        <v>트리트먼트</v>
      </c>
      <c r="F774" t="s">
        <v>91</v>
      </c>
      <c r="G774" t="s">
        <v>131</v>
      </c>
      <c r="H774">
        <v>1</v>
      </c>
      <c r="I774" s="17" t="str">
        <f>VLOOKUP(G774,매칭테이블!D:E,2,0)</f>
        <v>트리트먼트 2set</v>
      </c>
      <c r="J774">
        <v>201210</v>
      </c>
      <c r="L774" s="19">
        <f>VLOOKUP($P774,매칭테이블!$G:$J,2,0)*H774</f>
        <v>49400</v>
      </c>
      <c r="M774" s="19">
        <f>L774-L774*VLOOKUP($P774,매칭테이블!$G:$J,3,0)</f>
        <v>46510.1</v>
      </c>
      <c r="N774" s="19">
        <f>VLOOKUP($P774,매칭테이블!$G:$J,4,0)*H774</f>
        <v>3194</v>
      </c>
      <c r="O774" s="20">
        <f t="shared" si="201"/>
        <v>44909.090909090904</v>
      </c>
      <c r="P774" s="19" t="str">
        <f t="shared" si="193"/>
        <v>카페24트리트먼트라베나 리커버리 15 헤어팩 트리트먼트 [HAIR RÉ:COVERY 15 Hairpack Treatment]제품선택=헤어팩 트리트먼트 2개 세트 5% 추가할인201210</v>
      </c>
    </row>
    <row r="775" spans="2:16" x14ac:dyDescent="0.3">
      <c r="B775" s="2">
        <v>44222</v>
      </c>
      <c r="C775" s="19" t="str">
        <f t="shared" si="200"/>
        <v>화</v>
      </c>
      <c r="E775" s="17" t="str">
        <f>INDEX(매칭테이블!C:C,MATCH(RD!G775,매칭테이블!D:D,0))</f>
        <v>트리트먼트</v>
      </c>
      <c r="F775" t="s">
        <v>91</v>
      </c>
      <c r="G775" t="s">
        <v>133</v>
      </c>
      <c r="H775">
        <v>1</v>
      </c>
      <c r="I775" s="17" t="str">
        <f>VLOOKUP(G775,매칭테이블!D:E,2,0)</f>
        <v>트리트먼트+뉴트리셔스밤</v>
      </c>
      <c r="J775">
        <v>201210</v>
      </c>
      <c r="L775" s="19">
        <f>VLOOKUP($P775,매칭테이블!$G:$J,2,0)*H775</f>
        <v>48355</v>
      </c>
      <c r="M775" s="19">
        <f>L775-L775*VLOOKUP($P775,매칭테이블!$G:$J,3,0)</f>
        <v>45526.232499999998</v>
      </c>
      <c r="N775" s="19">
        <f>VLOOKUP($P775,매칭테이블!$G:$J,4,0)*H775</f>
        <v>3177</v>
      </c>
      <c r="O775" s="20">
        <f t="shared" si="201"/>
        <v>43959.090909090904</v>
      </c>
      <c r="P775" s="19" t="str">
        <f t="shared" si="193"/>
        <v>카페24트리트먼트라베나 리커버리 15 헤어팩 트리트먼트 [HAIR RÉ:COVERY 15 Hairpack Treatment]제품선택=헤어팩 트리트먼트 1개 + 뉴트리셔스밤 1개 세트 5% 추가할인201210</v>
      </c>
    </row>
    <row r="776" spans="2:16" x14ac:dyDescent="0.3">
      <c r="B776" s="2">
        <v>44222</v>
      </c>
      <c r="C776" s="19" t="str">
        <f t="shared" si="200"/>
        <v>화</v>
      </c>
      <c r="E776" s="17" t="str">
        <f>INDEX(매칭테이블!C:C,MATCH(RD!G776,매칭테이블!D:D,0))</f>
        <v>샴푸</v>
      </c>
      <c r="F776" t="s">
        <v>91</v>
      </c>
      <c r="G776" t="s">
        <v>123</v>
      </c>
      <c r="H776">
        <v>3</v>
      </c>
      <c r="I776" s="17" t="str">
        <f>VLOOKUP(G776,매칭테이블!D:E,2,0)</f>
        <v>리바이탈 샴푸</v>
      </c>
      <c r="J776">
        <v>201210</v>
      </c>
      <c r="L776" s="19">
        <f>VLOOKUP($P776,매칭테이블!$G:$J,2,0)*H776</f>
        <v>80700</v>
      </c>
      <c r="M776" s="19">
        <f>L776-L776*VLOOKUP($P776,매칭테이블!$G:$J,3,0)</f>
        <v>75979.05</v>
      </c>
      <c r="N776" s="19">
        <f>VLOOKUP($P776,매칭테이블!$G:$J,4,0)*H776</f>
        <v>9060</v>
      </c>
      <c r="O776" s="20">
        <f t="shared" si="201"/>
        <v>73363.636363636353</v>
      </c>
      <c r="P776" s="19" t="str">
        <f t="shared" si="193"/>
        <v>카페24샴푸헤어 리커버리 15 리바이탈 샴푸201210</v>
      </c>
    </row>
    <row r="777" spans="2:16" x14ac:dyDescent="0.3">
      <c r="B777" s="2">
        <v>44223</v>
      </c>
      <c r="C777" s="19" t="str">
        <f t="shared" ref="C777" si="202">TEXT(B777,"aaa")</f>
        <v>수</v>
      </c>
      <c r="E777" s="17" t="str">
        <f>INDEX(매칭테이블!C:C,MATCH(RD!G777,매칭테이블!D:D,0))</f>
        <v>트리트먼트</v>
      </c>
      <c r="F777" t="s">
        <v>91</v>
      </c>
      <c r="G777" t="s">
        <v>99</v>
      </c>
      <c r="H777">
        <v>3</v>
      </c>
      <c r="I777" s="17" t="str">
        <f>VLOOKUP(G777,매칭테이블!D:E,2,0)</f>
        <v>트리트먼트 2set</v>
      </c>
      <c r="J777">
        <v>201210</v>
      </c>
      <c r="L777" s="19">
        <f>VLOOKUP($P777,매칭테이블!$G:$J,2,0)*H777</f>
        <v>132660</v>
      </c>
      <c r="M777" s="19">
        <f>L777-L777*VLOOKUP($P777,매칭테이블!$G:$J,3,0)</f>
        <v>124899.39</v>
      </c>
      <c r="N777" s="19">
        <f>VLOOKUP($P777,매칭테이블!$G:$J,4,0)*H777</f>
        <v>9582</v>
      </c>
      <c r="O777" s="20">
        <f t="shared" ref="O777" si="203">L777/1.1</f>
        <v>120599.99999999999</v>
      </c>
      <c r="P777" s="19" t="str">
        <f t="shared" si="193"/>
        <v>카페24트리트먼트(플친전용)HAIR RÉ:COVERY 15 Hairpack Treatment [헤어 리커버리 15 헤어팩 트리트먼트]제품선택=헤어팩 트리트먼트 2개 세트201210</v>
      </c>
    </row>
    <row r="778" spans="2:16" x14ac:dyDescent="0.3">
      <c r="B778" s="2">
        <v>44223</v>
      </c>
      <c r="C778" s="19" t="str">
        <f t="shared" ref="C778:C788" si="204">TEXT(B778,"aaa")</f>
        <v>수</v>
      </c>
      <c r="E778" s="17" t="str">
        <f>INDEX(매칭테이블!C:C,MATCH(RD!G778,매칭테이블!D:D,0))</f>
        <v>트리트먼트</v>
      </c>
      <c r="F778" t="s">
        <v>91</v>
      </c>
      <c r="G778" t="s">
        <v>101</v>
      </c>
      <c r="H778">
        <v>2</v>
      </c>
      <c r="I778" s="17" t="str">
        <f>VLOOKUP(G778,매칭테이블!D:E,2,0)</f>
        <v>트리트먼트+뉴트리셔스밤</v>
      </c>
      <c r="J778">
        <v>201210</v>
      </c>
      <c r="L778" s="19">
        <f>VLOOKUP($P778,매칭테이블!$G:$J,2,0)*H778</f>
        <v>86132</v>
      </c>
      <c r="M778" s="19">
        <f>L778-L778*VLOOKUP($P778,매칭테이블!$G:$J,3,0)</f>
        <v>81093.278000000006</v>
      </c>
      <c r="N778" s="19">
        <f>VLOOKUP($P778,매칭테이블!$G:$J,4,0)*H778</f>
        <v>6354</v>
      </c>
      <c r="O778" s="20">
        <f t="shared" ref="O778:O788" si="205">L778/1.1</f>
        <v>78301.818181818177</v>
      </c>
      <c r="P778" s="19" t="str">
        <f t="shared" si="193"/>
        <v>카페24트리트먼트(플친전용)HAIR RÉ:COVERY 15 Hairpack Treatment [헤어 리커버리 15 헤어팩 트리트먼트]제품선택=헤어팩 트리트먼트 1개 + 뉴트리셔스 밤 1개 세트201210</v>
      </c>
    </row>
    <row r="779" spans="2:16" x14ac:dyDescent="0.3">
      <c r="B779" s="2">
        <v>44223</v>
      </c>
      <c r="C779" s="19" t="str">
        <f t="shared" si="204"/>
        <v>수</v>
      </c>
      <c r="E779" s="17" t="str">
        <f>INDEX(매칭테이블!C:C,MATCH(RD!G779,매칭테이블!D:D,0))</f>
        <v>뉴트리셔스밤</v>
      </c>
      <c r="F779" t="s">
        <v>91</v>
      </c>
      <c r="G779" t="s">
        <v>102</v>
      </c>
      <c r="H779">
        <v>3</v>
      </c>
      <c r="I779" s="17" t="str">
        <f>VLOOKUP(G779,매칭테이블!D:E,2,0)</f>
        <v>뉴트리셔스밤</v>
      </c>
      <c r="J779">
        <v>201210</v>
      </c>
      <c r="L779" s="19">
        <f>VLOOKUP($P779,매칭테이블!$G:$J,2,0)*H779</f>
        <v>62868</v>
      </c>
      <c r="M779" s="19">
        <f>L779-L779*VLOOKUP($P779,매칭테이블!$G:$J,3,0)</f>
        <v>59190.222000000002</v>
      </c>
      <c r="N779" s="19">
        <f>VLOOKUP($P779,매칭테이블!$G:$J,4,0)*H779</f>
        <v>4740</v>
      </c>
      <c r="O779" s="20">
        <f t="shared" si="205"/>
        <v>57152.727272727265</v>
      </c>
      <c r="P779" s="19" t="str">
        <f t="shared" si="193"/>
        <v>카페24뉴트리셔스밤(플친전용)HAIR RÉ:COVERY 15 Nutritious Balm [헤어 리커버리 15 뉴트리셔스 밤]제품선택=헤어 리커버리 15 뉴트리셔스 밤201210</v>
      </c>
    </row>
    <row r="780" spans="2:16" x14ac:dyDescent="0.3">
      <c r="B780" s="2">
        <v>44223</v>
      </c>
      <c r="C780" s="19" t="str">
        <f t="shared" si="204"/>
        <v>수</v>
      </c>
      <c r="E780" s="17" t="str">
        <f>INDEX(매칭테이블!C:C,MATCH(RD!G780,매칭테이블!D:D,0))</f>
        <v>뉴트리셔스밤</v>
      </c>
      <c r="F780" t="s">
        <v>91</v>
      </c>
      <c r="G780" t="s">
        <v>143</v>
      </c>
      <c r="H780">
        <v>1</v>
      </c>
      <c r="I780" s="17" t="str">
        <f>VLOOKUP(G780,매칭테이블!D:E,2,0)</f>
        <v>뉴트리셔스밤 2set</v>
      </c>
      <c r="J780">
        <v>201210</v>
      </c>
      <c r="L780" s="19">
        <f>VLOOKUP($P780,매칭테이블!$G:$J,2,0)*H780</f>
        <v>41912</v>
      </c>
      <c r="M780" s="19">
        <f>L780-L780*VLOOKUP($P780,매칭테이블!$G:$J,3,0)</f>
        <v>39460.148000000001</v>
      </c>
      <c r="N780" s="19">
        <f>VLOOKUP($P780,매칭테이블!$G:$J,4,0)*H780</f>
        <v>3160</v>
      </c>
      <c r="O780" s="20">
        <f t="shared" si="205"/>
        <v>38101.818181818177</v>
      </c>
      <c r="P780" s="19" t="str">
        <f t="shared" si="193"/>
        <v>카페24뉴트리셔스밤(플친전용)HAIR RÉ:COVERY 15 Nutritious Balm [헤어 리커버리 15 뉴트리셔스 밤]제품선택=뉴트리셔스 밤 2개 세트201210</v>
      </c>
    </row>
    <row r="781" spans="2:16" x14ac:dyDescent="0.3">
      <c r="B781" s="2">
        <v>44223</v>
      </c>
      <c r="C781" s="19" t="str">
        <f t="shared" si="204"/>
        <v>수</v>
      </c>
      <c r="E781" s="17" t="str">
        <f>INDEX(매칭테이블!C:C,MATCH(RD!G781,매칭테이블!D:D,0))</f>
        <v>뉴트리셔스밤</v>
      </c>
      <c r="F781" t="s">
        <v>91</v>
      </c>
      <c r="G781" t="s">
        <v>111</v>
      </c>
      <c r="H781">
        <v>3</v>
      </c>
      <c r="I781" s="17" t="str">
        <f>VLOOKUP(G781,매칭테이블!D:E,2,0)</f>
        <v>트리트먼트+뉴트리셔스밤</v>
      </c>
      <c r="J781">
        <v>201210</v>
      </c>
      <c r="L781" s="19">
        <f>VLOOKUP($P781,매칭테이블!$G:$J,2,0)*H781</f>
        <v>129198</v>
      </c>
      <c r="M781" s="19">
        <f>L781-L781*VLOOKUP($P781,매칭테이블!$G:$J,3,0)</f>
        <v>121639.917</v>
      </c>
      <c r="N781" s="19">
        <f>VLOOKUP($P781,매칭테이블!$G:$J,4,0)*H781</f>
        <v>9531</v>
      </c>
      <c r="O781" s="20">
        <f t="shared" si="205"/>
        <v>117452.72727272726</v>
      </c>
      <c r="P781" s="19" t="str">
        <f t="shared" si="193"/>
        <v>카페24뉴트리셔스밤(플친전용)HAIR RÉ:COVERY 15 Nutritious Balm [헤어 리커버리 15 뉴트리셔스 밤]제품선택=뉴트리셔스밤 1개 + 헤어팩 트리트먼트 1개 세트201210</v>
      </c>
    </row>
    <row r="782" spans="2:16" x14ac:dyDescent="0.3">
      <c r="B782" s="2">
        <v>44223</v>
      </c>
      <c r="C782" s="19" t="str">
        <f t="shared" si="204"/>
        <v>수</v>
      </c>
      <c r="E782" s="17" t="str">
        <f>INDEX(매칭테이블!C:C,MATCH(RD!G782,매칭테이블!D:D,0))</f>
        <v>뉴트리셔스밤</v>
      </c>
      <c r="F782" t="s">
        <v>91</v>
      </c>
      <c r="G782" t="s">
        <v>124</v>
      </c>
      <c r="H782">
        <v>6</v>
      </c>
      <c r="I782" s="17" t="str">
        <f>VLOOKUP(G782,매칭테이블!D:E,2,0)</f>
        <v>뉴트리셔스밤</v>
      </c>
      <c r="J782">
        <v>201210</v>
      </c>
      <c r="L782" s="19">
        <f>VLOOKUP($P782,매칭테이블!$G:$J,2,0)*H782</f>
        <v>149400</v>
      </c>
      <c r="M782" s="19">
        <f>L782-L782*VLOOKUP($P782,매칭테이블!$G:$J,3,0)</f>
        <v>140660.1</v>
      </c>
      <c r="N782" s="19">
        <f>VLOOKUP($P782,매칭테이블!$G:$J,4,0)*H782</f>
        <v>9480</v>
      </c>
      <c r="O782" s="20">
        <f t="shared" si="205"/>
        <v>135818.18181818179</v>
      </c>
      <c r="P782" s="19" t="str">
        <f t="shared" si="193"/>
        <v>카페24뉴트리셔스밤라베나 리커버리 15 뉴트리셔스 밤 [HAIR RÉ:COVERY 15 Nutritious Balm]제품선택=헤어 리커버리 15 뉴트리셔스 밤201210</v>
      </c>
    </row>
    <row r="783" spans="2:16" x14ac:dyDescent="0.3">
      <c r="B783" s="2">
        <v>44223</v>
      </c>
      <c r="C783" s="19" t="str">
        <f t="shared" si="204"/>
        <v>수</v>
      </c>
      <c r="E783" s="17" t="str">
        <f>INDEX(매칭테이블!C:C,MATCH(RD!G783,매칭테이블!D:D,0))</f>
        <v>샴푸</v>
      </c>
      <c r="F783" t="s">
        <v>91</v>
      </c>
      <c r="G783" t="s">
        <v>127</v>
      </c>
      <c r="H783">
        <v>139</v>
      </c>
      <c r="I783" s="17" t="str">
        <f>VLOOKUP(G783,매칭테이블!D:E,2,0)</f>
        <v>리바이탈 샴푸</v>
      </c>
      <c r="J783">
        <v>201210</v>
      </c>
      <c r="L783" s="19">
        <f>VLOOKUP($P783,매칭테이블!$G:$J,2,0)*H783</f>
        <v>3739100</v>
      </c>
      <c r="M783" s="19">
        <f>L783-L783*VLOOKUP($P783,매칭테이블!$G:$J,3,0)</f>
        <v>3520362.65</v>
      </c>
      <c r="N783" s="19">
        <f>VLOOKUP($P783,매칭테이블!$G:$J,4,0)*H783</f>
        <v>419780</v>
      </c>
      <c r="O783" s="20">
        <f t="shared" si="205"/>
        <v>3399181.8181818179</v>
      </c>
      <c r="P783" s="19" t="str">
        <f t="shared" si="193"/>
        <v>카페24샴푸라베나 리커버리 15 리바이탈 샴푸 [HAIR RÉ:COVERY 15 Revital Shampoo]제품선택=헤어 리커버리 15 리바이탈 샴푸 - 500ml201210</v>
      </c>
    </row>
    <row r="784" spans="2:16" x14ac:dyDescent="0.3">
      <c r="B784" s="2">
        <v>44223</v>
      </c>
      <c r="C784" s="19" t="str">
        <f t="shared" si="204"/>
        <v>수</v>
      </c>
      <c r="E784" s="17" t="str">
        <f>INDEX(매칭테이블!C:C,MATCH(RD!G784,매칭테이블!D:D,0))</f>
        <v>샴푸</v>
      </c>
      <c r="F784" t="s">
        <v>91</v>
      </c>
      <c r="G784" t="s">
        <v>128</v>
      </c>
      <c r="H784">
        <v>45</v>
      </c>
      <c r="I784" s="17" t="str">
        <f>VLOOKUP(G784,매칭테이블!D:E,2,0)</f>
        <v>리바이탈 샴푸 2set</v>
      </c>
      <c r="J784">
        <v>201210</v>
      </c>
      <c r="L784" s="19">
        <f>VLOOKUP($P784,매칭테이블!$G:$J,2,0)*H784</f>
        <v>2299950</v>
      </c>
      <c r="M784" s="19">
        <f>L784-L784*VLOOKUP($P784,매칭테이블!$G:$J,3,0)</f>
        <v>2165402.9249999998</v>
      </c>
      <c r="N784" s="19">
        <f>VLOOKUP($P784,매칭테이블!$G:$J,4,0)*H784</f>
        <v>271800</v>
      </c>
      <c r="O784" s="20">
        <f t="shared" si="205"/>
        <v>2090863.6363636362</v>
      </c>
      <c r="P784" s="19" t="str">
        <f t="shared" si="193"/>
        <v>카페24샴푸라베나 리커버리 15 리바이탈 샴푸 [HAIR RÉ:COVERY 15 Revital Shampoo]제품선택=리바이탈 샴푸 2개 세트 5%추가할인201210</v>
      </c>
    </row>
    <row r="785" spans="2:16" x14ac:dyDescent="0.3">
      <c r="B785" s="2">
        <v>44223</v>
      </c>
      <c r="C785" s="19" t="str">
        <f t="shared" si="204"/>
        <v>수</v>
      </c>
      <c r="E785" s="17" t="str">
        <f>INDEX(매칭테이블!C:C,MATCH(RD!G785,매칭테이블!D:D,0))</f>
        <v>샴푸</v>
      </c>
      <c r="F785" t="s">
        <v>91</v>
      </c>
      <c r="G785" t="s">
        <v>129</v>
      </c>
      <c r="H785">
        <v>15</v>
      </c>
      <c r="I785" s="17" t="str">
        <f>VLOOKUP(G785,매칭테이블!D:E,2,0)</f>
        <v>리바이탈 샴푸 3set</v>
      </c>
      <c r="J785">
        <v>201210</v>
      </c>
      <c r="L785" s="19">
        <f>VLOOKUP($P785,매칭테이블!$G:$J,2,0)*H785</f>
        <v>1089450</v>
      </c>
      <c r="M785" s="19">
        <f>L785-L785*VLOOKUP($P785,매칭테이블!$G:$J,3,0)</f>
        <v>1025717.175</v>
      </c>
      <c r="N785" s="19">
        <f>VLOOKUP($P785,매칭테이블!$G:$J,4,0)*H785</f>
        <v>135900</v>
      </c>
      <c r="O785" s="20">
        <f t="shared" si="205"/>
        <v>990409.09090909082</v>
      </c>
      <c r="P785" s="19" t="str">
        <f t="shared" si="193"/>
        <v>카페24샴푸라베나 리커버리 15 리바이탈 샴푸 [HAIR RÉ:COVERY 15 Revital Shampoo]제품선택=리바이탈 샴푸 3개 세트 10% 추가할인201210</v>
      </c>
    </row>
    <row r="786" spans="2:16" x14ac:dyDescent="0.3">
      <c r="B786" s="2">
        <v>44223</v>
      </c>
      <c r="C786" s="19" t="str">
        <f t="shared" si="204"/>
        <v>수</v>
      </c>
      <c r="E786" s="17" t="str">
        <f>INDEX(매칭테이블!C:C,MATCH(RD!G786,매칭테이블!D:D,0))</f>
        <v>트리트먼트</v>
      </c>
      <c r="F786" t="s">
        <v>91</v>
      </c>
      <c r="G786" t="s">
        <v>130</v>
      </c>
      <c r="H786">
        <v>5</v>
      </c>
      <c r="I786" s="17" t="str">
        <f>VLOOKUP(G786,매칭테이블!D:E,2,0)</f>
        <v>트리트먼트</v>
      </c>
      <c r="J786">
        <v>201210</v>
      </c>
      <c r="L786" s="19">
        <f>VLOOKUP($P786,매칭테이블!$G:$J,2,0)*H786</f>
        <v>130000</v>
      </c>
      <c r="M786" s="19">
        <f>L786-L786*VLOOKUP($P786,매칭테이블!$G:$J,3,0)</f>
        <v>122395</v>
      </c>
      <c r="N786" s="19">
        <f>VLOOKUP($P786,매칭테이블!$G:$J,4,0)*H786</f>
        <v>7985</v>
      </c>
      <c r="O786" s="20">
        <f t="shared" si="205"/>
        <v>118181.81818181818</v>
      </c>
      <c r="P786" s="19" t="str">
        <f t="shared" si="193"/>
        <v>카페24트리트먼트라베나 리커버리 15 헤어팩 트리트먼트 [HAIR RÉ:COVERY 15 Hairpack Treatment]제품선택=헤어 리커버리 15 헤어팩 트리트먼트201210</v>
      </c>
    </row>
    <row r="787" spans="2:16" x14ac:dyDescent="0.3">
      <c r="B787" s="2">
        <v>44223</v>
      </c>
      <c r="C787" s="19" t="str">
        <f t="shared" si="204"/>
        <v>수</v>
      </c>
      <c r="E787" s="17" t="str">
        <f>INDEX(매칭테이블!C:C,MATCH(RD!G787,매칭테이블!D:D,0))</f>
        <v>트리트먼트</v>
      </c>
      <c r="F787" t="s">
        <v>91</v>
      </c>
      <c r="G787" t="s">
        <v>133</v>
      </c>
      <c r="H787">
        <v>1</v>
      </c>
      <c r="I787" s="17" t="str">
        <f>VLOOKUP(G787,매칭테이블!D:E,2,0)</f>
        <v>트리트먼트+뉴트리셔스밤</v>
      </c>
      <c r="J787">
        <v>201210</v>
      </c>
      <c r="L787" s="19">
        <f>VLOOKUP($P787,매칭테이블!$G:$J,2,0)*H787</f>
        <v>48355</v>
      </c>
      <c r="M787" s="19">
        <f>L787-L787*VLOOKUP($P787,매칭테이블!$G:$J,3,0)</f>
        <v>45526.232499999998</v>
      </c>
      <c r="N787" s="19">
        <f>VLOOKUP($P787,매칭테이블!$G:$J,4,0)*H787</f>
        <v>3177</v>
      </c>
      <c r="O787" s="20">
        <f t="shared" si="205"/>
        <v>43959.090909090904</v>
      </c>
      <c r="P787" s="19" t="str">
        <f t="shared" si="193"/>
        <v>카페24트리트먼트라베나 리커버리 15 헤어팩 트리트먼트 [HAIR RÉ:COVERY 15 Hairpack Treatment]제품선택=헤어팩 트리트먼트 1개 + 뉴트리셔스밤 1개 세트 5% 추가할인201210</v>
      </c>
    </row>
    <row r="788" spans="2:16" x14ac:dyDescent="0.3">
      <c r="B788" s="2">
        <v>44223</v>
      </c>
      <c r="C788" s="19" t="str">
        <f t="shared" si="204"/>
        <v>수</v>
      </c>
      <c r="E788" s="17" t="str">
        <f>INDEX(매칭테이블!C:C,MATCH(RD!G788,매칭테이블!D:D,0))</f>
        <v>샴푸</v>
      </c>
      <c r="F788" t="s">
        <v>91</v>
      </c>
      <c r="G788" t="s">
        <v>123</v>
      </c>
      <c r="H788">
        <v>4</v>
      </c>
      <c r="I788" s="17" t="str">
        <f>VLOOKUP(G788,매칭테이블!D:E,2,0)</f>
        <v>리바이탈 샴푸</v>
      </c>
      <c r="J788">
        <v>201210</v>
      </c>
      <c r="L788" s="19">
        <f>VLOOKUP($P788,매칭테이블!$G:$J,2,0)*H788</f>
        <v>107600</v>
      </c>
      <c r="M788" s="19">
        <f>L788-L788*VLOOKUP($P788,매칭테이블!$G:$J,3,0)</f>
        <v>101305.4</v>
      </c>
      <c r="N788" s="19">
        <f>VLOOKUP($P788,매칭테이블!$G:$J,4,0)*H788</f>
        <v>12080</v>
      </c>
      <c r="O788" s="20">
        <f t="shared" si="205"/>
        <v>97818.181818181809</v>
      </c>
      <c r="P788" s="19" t="str">
        <f t="shared" si="193"/>
        <v>카페24샴푸헤어 리커버리 15 리바이탈 샴푸201210</v>
      </c>
    </row>
    <row r="789" spans="2:16" x14ac:dyDescent="0.3">
      <c r="B789" s="2">
        <v>44224</v>
      </c>
      <c r="C789" s="19" t="str">
        <f t="shared" ref="C789" si="206">TEXT(B789,"aaa")</f>
        <v>목</v>
      </c>
      <c r="E789" s="17" t="str">
        <f>INDEX(매칭테이블!C:C,MATCH(RD!G789,매칭테이블!D:D,0))</f>
        <v>트리트먼트</v>
      </c>
      <c r="F789" t="s">
        <v>91</v>
      </c>
      <c r="G789" t="s">
        <v>98</v>
      </c>
      <c r="H789">
        <v>3</v>
      </c>
      <c r="I789" s="17" t="str">
        <f>VLOOKUP(G789,매칭테이블!D:E,2,0)</f>
        <v>트리트먼트</v>
      </c>
      <c r="J789">
        <v>201210</v>
      </c>
      <c r="L789" s="19">
        <f>VLOOKUP($P789,매칭테이블!$G:$J,2,0)*H789</f>
        <v>66330</v>
      </c>
      <c r="M789" s="19">
        <f>L789-L789*VLOOKUP($P789,매칭테이블!$G:$J,3,0)</f>
        <v>62449.695</v>
      </c>
      <c r="N789" s="19">
        <f>VLOOKUP($P789,매칭테이블!$G:$J,4,0)*H789</f>
        <v>4791</v>
      </c>
      <c r="O789" s="20">
        <f t="shared" ref="O789" si="207">L789/1.1</f>
        <v>60299.999999999993</v>
      </c>
      <c r="P789" s="19" t="str">
        <f t="shared" si="193"/>
        <v>카페24트리트먼트(플친전용)HAIR RÉ:COVERY 15 Hairpack Treatment [헤어 리커버리 15 헤어팩 트리트먼트]제품선택=헤어 리커버리 15 헤어팩 트리트먼트201210</v>
      </c>
    </row>
    <row r="790" spans="2:16" x14ac:dyDescent="0.3">
      <c r="B790" s="2">
        <v>44224</v>
      </c>
      <c r="C790" s="19" t="str">
        <f t="shared" ref="C790:C800" si="208">TEXT(B790,"aaa")</f>
        <v>목</v>
      </c>
      <c r="E790" s="17" t="str">
        <f>INDEX(매칭테이블!C:C,MATCH(RD!G790,매칭테이블!D:D,0))</f>
        <v>뉴트리셔스밤</v>
      </c>
      <c r="F790" t="s">
        <v>91</v>
      </c>
      <c r="G790" t="s">
        <v>102</v>
      </c>
      <c r="H790">
        <v>2</v>
      </c>
      <c r="I790" s="17" t="str">
        <f>VLOOKUP(G790,매칭테이블!D:E,2,0)</f>
        <v>뉴트리셔스밤</v>
      </c>
      <c r="J790">
        <v>201210</v>
      </c>
      <c r="L790" s="19">
        <f>VLOOKUP($P790,매칭테이블!$G:$J,2,0)*H790</f>
        <v>41912</v>
      </c>
      <c r="M790" s="19">
        <f>L790-L790*VLOOKUP($P790,매칭테이블!$G:$J,3,0)</f>
        <v>39460.148000000001</v>
      </c>
      <c r="N790" s="19">
        <f>VLOOKUP($P790,매칭테이블!$G:$J,4,0)*H790</f>
        <v>3160</v>
      </c>
      <c r="O790" s="20">
        <f t="shared" ref="O790:O800" si="209">L790/1.1</f>
        <v>38101.818181818177</v>
      </c>
      <c r="P790" s="19" t="str">
        <f t="shared" si="193"/>
        <v>카페24뉴트리셔스밤(플친전용)HAIR RÉ:COVERY 15 Nutritious Balm [헤어 리커버리 15 뉴트리셔스 밤]제품선택=헤어 리커버리 15 뉴트리셔스 밤201210</v>
      </c>
    </row>
    <row r="791" spans="2:16" x14ac:dyDescent="0.3">
      <c r="B791" s="2">
        <v>44224</v>
      </c>
      <c r="C791" s="19" t="str">
        <f t="shared" si="208"/>
        <v>목</v>
      </c>
      <c r="E791" s="17" t="str">
        <f>INDEX(매칭테이블!C:C,MATCH(RD!G791,매칭테이블!D:D,0))</f>
        <v>뉴트리셔스밤</v>
      </c>
      <c r="F791" t="s">
        <v>91</v>
      </c>
      <c r="G791" t="s">
        <v>143</v>
      </c>
      <c r="H791">
        <v>1</v>
      </c>
      <c r="I791" s="17" t="str">
        <f>VLOOKUP(G791,매칭테이블!D:E,2,0)</f>
        <v>뉴트리셔스밤 2set</v>
      </c>
      <c r="J791">
        <v>201210</v>
      </c>
      <c r="L791" s="19">
        <f>VLOOKUP($P791,매칭테이블!$G:$J,2,0)*H791</f>
        <v>41912</v>
      </c>
      <c r="M791" s="19">
        <f>L791-L791*VLOOKUP($P791,매칭테이블!$G:$J,3,0)</f>
        <v>39460.148000000001</v>
      </c>
      <c r="N791" s="19">
        <f>VLOOKUP($P791,매칭테이블!$G:$J,4,0)*H791</f>
        <v>3160</v>
      </c>
      <c r="O791" s="20">
        <f t="shared" si="209"/>
        <v>38101.818181818177</v>
      </c>
      <c r="P791" s="19" t="str">
        <f t="shared" si="193"/>
        <v>카페24뉴트리셔스밤(플친전용)HAIR RÉ:COVERY 15 Nutritious Balm [헤어 리커버리 15 뉴트리셔스 밤]제품선택=뉴트리셔스 밤 2개 세트201210</v>
      </c>
    </row>
    <row r="792" spans="2:16" x14ac:dyDescent="0.3">
      <c r="B792" s="2">
        <v>44224</v>
      </c>
      <c r="C792" s="19" t="str">
        <f t="shared" si="208"/>
        <v>목</v>
      </c>
      <c r="E792" s="17" t="str">
        <f>INDEX(매칭테이블!C:C,MATCH(RD!G792,매칭테이블!D:D,0))</f>
        <v>뉴트리셔스밤</v>
      </c>
      <c r="F792" t="s">
        <v>91</v>
      </c>
      <c r="G792" t="s">
        <v>124</v>
      </c>
      <c r="H792">
        <v>1</v>
      </c>
      <c r="I792" s="17" t="str">
        <f>VLOOKUP(G792,매칭테이블!D:E,2,0)</f>
        <v>뉴트리셔스밤</v>
      </c>
      <c r="J792">
        <v>201210</v>
      </c>
      <c r="L792" s="19">
        <f>VLOOKUP($P792,매칭테이블!$G:$J,2,0)*H792</f>
        <v>24900</v>
      </c>
      <c r="M792" s="19">
        <f>L792-L792*VLOOKUP($P792,매칭테이블!$G:$J,3,0)</f>
        <v>23443.35</v>
      </c>
      <c r="N792" s="19">
        <f>VLOOKUP($P792,매칭테이블!$G:$J,4,0)*H792</f>
        <v>1580</v>
      </c>
      <c r="O792" s="20">
        <f t="shared" si="209"/>
        <v>22636.363636363636</v>
      </c>
      <c r="P792" s="19" t="str">
        <f t="shared" si="193"/>
        <v>카페24뉴트리셔스밤라베나 리커버리 15 뉴트리셔스 밤 [HAIR RÉ:COVERY 15 Nutritious Balm]제품선택=헤어 리커버리 15 뉴트리셔스 밤201210</v>
      </c>
    </row>
    <row r="793" spans="2:16" x14ac:dyDescent="0.3">
      <c r="B793" s="2">
        <v>44224</v>
      </c>
      <c r="C793" s="19" t="str">
        <f t="shared" si="208"/>
        <v>목</v>
      </c>
      <c r="E793" s="17" t="str">
        <f>INDEX(매칭테이블!C:C,MATCH(RD!G793,매칭테이블!D:D,0))</f>
        <v>샴푸</v>
      </c>
      <c r="F793" t="s">
        <v>91</v>
      </c>
      <c r="G793" t="s">
        <v>127</v>
      </c>
      <c r="H793">
        <v>146</v>
      </c>
      <c r="I793" s="17" t="str">
        <f>VLOOKUP(G793,매칭테이블!D:E,2,0)</f>
        <v>리바이탈 샴푸</v>
      </c>
      <c r="J793">
        <v>201210</v>
      </c>
      <c r="L793" s="19">
        <f>VLOOKUP($P793,매칭테이블!$G:$J,2,0)*H793</f>
        <v>3927400</v>
      </c>
      <c r="M793" s="19">
        <f>L793-L793*VLOOKUP($P793,매칭테이블!$G:$J,3,0)</f>
        <v>3697647.1</v>
      </c>
      <c r="N793" s="19">
        <f>VLOOKUP($P793,매칭테이블!$G:$J,4,0)*H793</f>
        <v>440920</v>
      </c>
      <c r="O793" s="20">
        <f t="shared" si="209"/>
        <v>3570363.6363636362</v>
      </c>
      <c r="P793" s="19" t="str">
        <f t="shared" si="193"/>
        <v>카페24샴푸라베나 리커버리 15 리바이탈 샴푸 [HAIR RÉ:COVERY 15 Revital Shampoo]제품선택=헤어 리커버리 15 리바이탈 샴푸 - 500ml201210</v>
      </c>
    </row>
    <row r="794" spans="2:16" x14ac:dyDescent="0.3">
      <c r="B794" s="2">
        <v>44224</v>
      </c>
      <c r="C794" s="19" t="str">
        <f t="shared" si="208"/>
        <v>목</v>
      </c>
      <c r="E794" s="17" t="str">
        <f>INDEX(매칭테이블!C:C,MATCH(RD!G794,매칭테이블!D:D,0))</f>
        <v>샴푸</v>
      </c>
      <c r="F794" t="s">
        <v>91</v>
      </c>
      <c r="G794" t="s">
        <v>128</v>
      </c>
      <c r="H794">
        <v>43</v>
      </c>
      <c r="I794" s="17" t="str">
        <f>VLOOKUP(G794,매칭테이블!D:E,2,0)</f>
        <v>리바이탈 샴푸 2set</v>
      </c>
      <c r="J794">
        <v>201210</v>
      </c>
      <c r="L794" s="19">
        <f>VLOOKUP($P794,매칭테이블!$G:$J,2,0)*H794</f>
        <v>2197730</v>
      </c>
      <c r="M794" s="19">
        <f>L794-L794*VLOOKUP($P794,매칭테이블!$G:$J,3,0)</f>
        <v>2069162.7949999999</v>
      </c>
      <c r="N794" s="19">
        <f>VLOOKUP($P794,매칭테이블!$G:$J,4,0)*H794</f>
        <v>259720</v>
      </c>
      <c r="O794" s="20">
        <f t="shared" si="209"/>
        <v>1997936.3636363635</v>
      </c>
      <c r="P794" s="19" t="str">
        <f t="shared" si="193"/>
        <v>카페24샴푸라베나 리커버리 15 리바이탈 샴푸 [HAIR RÉ:COVERY 15 Revital Shampoo]제품선택=리바이탈 샴푸 2개 세트 5%추가할인201210</v>
      </c>
    </row>
    <row r="795" spans="2:16" x14ac:dyDescent="0.3">
      <c r="B795" s="2">
        <v>44224</v>
      </c>
      <c r="C795" s="19" t="str">
        <f t="shared" si="208"/>
        <v>목</v>
      </c>
      <c r="E795" s="17" t="str">
        <f>INDEX(매칭테이블!C:C,MATCH(RD!G795,매칭테이블!D:D,0))</f>
        <v>샴푸</v>
      </c>
      <c r="F795" t="s">
        <v>91</v>
      </c>
      <c r="G795" t="s">
        <v>129</v>
      </c>
      <c r="H795">
        <v>24</v>
      </c>
      <c r="I795" s="17" t="str">
        <f>VLOOKUP(G795,매칭테이블!D:E,2,0)</f>
        <v>리바이탈 샴푸 3set</v>
      </c>
      <c r="J795">
        <v>201210</v>
      </c>
      <c r="L795" s="19">
        <f>VLOOKUP($P795,매칭테이블!$G:$J,2,0)*H795</f>
        <v>1743120</v>
      </c>
      <c r="M795" s="19">
        <f>L795-L795*VLOOKUP($P795,매칭테이블!$G:$J,3,0)</f>
        <v>1641147.48</v>
      </c>
      <c r="N795" s="19">
        <f>VLOOKUP($P795,매칭테이블!$G:$J,4,0)*H795</f>
        <v>217440</v>
      </c>
      <c r="O795" s="20">
        <f t="shared" si="209"/>
        <v>1584654.5454545454</v>
      </c>
      <c r="P795" s="19" t="str">
        <f t="shared" si="193"/>
        <v>카페24샴푸라베나 리커버리 15 리바이탈 샴푸 [HAIR RÉ:COVERY 15 Revital Shampoo]제품선택=리바이탈 샴푸 3개 세트 10% 추가할인201210</v>
      </c>
    </row>
    <row r="796" spans="2:16" x14ac:dyDescent="0.3">
      <c r="B796" s="2">
        <v>44224</v>
      </c>
      <c r="C796" s="19" t="str">
        <f t="shared" si="208"/>
        <v>목</v>
      </c>
      <c r="E796" s="17" t="str">
        <f>INDEX(매칭테이블!C:C,MATCH(RD!G796,매칭테이블!D:D,0))</f>
        <v>트리트먼트</v>
      </c>
      <c r="F796" t="s">
        <v>91</v>
      </c>
      <c r="G796" t="s">
        <v>130</v>
      </c>
      <c r="H796">
        <v>3</v>
      </c>
      <c r="I796" s="17" t="str">
        <f>VLOOKUP(G796,매칭테이블!D:E,2,0)</f>
        <v>트리트먼트</v>
      </c>
      <c r="J796">
        <v>201210</v>
      </c>
      <c r="L796" s="19">
        <f>VLOOKUP($P796,매칭테이블!$G:$J,2,0)*H796</f>
        <v>78000</v>
      </c>
      <c r="M796" s="19">
        <f>L796-L796*VLOOKUP($P796,매칭테이블!$G:$J,3,0)</f>
        <v>73437</v>
      </c>
      <c r="N796" s="19">
        <f>VLOOKUP($P796,매칭테이블!$G:$J,4,0)*H796</f>
        <v>4791</v>
      </c>
      <c r="O796" s="20">
        <f t="shared" si="209"/>
        <v>70909.090909090897</v>
      </c>
      <c r="P796" s="19" t="str">
        <f t="shared" si="193"/>
        <v>카페24트리트먼트라베나 리커버리 15 헤어팩 트리트먼트 [HAIR RÉ:COVERY 15 Hairpack Treatment]제품선택=헤어 리커버리 15 헤어팩 트리트먼트201210</v>
      </c>
    </row>
    <row r="797" spans="2:16" x14ac:dyDescent="0.3">
      <c r="B797" s="2">
        <v>44224</v>
      </c>
      <c r="C797" s="19" t="str">
        <f t="shared" si="208"/>
        <v>목</v>
      </c>
      <c r="E797" s="17" t="str">
        <f>INDEX(매칭테이블!C:C,MATCH(RD!G797,매칭테이블!D:D,0))</f>
        <v>트리트먼트</v>
      </c>
      <c r="F797" t="s">
        <v>91</v>
      </c>
      <c r="G797" t="s">
        <v>131</v>
      </c>
      <c r="H797">
        <v>2</v>
      </c>
      <c r="I797" s="17" t="str">
        <f>VLOOKUP(G797,매칭테이블!D:E,2,0)</f>
        <v>트리트먼트 2set</v>
      </c>
      <c r="J797">
        <v>201210</v>
      </c>
      <c r="L797" s="19">
        <f>VLOOKUP($P797,매칭테이블!$G:$J,2,0)*H797</f>
        <v>98800</v>
      </c>
      <c r="M797" s="19">
        <f>L797-L797*VLOOKUP($P797,매칭테이블!$G:$J,3,0)</f>
        <v>93020.2</v>
      </c>
      <c r="N797" s="19">
        <f>VLOOKUP($P797,매칭테이블!$G:$J,4,0)*H797</f>
        <v>6388</v>
      </c>
      <c r="O797" s="20">
        <f t="shared" si="209"/>
        <v>89818.181818181809</v>
      </c>
      <c r="P797" s="19" t="str">
        <f t="shared" si="193"/>
        <v>카페24트리트먼트라베나 리커버리 15 헤어팩 트리트먼트 [HAIR RÉ:COVERY 15 Hairpack Treatment]제품선택=헤어팩 트리트먼트 2개 세트 5% 추가할인201210</v>
      </c>
    </row>
    <row r="798" spans="2:16" x14ac:dyDescent="0.3">
      <c r="B798" s="2">
        <v>44224</v>
      </c>
      <c r="C798" s="19" t="str">
        <f t="shared" si="208"/>
        <v>목</v>
      </c>
      <c r="E798" s="17" t="str">
        <f>INDEX(매칭테이블!C:C,MATCH(RD!G798,매칭테이블!D:D,0))</f>
        <v>트리트먼트</v>
      </c>
      <c r="F798" t="s">
        <v>91</v>
      </c>
      <c r="G798" t="s">
        <v>132</v>
      </c>
      <c r="H798">
        <v>2</v>
      </c>
      <c r="I798" s="17" t="str">
        <f>VLOOKUP(G798,매칭테이블!D:E,2,0)</f>
        <v>트리트먼트 3set</v>
      </c>
      <c r="J798">
        <v>201210</v>
      </c>
      <c r="L798" s="19">
        <f>VLOOKUP($P798,매칭테이블!$G:$J,2,0)*H798</f>
        <v>140400</v>
      </c>
      <c r="M798" s="19">
        <f>L798-L798*VLOOKUP($P798,매칭테이블!$G:$J,3,0)</f>
        <v>132186.6</v>
      </c>
      <c r="N798" s="19">
        <f>VLOOKUP($P798,매칭테이블!$G:$J,4,0)*H798</f>
        <v>9582</v>
      </c>
      <c r="O798" s="20">
        <f t="shared" si="209"/>
        <v>127636.36363636363</v>
      </c>
      <c r="P798" s="19" t="str">
        <f t="shared" si="193"/>
        <v>카페24트리트먼트라베나 리커버리 15 헤어팩 트리트먼트 [HAIR RÉ:COVERY 15 Hairpack Treatment]제품선택=헤어팩 트리트먼트 3개 세트 10% 추가할인201210</v>
      </c>
    </row>
    <row r="799" spans="2:16" x14ac:dyDescent="0.3">
      <c r="B799" s="2">
        <v>44224</v>
      </c>
      <c r="C799" s="19" t="str">
        <f t="shared" si="208"/>
        <v>목</v>
      </c>
      <c r="E799" s="17" t="str">
        <f>INDEX(매칭테이블!C:C,MATCH(RD!G799,매칭테이블!D:D,0))</f>
        <v>트리트먼트</v>
      </c>
      <c r="F799" t="s">
        <v>91</v>
      </c>
      <c r="G799" t="s">
        <v>133</v>
      </c>
      <c r="H799">
        <v>1</v>
      </c>
      <c r="I799" s="17" t="str">
        <f>VLOOKUP(G799,매칭테이블!D:E,2,0)</f>
        <v>트리트먼트+뉴트리셔스밤</v>
      </c>
      <c r="J799">
        <v>201210</v>
      </c>
      <c r="L799" s="19">
        <f>VLOOKUP($P799,매칭테이블!$G:$J,2,0)*H799</f>
        <v>48355</v>
      </c>
      <c r="M799" s="19">
        <f>L799-L799*VLOOKUP($P799,매칭테이블!$G:$J,3,0)</f>
        <v>45526.232499999998</v>
      </c>
      <c r="N799" s="19">
        <f>VLOOKUP($P799,매칭테이블!$G:$J,4,0)*H799</f>
        <v>3177</v>
      </c>
      <c r="O799" s="20">
        <f t="shared" si="209"/>
        <v>43959.090909090904</v>
      </c>
      <c r="P799" s="19" t="str">
        <f t="shared" si="193"/>
        <v>카페24트리트먼트라베나 리커버리 15 헤어팩 트리트먼트 [HAIR RÉ:COVERY 15 Hairpack Treatment]제품선택=헤어팩 트리트먼트 1개 + 뉴트리셔스밤 1개 세트 5% 추가할인201210</v>
      </c>
    </row>
    <row r="800" spans="2:16" x14ac:dyDescent="0.3">
      <c r="B800" s="2">
        <v>44224</v>
      </c>
      <c r="C800" s="19" t="str">
        <f t="shared" si="208"/>
        <v>목</v>
      </c>
      <c r="E800" s="17" t="str">
        <f>INDEX(매칭테이블!C:C,MATCH(RD!G800,매칭테이블!D:D,0))</f>
        <v>샴푸</v>
      </c>
      <c r="F800" t="s">
        <v>91</v>
      </c>
      <c r="G800" t="s">
        <v>123</v>
      </c>
      <c r="H800">
        <v>4</v>
      </c>
      <c r="I800" s="17" t="str">
        <f>VLOOKUP(G800,매칭테이블!D:E,2,0)</f>
        <v>리바이탈 샴푸</v>
      </c>
      <c r="J800">
        <v>201210</v>
      </c>
      <c r="L800" s="19">
        <f>VLOOKUP($P800,매칭테이블!$G:$J,2,0)*H800</f>
        <v>107600</v>
      </c>
      <c r="M800" s="19">
        <f>L800-L800*VLOOKUP($P800,매칭테이블!$G:$J,3,0)</f>
        <v>101305.4</v>
      </c>
      <c r="N800" s="19">
        <f>VLOOKUP($P800,매칭테이블!$G:$J,4,0)*H800</f>
        <v>12080</v>
      </c>
      <c r="O800" s="20">
        <f t="shared" si="209"/>
        <v>97818.181818181809</v>
      </c>
      <c r="P800" s="19" t="str">
        <f t="shared" si="193"/>
        <v>카페24샴푸헤어 리커버리 15 리바이탈 샴푸201210</v>
      </c>
    </row>
    <row r="801" spans="2:16" x14ac:dyDescent="0.3">
      <c r="B801" s="2">
        <v>44225</v>
      </c>
      <c r="C801" s="19" t="str">
        <f t="shared" ref="C801" si="210">TEXT(B801,"aaa")</f>
        <v>금</v>
      </c>
      <c r="E801" s="17" t="str">
        <f>INDEX(매칭테이블!C:C,MATCH(RD!G801,매칭테이블!D:D,0))</f>
        <v>트리트먼트</v>
      </c>
      <c r="F801" t="s">
        <v>91</v>
      </c>
      <c r="G801" t="s">
        <v>98</v>
      </c>
      <c r="H801">
        <v>9</v>
      </c>
      <c r="I801" s="17" t="str">
        <f>VLOOKUP(G801,매칭테이블!D:E,2,0)</f>
        <v>트리트먼트</v>
      </c>
      <c r="J801">
        <v>201210</v>
      </c>
      <c r="L801" s="19">
        <f>VLOOKUP($P801,매칭테이블!$G:$J,2,0)*H801</f>
        <v>198990</v>
      </c>
      <c r="M801" s="19">
        <f>L801-L801*VLOOKUP($P801,매칭테이블!$G:$J,3,0)</f>
        <v>187349.08499999999</v>
      </c>
      <c r="N801" s="19">
        <f>VLOOKUP($P801,매칭테이블!$G:$J,4,0)*H801</f>
        <v>14373</v>
      </c>
      <c r="O801" s="20">
        <f t="shared" ref="O801" si="211">L801/1.1</f>
        <v>180899.99999999997</v>
      </c>
      <c r="P801" s="19" t="str">
        <f t="shared" si="193"/>
        <v>카페24트리트먼트(플친전용)HAIR RÉ:COVERY 15 Hairpack Treatment [헤어 리커버리 15 헤어팩 트리트먼트]제품선택=헤어 리커버리 15 헤어팩 트리트먼트201210</v>
      </c>
    </row>
    <row r="802" spans="2:16" x14ac:dyDescent="0.3">
      <c r="B802" s="2">
        <v>44225</v>
      </c>
      <c r="C802" s="19" t="str">
        <f t="shared" ref="C802:C820" si="212">TEXT(B802,"aaa")</f>
        <v>금</v>
      </c>
      <c r="E802" s="17" t="str">
        <f>INDEX(매칭테이블!C:C,MATCH(RD!G802,매칭테이블!D:D,0))</f>
        <v>트리트먼트</v>
      </c>
      <c r="F802" t="s">
        <v>91</v>
      </c>
      <c r="G802" t="s">
        <v>99</v>
      </c>
      <c r="H802">
        <v>6</v>
      </c>
      <c r="I802" s="17" t="str">
        <f>VLOOKUP(G802,매칭테이블!D:E,2,0)</f>
        <v>트리트먼트 2set</v>
      </c>
      <c r="J802">
        <v>201210</v>
      </c>
      <c r="L802" s="19">
        <f>VLOOKUP($P802,매칭테이블!$G:$J,2,0)*H802</f>
        <v>265320</v>
      </c>
      <c r="M802" s="19">
        <f>L802-L802*VLOOKUP($P802,매칭테이블!$G:$J,3,0)</f>
        <v>249798.78</v>
      </c>
      <c r="N802" s="19">
        <f>VLOOKUP($P802,매칭테이블!$G:$J,4,0)*H802</f>
        <v>19164</v>
      </c>
      <c r="O802" s="20">
        <f t="shared" ref="O802:O820" si="213">L802/1.1</f>
        <v>241199.99999999997</v>
      </c>
      <c r="P802" s="19" t="str">
        <f t="shared" si="193"/>
        <v>카페24트리트먼트(플친전용)HAIR RÉ:COVERY 15 Hairpack Treatment [헤어 리커버리 15 헤어팩 트리트먼트]제품선택=헤어팩 트리트먼트 2개 세트201210</v>
      </c>
    </row>
    <row r="803" spans="2:16" x14ac:dyDescent="0.3">
      <c r="B803" s="2">
        <v>44225</v>
      </c>
      <c r="C803" s="19" t="str">
        <f t="shared" si="212"/>
        <v>금</v>
      </c>
      <c r="E803" s="17" t="str">
        <f>INDEX(매칭테이블!C:C,MATCH(RD!G803,매칭테이블!D:D,0))</f>
        <v>트리트먼트</v>
      </c>
      <c r="F803" t="s">
        <v>91</v>
      </c>
      <c r="G803" t="s">
        <v>100</v>
      </c>
      <c r="H803">
        <v>4</v>
      </c>
      <c r="I803" s="17" t="str">
        <f>VLOOKUP(G803,매칭테이블!D:E,2,0)</f>
        <v>트리트먼트 3set</v>
      </c>
      <c r="J803">
        <v>201210</v>
      </c>
      <c r="L803" s="19">
        <f>VLOOKUP($P803,매칭테이블!$G:$J,2,0)*H803</f>
        <v>265320</v>
      </c>
      <c r="M803" s="19">
        <f>L803-L803*VLOOKUP($P803,매칭테이블!$G:$J,3,0)</f>
        <v>249798.78</v>
      </c>
      <c r="N803" s="19">
        <f>VLOOKUP($P803,매칭테이블!$G:$J,4,0)*H803</f>
        <v>19164</v>
      </c>
      <c r="O803" s="20">
        <f t="shared" si="213"/>
        <v>241199.99999999997</v>
      </c>
      <c r="P803" s="19" t="str">
        <f t="shared" si="193"/>
        <v>카페24트리트먼트(플친전용)HAIR RÉ:COVERY 15 Hairpack Treatment [헤어 리커버리 15 헤어팩 트리트먼트]제품선택=헤어팩 트리트먼트 3개 세트201210</v>
      </c>
    </row>
    <row r="804" spans="2:16" x14ac:dyDescent="0.3">
      <c r="B804" s="2">
        <v>44225</v>
      </c>
      <c r="C804" s="19" t="str">
        <f t="shared" si="212"/>
        <v>금</v>
      </c>
      <c r="E804" s="17" t="str">
        <f>INDEX(매칭테이블!C:C,MATCH(RD!G804,매칭테이블!D:D,0))</f>
        <v>트리트먼트</v>
      </c>
      <c r="F804" t="s">
        <v>91</v>
      </c>
      <c r="G804" t="s">
        <v>101</v>
      </c>
      <c r="H804">
        <v>2</v>
      </c>
      <c r="I804" s="17" t="str">
        <f>VLOOKUP(G804,매칭테이블!D:E,2,0)</f>
        <v>트리트먼트+뉴트리셔스밤</v>
      </c>
      <c r="J804">
        <v>201210</v>
      </c>
      <c r="L804" s="19">
        <f>VLOOKUP($P804,매칭테이블!$G:$J,2,0)*H804</f>
        <v>86132</v>
      </c>
      <c r="M804" s="19">
        <f>L804-L804*VLOOKUP($P804,매칭테이블!$G:$J,3,0)</f>
        <v>81093.278000000006</v>
      </c>
      <c r="N804" s="19">
        <f>VLOOKUP($P804,매칭테이블!$G:$J,4,0)*H804</f>
        <v>6354</v>
      </c>
      <c r="O804" s="20">
        <f t="shared" si="213"/>
        <v>78301.818181818177</v>
      </c>
      <c r="P804" s="19" t="str">
        <f t="shared" si="193"/>
        <v>카페24트리트먼트(플친전용)HAIR RÉ:COVERY 15 Hairpack Treatment [헤어 리커버리 15 헤어팩 트리트먼트]제품선택=헤어팩 트리트먼트 1개 + 뉴트리셔스 밤 1개 세트201210</v>
      </c>
    </row>
    <row r="805" spans="2:16" x14ac:dyDescent="0.3">
      <c r="B805" s="2">
        <v>44225</v>
      </c>
      <c r="C805" s="19" t="str">
        <f t="shared" si="212"/>
        <v>금</v>
      </c>
      <c r="E805" s="17" t="str">
        <f>INDEX(매칭테이블!C:C,MATCH(RD!G805,매칭테이블!D:D,0))</f>
        <v>뉴트리셔스밤</v>
      </c>
      <c r="F805" t="s">
        <v>91</v>
      </c>
      <c r="G805" t="s">
        <v>102</v>
      </c>
      <c r="H805">
        <v>7</v>
      </c>
      <c r="I805" s="17" t="str">
        <f>VLOOKUP(G805,매칭테이블!D:E,2,0)</f>
        <v>뉴트리셔스밤</v>
      </c>
      <c r="J805">
        <v>201210</v>
      </c>
      <c r="L805" s="19">
        <f>VLOOKUP($P805,매칭테이블!$G:$J,2,0)*H805</f>
        <v>146692</v>
      </c>
      <c r="M805" s="19">
        <f>L805-L805*VLOOKUP($P805,매칭테이블!$G:$J,3,0)</f>
        <v>138110.51800000001</v>
      </c>
      <c r="N805" s="19">
        <f>VLOOKUP($P805,매칭테이블!$G:$J,4,0)*H805</f>
        <v>11060</v>
      </c>
      <c r="O805" s="20">
        <f t="shared" si="213"/>
        <v>133356.36363636362</v>
      </c>
      <c r="P805" s="19" t="str">
        <f t="shared" si="193"/>
        <v>카페24뉴트리셔스밤(플친전용)HAIR RÉ:COVERY 15 Nutritious Balm [헤어 리커버리 15 뉴트리셔스 밤]제품선택=헤어 리커버리 15 뉴트리셔스 밤201210</v>
      </c>
    </row>
    <row r="806" spans="2:16" x14ac:dyDescent="0.3">
      <c r="B806" s="2">
        <v>44225</v>
      </c>
      <c r="C806" s="19" t="str">
        <f t="shared" si="212"/>
        <v>금</v>
      </c>
      <c r="E806" s="17" t="str">
        <f>INDEX(매칭테이블!C:C,MATCH(RD!G806,매칭테이블!D:D,0))</f>
        <v>뉴트리셔스밤</v>
      </c>
      <c r="F806" t="s">
        <v>91</v>
      </c>
      <c r="G806" t="s">
        <v>143</v>
      </c>
      <c r="H806">
        <v>1</v>
      </c>
      <c r="I806" s="17" t="str">
        <f>VLOOKUP(G806,매칭테이블!D:E,2,0)</f>
        <v>뉴트리셔스밤 2set</v>
      </c>
      <c r="J806">
        <v>201210</v>
      </c>
      <c r="L806" s="19">
        <f>VLOOKUP($P806,매칭테이블!$G:$J,2,0)*H806</f>
        <v>41912</v>
      </c>
      <c r="M806" s="19">
        <f>L806-L806*VLOOKUP($P806,매칭테이블!$G:$J,3,0)</f>
        <v>39460.148000000001</v>
      </c>
      <c r="N806" s="19">
        <f>VLOOKUP($P806,매칭테이블!$G:$J,4,0)*H806</f>
        <v>3160</v>
      </c>
      <c r="O806" s="20">
        <f t="shared" si="213"/>
        <v>38101.818181818177</v>
      </c>
      <c r="P806" s="19" t="str">
        <f t="shared" si="193"/>
        <v>카페24뉴트리셔스밤(플친전용)HAIR RÉ:COVERY 15 Nutritious Balm [헤어 리커버리 15 뉴트리셔스 밤]제품선택=뉴트리셔스 밤 2개 세트201210</v>
      </c>
    </row>
    <row r="807" spans="2:16" x14ac:dyDescent="0.3">
      <c r="B807" s="2">
        <v>44225</v>
      </c>
      <c r="C807" s="19" t="str">
        <f t="shared" si="212"/>
        <v>금</v>
      </c>
      <c r="E807" s="17" t="str">
        <f>INDEX(매칭테이블!C:C,MATCH(RD!G807,매칭테이블!D:D,0))</f>
        <v>뉴트리셔스밤</v>
      </c>
      <c r="F807" t="s">
        <v>91</v>
      </c>
      <c r="G807" t="s">
        <v>103</v>
      </c>
      <c r="H807">
        <v>1</v>
      </c>
      <c r="I807" s="17" t="str">
        <f>VLOOKUP(G807,매칭테이블!D:E,2,0)</f>
        <v>뉴트리셔스밤 3set</v>
      </c>
      <c r="J807">
        <v>201210</v>
      </c>
      <c r="L807" s="19">
        <f>VLOOKUP($P807,매칭테이블!$G:$J,2,0)*H807</f>
        <v>62868</v>
      </c>
      <c r="M807" s="19">
        <f>L807-L807*VLOOKUP($P807,매칭테이블!$G:$J,3,0)</f>
        <v>59190.222000000002</v>
      </c>
      <c r="N807" s="19">
        <f>VLOOKUP($P807,매칭테이블!$G:$J,4,0)*H807</f>
        <v>4740</v>
      </c>
      <c r="O807" s="20">
        <f t="shared" si="213"/>
        <v>57152.727272727265</v>
      </c>
      <c r="P807" s="19" t="str">
        <f t="shared" si="193"/>
        <v>카페24뉴트리셔스밤(플친전용)HAIR RÉ:COVERY 15 Nutritious Balm [헤어 리커버리 15 뉴트리셔스 밤]제품선택=뉴트리셔스 밤 3개 세트201210</v>
      </c>
    </row>
    <row r="808" spans="2:16" x14ac:dyDescent="0.3">
      <c r="B808" s="2">
        <v>44225</v>
      </c>
      <c r="C808" s="19" t="str">
        <f t="shared" si="212"/>
        <v>금</v>
      </c>
      <c r="E808" s="17" t="str">
        <f>INDEX(매칭테이블!C:C,MATCH(RD!G808,매칭테이블!D:D,0))</f>
        <v>뉴트리셔스밤</v>
      </c>
      <c r="F808" t="s">
        <v>91</v>
      </c>
      <c r="G808" t="s">
        <v>111</v>
      </c>
      <c r="H808">
        <v>2</v>
      </c>
      <c r="I808" s="17" t="str">
        <f>VLOOKUP(G808,매칭테이블!D:E,2,0)</f>
        <v>트리트먼트+뉴트리셔스밤</v>
      </c>
      <c r="J808">
        <v>201210</v>
      </c>
      <c r="L808" s="19">
        <f>VLOOKUP($P808,매칭테이블!$G:$J,2,0)*H808</f>
        <v>86132</v>
      </c>
      <c r="M808" s="19">
        <f>L808-L808*VLOOKUP($P808,매칭테이블!$G:$J,3,0)</f>
        <v>81093.278000000006</v>
      </c>
      <c r="N808" s="19">
        <f>VLOOKUP($P808,매칭테이블!$G:$J,4,0)*H808</f>
        <v>6354</v>
      </c>
      <c r="O808" s="20">
        <f t="shared" si="213"/>
        <v>78301.818181818177</v>
      </c>
      <c r="P808" s="19" t="str">
        <f t="shared" ref="P808:P875" si="214">F808&amp;E808&amp;G808&amp;J808</f>
        <v>카페24뉴트리셔스밤(플친전용)HAIR RÉ:COVERY 15 Nutritious Balm [헤어 리커버리 15 뉴트리셔스 밤]제품선택=뉴트리셔스밤 1개 + 헤어팩 트리트먼트 1개 세트201210</v>
      </c>
    </row>
    <row r="809" spans="2:16" x14ac:dyDescent="0.3">
      <c r="B809" s="2">
        <v>44225</v>
      </c>
      <c r="C809" s="19" t="str">
        <f t="shared" si="212"/>
        <v>금</v>
      </c>
      <c r="E809" s="17" t="str">
        <f>INDEX(매칭테이블!C:C,MATCH(RD!G809,매칭테이블!D:D,0))</f>
        <v>뉴트리셔스밤</v>
      </c>
      <c r="F809" t="s">
        <v>91</v>
      </c>
      <c r="G809" t="s">
        <v>124</v>
      </c>
      <c r="H809">
        <v>4</v>
      </c>
      <c r="I809" s="17" t="str">
        <f>VLOOKUP(G809,매칭테이블!D:E,2,0)</f>
        <v>뉴트리셔스밤</v>
      </c>
      <c r="J809">
        <v>201210</v>
      </c>
      <c r="L809" s="19">
        <f>VLOOKUP($P809,매칭테이블!$G:$J,2,0)*H809</f>
        <v>99600</v>
      </c>
      <c r="M809" s="19">
        <f>L809-L809*VLOOKUP($P809,매칭테이블!$G:$J,3,0)</f>
        <v>93773.4</v>
      </c>
      <c r="N809" s="19">
        <f>VLOOKUP($P809,매칭테이블!$G:$J,4,0)*H809</f>
        <v>6320</v>
      </c>
      <c r="O809" s="20">
        <f t="shared" si="213"/>
        <v>90545.454545454544</v>
      </c>
      <c r="P809" s="19" t="str">
        <f t="shared" si="214"/>
        <v>카페24뉴트리셔스밤라베나 리커버리 15 뉴트리셔스 밤 [HAIR RÉ:COVERY 15 Nutritious Balm]제품선택=헤어 리커버리 15 뉴트리셔스 밤201210</v>
      </c>
    </row>
    <row r="810" spans="2:16" x14ac:dyDescent="0.3">
      <c r="B810" s="2">
        <v>44225</v>
      </c>
      <c r="C810" s="19" t="str">
        <f t="shared" si="212"/>
        <v>금</v>
      </c>
      <c r="E810" s="17" t="str">
        <f>INDEX(매칭테이블!C:C,MATCH(RD!G810,매칭테이블!D:D,0))</f>
        <v>뉴트리셔스밤</v>
      </c>
      <c r="F810" t="s">
        <v>91</v>
      </c>
      <c r="G810" t="s">
        <v>126</v>
      </c>
      <c r="H810">
        <v>1</v>
      </c>
      <c r="I810" s="17" t="str">
        <f>VLOOKUP(G810,매칭테이블!D:E,2,0)</f>
        <v>트리트먼트+뉴트리셔스밤</v>
      </c>
      <c r="J810">
        <v>201210</v>
      </c>
      <c r="L810" s="19">
        <f>VLOOKUP($P810,매칭테이블!$G:$J,2,0)*H810</f>
        <v>48355</v>
      </c>
      <c r="M810" s="19">
        <f>L810-L810*VLOOKUP($P810,매칭테이블!$G:$J,3,0)</f>
        <v>45526.232499999998</v>
      </c>
      <c r="N810" s="19">
        <f>VLOOKUP($P810,매칭테이블!$G:$J,4,0)*H810</f>
        <v>3177</v>
      </c>
      <c r="O810" s="20">
        <f t="shared" si="213"/>
        <v>43959.090909090904</v>
      </c>
      <c r="P810" s="19" t="str">
        <f t="shared" si="214"/>
        <v>카페24뉴트리셔스밤라베나 리커버리 15 뉴트리셔스 밤 [HAIR RÉ:COVERY 15 Nutritious Balm]제품선택=뉴트리셔스밤 1개 + 헤어팩 트리트먼트 1개 세트 5%추가할인201210</v>
      </c>
    </row>
    <row r="811" spans="2:16" x14ac:dyDescent="0.3">
      <c r="B811" s="2">
        <v>44225</v>
      </c>
      <c r="C811" s="19" t="str">
        <f t="shared" si="212"/>
        <v>금</v>
      </c>
      <c r="E811" s="17" t="str">
        <f>INDEX(매칭테이블!C:C,MATCH(RD!G811,매칭테이블!D:D,0))</f>
        <v>샴푸</v>
      </c>
      <c r="F811" t="s">
        <v>91</v>
      </c>
      <c r="G811" t="s">
        <v>144</v>
      </c>
      <c r="H811">
        <v>110</v>
      </c>
      <c r="I811" s="17" t="str">
        <f>VLOOKUP(G811,매칭테이블!D:E,2,0)</f>
        <v>리바이탈 샴푸</v>
      </c>
      <c r="J811">
        <v>201210</v>
      </c>
      <c r="L811" s="19">
        <f>VLOOKUP($P811,매칭테이블!$G:$J,2,0)*H811</f>
        <v>2959000</v>
      </c>
      <c r="M811" s="19">
        <f>L811-L811*VLOOKUP($P811,매칭테이블!$G:$J,3,0)</f>
        <v>2785898.5</v>
      </c>
      <c r="N811" s="19">
        <f>VLOOKUP($P811,매칭테이블!$G:$J,4,0)*H811</f>
        <v>332200</v>
      </c>
      <c r="O811" s="20">
        <f t="shared" si="213"/>
        <v>2690000</v>
      </c>
      <c r="P811" s="19" t="str">
        <f t="shared" si="214"/>
        <v>카페24샴푸라베나 리커버리 15 리바이탈 바이오플라보노이드샴푸 [HAIR RÉ:COVERY 15 Revital Shampoo]제품선택=헤어 리커버리 15 리바이탈 샴푸 - 500ml201210</v>
      </c>
    </row>
    <row r="812" spans="2:16" x14ac:dyDescent="0.3">
      <c r="B812" s="2">
        <v>44225</v>
      </c>
      <c r="C812" s="19" t="str">
        <f t="shared" si="212"/>
        <v>금</v>
      </c>
      <c r="E812" s="17" t="str">
        <f>INDEX(매칭테이블!C:C,MATCH(RD!G812,매칭테이블!D:D,0))</f>
        <v>샴푸</v>
      </c>
      <c r="F812" t="s">
        <v>91</v>
      </c>
      <c r="G812" t="s">
        <v>145</v>
      </c>
      <c r="H812">
        <v>35</v>
      </c>
      <c r="I812" s="17" t="str">
        <f>VLOOKUP(G812,매칭테이블!D:E,2,0)</f>
        <v>리바이탈 샴푸 2set</v>
      </c>
      <c r="J812">
        <v>201210</v>
      </c>
      <c r="L812" s="19">
        <f>VLOOKUP($P812,매칭테이블!$G:$J,2,0)*H812</f>
        <v>1788850</v>
      </c>
      <c r="M812" s="19">
        <f>L812-L812*VLOOKUP($P812,매칭테이블!$G:$J,3,0)</f>
        <v>1684202.2749999999</v>
      </c>
      <c r="N812" s="19">
        <f>VLOOKUP($P812,매칭테이블!$G:$J,4,0)*H812</f>
        <v>211400</v>
      </c>
      <c r="O812" s="20">
        <f t="shared" si="213"/>
        <v>1626227.2727272727</v>
      </c>
      <c r="P812" s="19" t="str">
        <f t="shared" si="214"/>
        <v>카페24샴푸라베나 리커버리 15 리바이탈 바이오플라보노이드샴푸 [HAIR RÉ:COVERY 15 Revital Shampoo]제품선택=리바이탈 샴푸 2개 세트 5%추가할인201210</v>
      </c>
    </row>
    <row r="813" spans="2:16" x14ac:dyDescent="0.3">
      <c r="B813" s="2">
        <v>44225</v>
      </c>
      <c r="C813" s="19" t="str">
        <f t="shared" si="212"/>
        <v>금</v>
      </c>
      <c r="E813" s="17" t="str">
        <f>INDEX(매칭테이블!C:C,MATCH(RD!G813,매칭테이블!D:D,0))</f>
        <v>샴푸</v>
      </c>
      <c r="F813" t="s">
        <v>91</v>
      </c>
      <c r="G813" t="s">
        <v>146</v>
      </c>
      <c r="H813">
        <v>15</v>
      </c>
      <c r="I813" s="17" t="str">
        <f>VLOOKUP(G813,매칭테이블!D:E,2,0)</f>
        <v>리바이탈 샴푸 3set</v>
      </c>
      <c r="J813">
        <v>201210</v>
      </c>
      <c r="L813" s="19">
        <f>VLOOKUP($P813,매칭테이블!$G:$J,2,0)*H813</f>
        <v>1089450</v>
      </c>
      <c r="M813" s="19">
        <f>L813-L813*VLOOKUP($P813,매칭테이블!$G:$J,3,0)</f>
        <v>1025717.175</v>
      </c>
      <c r="N813" s="19">
        <f>VLOOKUP($P813,매칭테이블!$G:$J,4,0)*H813</f>
        <v>135900</v>
      </c>
      <c r="O813" s="20">
        <f t="shared" si="213"/>
        <v>990409.09090909082</v>
      </c>
      <c r="P813" s="19" t="str">
        <f t="shared" si="214"/>
        <v>카페24샴푸라베나 리커버리 15 리바이탈 바이오플라보노이드샴푸 [HAIR RÉ:COVERY 15 Revital Shampoo]제품선택=리바이탈 샴푸 3개 세트 10% 추가할인201210</v>
      </c>
    </row>
    <row r="814" spans="2:16" x14ac:dyDescent="0.3">
      <c r="B814" s="2">
        <v>44225</v>
      </c>
      <c r="C814" s="19" t="str">
        <f t="shared" si="212"/>
        <v>금</v>
      </c>
      <c r="E814" s="17" t="str">
        <f>INDEX(매칭테이블!C:C,MATCH(RD!G814,매칭테이블!D:D,0))</f>
        <v>샴푸</v>
      </c>
      <c r="F814" t="s">
        <v>91</v>
      </c>
      <c r="G814" t="s">
        <v>127</v>
      </c>
      <c r="H814">
        <v>53</v>
      </c>
      <c r="I814" s="17" t="str">
        <f>VLOOKUP(G814,매칭테이블!D:E,2,0)</f>
        <v>리바이탈 샴푸</v>
      </c>
      <c r="J814">
        <v>201210</v>
      </c>
      <c r="L814" s="19">
        <f>VLOOKUP($P814,매칭테이블!$G:$J,2,0)*H814</f>
        <v>1425700</v>
      </c>
      <c r="M814" s="19">
        <f>L814-L814*VLOOKUP($P814,매칭테이블!$G:$J,3,0)</f>
        <v>1342296.55</v>
      </c>
      <c r="N814" s="19">
        <f>VLOOKUP($P814,매칭테이블!$G:$J,4,0)*H814</f>
        <v>160060</v>
      </c>
      <c r="O814" s="20">
        <f t="shared" si="213"/>
        <v>1296090.9090909089</v>
      </c>
      <c r="P814" s="19" t="str">
        <f t="shared" si="214"/>
        <v>카페24샴푸라베나 리커버리 15 리바이탈 샴푸 [HAIR RÉ:COVERY 15 Revital Shampoo]제품선택=헤어 리커버리 15 리바이탈 샴푸 - 500ml201210</v>
      </c>
    </row>
    <row r="815" spans="2:16" x14ac:dyDescent="0.3">
      <c r="B815" s="2">
        <v>44225</v>
      </c>
      <c r="C815" s="19" t="str">
        <f t="shared" si="212"/>
        <v>금</v>
      </c>
      <c r="E815" s="17" t="str">
        <f>INDEX(매칭테이블!C:C,MATCH(RD!G815,매칭테이블!D:D,0))</f>
        <v>샴푸</v>
      </c>
      <c r="F815" t="s">
        <v>91</v>
      </c>
      <c r="G815" t="s">
        <v>128</v>
      </c>
      <c r="H815">
        <v>14</v>
      </c>
      <c r="I815" s="17" t="str">
        <f>VLOOKUP(G815,매칭테이블!D:E,2,0)</f>
        <v>리바이탈 샴푸 2set</v>
      </c>
      <c r="J815">
        <v>201210</v>
      </c>
      <c r="L815" s="19">
        <f>VLOOKUP($P815,매칭테이블!$G:$J,2,0)*H815</f>
        <v>715540</v>
      </c>
      <c r="M815" s="19">
        <f>L815-L815*VLOOKUP($P815,매칭테이블!$G:$J,3,0)</f>
        <v>673680.91</v>
      </c>
      <c r="N815" s="19">
        <f>VLOOKUP($P815,매칭테이블!$G:$J,4,0)*H815</f>
        <v>84560</v>
      </c>
      <c r="O815" s="20">
        <f t="shared" si="213"/>
        <v>650490.90909090906</v>
      </c>
      <c r="P815" s="19" t="str">
        <f t="shared" si="214"/>
        <v>카페24샴푸라베나 리커버리 15 리바이탈 샴푸 [HAIR RÉ:COVERY 15 Revital Shampoo]제품선택=리바이탈 샴푸 2개 세트 5%추가할인201210</v>
      </c>
    </row>
    <row r="816" spans="2:16" x14ac:dyDescent="0.3">
      <c r="B816" s="2">
        <v>44225</v>
      </c>
      <c r="C816" s="19" t="str">
        <f t="shared" si="212"/>
        <v>금</v>
      </c>
      <c r="E816" s="17" t="str">
        <f>INDEX(매칭테이블!C:C,MATCH(RD!G816,매칭테이블!D:D,0))</f>
        <v>샴푸</v>
      </c>
      <c r="F816" t="s">
        <v>91</v>
      </c>
      <c r="G816" t="s">
        <v>129</v>
      </c>
      <c r="H816">
        <v>8</v>
      </c>
      <c r="I816" s="17" t="str">
        <f>VLOOKUP(G816,매칭테이블!D:E,2,0)</f>
        <v>리바이탈 샴푸 3set</v>
      </c>
      <c r="J816">
        <v>201210</v>
      </c>
      <c r="L816" s="19">
        <f>VLOOKUP($P816,매칭테이블!$G:$J,2,0)*H816</f>
        <v>581040</v>
      </c>
      <c r="M816" s="19">
        <f>L816-L816*VLOOKUP($P816,매칭테이블!$G:$J,3,0)</f>
        <v>547049.16</v>
      </c>
      <c r="N816" s="19">
        <f>VLOOKUP($P816,매칭테이블!$G:$J,4,0)*H816</f>
        <v>72480</v>
      </c>
      <c r="O816" s="20">
        <f t="shared" si="213"/>
        <v>528218.18181818177</v>
      </c>
      <c r="P816" s="19" t="str">
        <f t="shared" si="214"/>
        <v>카페24샴푸라베나 리커버리 15 리바이탈 샴푸 [HAIR RÉ:COVERY 15 Revital Shampoo]제품선택=리바이탈 샴푸 3개 세트 10% 추가할인201210</v>
      </c>
    </row>
    <row r="817" spans="2:16" x14ac:dyDescent="0.3">
      <c r="B817" s="2">
        <v>44225</v>
      </c>
      <c r="C817" s="19" t="str">
        <f t="shared" si="212"/>
        <v>금</v>
      </c>
      <c r="E817" s="17" t="str">
        <f>INDEX(매칭테이블!C:C,MATCH(RD!G817,매칭테이블!D:D,0))</f>
        <v>트리트먼트</v>
      </c>
      <c r="F817" t="s">
        <v>91</v>
      </c>
      <c r="G817" t="s">
        <v>130</v>
      </c>
      <c r="H817">
        <v>6</v>
      </c>
      <c r="I817" s="17" t="str">
        <f>VLOOKUP(G817,매칭테이블!D:E,2,0)</f>
        <v>트리트먼트</v>
      </c>
      <c r="J817">
        <v>201210</v>
      </c>
      <c r="L817" s="19">
        <f>VLOOKUP($P817,매칭테이블!$G:$J,2,0)*H817</f>
        <v>156000</v>
      </c>
      <c r="M817" s="19">
        <f>L817-L817*VLOOKUP($P817,매칭테이블!$G:$J,3,0)</f>
        <v>146874</v>
      </c>
      <c r="N817" s="19">
        <f>VLOOKUP($P817,매칭테이블!$G:$J,4,0)*H817</f>
        <v>9582</v>
      </c>
      <c r="O817" s="20">
        <f t="shared" si="213"/>
        <v>141818.18181818179</v>
      </c>
      <c r="P817" s="19" t="str">
        <f t="shared" si="214"/>
        <v>카페24트리트먼트라베나 리커버리 15 헤어팩 트리트먼트 [HAIR RÉ:COVERY 15 Hairpack Treatment]제품선택=헤어 리커버리 15 헤어팩 트리트먼트201210</v>
      </c>
    </row>
    <row r="818" spans="2:16" x14ac:dyDescent="0.3">
      <c r="B818" s="2">
        <v>44225</v>
      </c>
      <c r="C818" s="19" t="str">
        <f t="shared" si="212"/>
        <v>금</v>
      </c>
      <c r="E818" s="17" t="str">
        <f>INDEX(매칭테이블!C:C,MATCH(RD!G818,매칭테이블!D:D,0))</f>
        <v>트리트먼트</v>
      </c>
      <c r="F818" t="s">
        <v>91</v>
      </c>
      <c r="G818" t="s">
        <v>131</v>
      </c>
      <c r="H818">
        <v>1</v>
      </c>
      <c r="I818" s="17" t="str">
        <f>VLOOKUP(G818,매칭테이블!D:E,2,0)</f>
        <v>트리트먼트 2set</v>
      </c>
      <c r="J818">
        <v>201210</v>
      </c>
      <c r="L818" s="19">
        <f>VLOOKUP($P818,매칭테이블!$G:$J,2,0)*H818</f>
        <v>49400</v>
      </c>
      <c r="M818" s="19">
        <f>L818-L818*VLOOKUP($P818,매칭테이블!$G:$J,3,0)</f>
        <v>46510.1</v>
      </c>
      <c r="N818" s="19">
        <f>VLOOKUP($P818,매칭테이블!$G:$J,4,0)*H818</f>
        <v>3194</v>
      </c>
      <c r="O818" s="20">
        <f t="shared" si="213"/>
        <v>44909.090909090904</v>
      </c>
      <c r="P818" s="19" t="str">
        <f t="shared" si="214"/>
        <v>카페24트리트먼트라베나 리커버리 15 헤어팩 트리트먼트 [HAIR RÉ:COVERY 15 Hairpack Treatment]제품선택=헤어팩 트리트먼트 2개 세트 5% 추가할인201210</v>
      </c>
    </row>
    <row r="819" spans="2:16" x14ac:dyDescent="0.3">
      <c r="B819" s="2">
        <v>44225</v>
      </c>
      <c r="C819" s="19" t="str">
        <f t="shared" si="212"/>
        <v>금</v>
      </c>
      <c r="E819" s="17" t="str">
        <f>INDEX(매칭테이블!C:C,MATCH(RD!G819,매칭테이블!D:D,0))</f>
        <v>트리트먼트</v>
      </c>
      <c r="F819" t="s">
        <v>91</v>
      </c>
      <c r="G819" t="s">
        <v>132</v>
      </c>
      <c r="H819">
        <v>3</v>
      </c>
      <c r="I819" s="17" t="str">
        <f>VLOOKUP(G819,매칭테이블!D:E,2,0)</f>
        <v>트리트먼트 3set</v>
      </c>
      <c r="J819">
        <v>201210</v>
      </c>
      <c r="L819" s="19">
        <f>VLOOKUP($P819,매칭테이블!$G:$J,2,0)*H819</f>
        <v>210600</v>
      </c>
      <c r="M819" s="19">
        <f>L819-L819*VLOOKUP($P819,매칭테이블!$G:$J,3,0)</f>
        <v>198279.9</v>
      </c>
      <c r="N819" s="19">
        <f>VLOOKUP($P819,매칭테이블!$G:$J,4,0)*H819</f>
        <v>14373</v>
      </c>
      <c r="O819" s="20">
        <f t="shared" si="213"/>
        <v>191454.54545454544</v>
      </c>
      <c r="P819" s="19" t="str">
        <f t="shared" si="214"/>
        <v>카페24트리트먼트라베나 리커버리 15 헤어팩 트리트먼트 [HAIR RÉ:COVERY 15 Hairpack Treatment]제품선택=헤어팩 트리트먼트 3개 세트 10% 추가할인201210</v>
      </c>
    </row>
    <row r="820" spans="2:16" x14ac:dyDescent="0.3">
      <c r="B820" s="2">
        <v>44225</v>
      </c>
      <c r="C820" s="19" t="str">
        <f t="shared" si="212"/>
        <v>금</v>
      </c>
      <c r="E820" s="17" t="str">
        <f>INDEX(매칭테이블!C:C,MATCH(RD!G820,매칭테이블!D:D,0))</f>
        <v>샴푸</v>
      </c>
      <c r="F820" t="s">
        <v>91</v>
      </c>
      <c r="G820" t="s">
        <v>123</v>
      </c>
      <c r="H820">
        <v>3</v>
      </c>
      <c r="I820" s="17" t="str">
        <f>VLOOKUP(G820,매칭테이블!D:E,2,0)</f>
        <v>리바이탈 샴푸</v>
      </c>
      <c r="J820">
        <v>201210</v>
      </c>
      <c r="L820" s="19">
        <f>VLOOKUP($P820,매칭테이블!$G:$J,2,0)*H820</f>
        <v>80700</v>
      </c>
      <c r="M820" s="19">
        <f>L820-L820*VLOOKUP($P820,매칭테이블!$G:$J,3,0)</f>
        <v>75979.05</v>
      </c>
      <c r="N820" s="19">
        <f>VLOOKUP($P820,매칭테이블!$G:$J,4,0)*H820</f>
        <v>9060</v>
      </c>
      <c r="O820" s="20">
        <f t="shared" si="213"/>
        <v>73363.636363636353</v>
      </c>
      <c r="P820" s="19" t="str">
        <f t="shared" si="214"/>
        <v>카페24샴푸헤어 리커버리 15 리바이탈 샴푸201210</v>
      </c>
    </row>
    <row r="821" spans="2:16" x14ac:dyDescent="0.3">
      <c r="B821" s="2">
        <v>44226</v>
      </c>
      <c r="C821" s="19" t="str">
        <f t="shared" ref="C821" si="215">TEXT(B821,"aaa")</f>
        <v>토</v>
      </c>
      <c r="E821" s="17" t="str">
        <f>INDEX(매칭테이블!C:C,MATCH(RD!G821,매칭테이블!D:D,0))</f>
        <v>뉴트리셔스밤</v>
      </c>
      <c r="F821" t="s">
        <v>91</v>
      </c>
      <c r="G821" t="s">
        <v>124</v>
      </c>
      <c r="H821">
        <v>4</v>
      </c>
      <c r="I821" s="17" t="str">
        <f>VLOOKUP(G821,매칭테이블!D:E,2,0)</f>
        <v>뉴트리셔스밤</v>
      </c>
      <c r="J821">
        <v>201210</v>
      </c>
      <c r="L821" s="19">
        <f>VLOOKUP($P821,매칭테이블!$G:$J,2,0)*H821</f>
        <v>99600</v>
      </c>
      <c r="M821" s="19">
        <f>L821-L821*VLOOKUP($P821,매칭테이블!$G:$J,3,0)</f>
        <v>93773.4</v>
      </c>
      <c r="N821" s="19">
        <f>VLOOKUP($P821,매칭테이블!$G:$J,4,0)*H821</f>
        <v>6320</v>
      </c>
      <c r="O821" s="20">
        <f t="shared" ref="O821" si="216">L821/1.1</f>
        <v>90545.454545454544</v>
      </c>
      <c r="P821" s="19" t="str">
        <f t="shared" si="214"/>
        <v>카페24뉴트리셔스밤라베나 리커버리 15 뉴트리셔스 밤 [HAIR RÉ:COVERY 15 Nutritious Balm]제품선택=헤어 리커버리 15 뉴트리셔스 밤201210</v>
      </c>
    </row>
    <row r="822" spans="2:16" x14ac:dyDescent="0.3">
      <c r="B822" s="2">
        <v>44226</v>
      </c>
      <c r="C822" s="19" t="str">
        <f t="shared" ref="C822:C827" si="217">TEXT(B822,"aaa")</f>
        <v>토</v>
      </c>
      <c r="E822" s="17" t="str">
        <f>INDEX(매칭테이블!C:C,MATCH(RD!G822,매칭테이블!D:D,0))</f>
        <v>뉴트리셔스밤</v>
      </c>
      <c r="F822" t="s">
        <v>91</v>
      </c>
      <c r="G822" t="s">
        <v>134</v>
      </c>
      <c r="H822">
        <v>2</v>
      </c>
      <c r="I822" s="17" t="str">
        <f>VLOOKUP(G822,매칭테이블!D:E,2,0)</f>
        <v>뉴트리셔스밤 3set</v>
      </c>
      <c r="J822">
        <v>201210</v>
      </c>
      <c r="L822" s="19">
        <f>VLOOKUP($P822,매칭테이블!$G:$J,2,0)*H822</f>
        <v>125736</v>
      </c>
      <c r="M822" s="19">
        <f>L822-L822*VLOOKUP($P822,매칭테이블!$G:$J,3,0)</f>
        <v>118380.444</v>
      </c>
      <c r="N822" s="19">
        <f>VLOOKUP($P822,매칭테이블!$G:$J,4,0)*H822</f>
        <v>9480</v>
      </c>
      <c r="O822" s="20">
        <f t="shared" ref="O822:O827" si="218">L822/1.1</f>
        <v>114305.45454545453</v>
      </c>
      <c r="P822" s="19" t="str">
        <f t="shared" si="214"/>
        <v>카페24뉴트리셔스밤라베나 리커버리 15 뉴트리셔스 밤 [HAIR RÉ:COVERY 15 Nutritious Balm]제품선택=뉴트리셔스 밤 3개 세트 10% 추가할인201210</v>
      </c>
    </row>
    <row r="823" spans="2:16" x14ac:dyDescent="0.3">
      <c r="B823" s="2">
        <v>44226</v>
      </c>
      <c r="C823" s="19" t="str">
        <f t="shared" si="217"/>
        <v>토</v>
      </c>
      <c r="E823" s="17" t="str">
        <f>INDEX(매칭테이블!C:C,MATCH(RD!G823,매칭테이블!D:D,0))</f>
        <v>샴푸</v>
      </c>
      <c r="F823" t="s">
        <v>91</v>
      </c>
      <c r="G823" t="s">
        <v>144</v>
      </c>
      <c r="H823">
        <v>140</v>
      </c>
      <c r="I823" s="17" t="str">
        <f>VLOOKUP(G823,매칭테이블!D:E,2,0)</f>
        <v>리바이탈 샴푸</v>
      </c>
      <c r="J823">
        <v>201210</v>
      </c>
      <c r="L823" s="19">
        <f>VLOOKUP($P823,매칭테이블!$G:$J,2,0)*H823</f>
        <v>3766000</v>
      </c>
      <c r="M823" s="19">
        <f>L823-L823*VLOOKUP($P823,매칭테이블!$G:$J,3,0)</f>
        <v>3545689</v>
      </c>
      <c r="N823" s="19">
        <f>VLOOKUP($P823,매칭테이블!$G:$J,4,0)*H823</f>
        <v>422800</v>
      </c>
      <c r="O823" s="20">
        <f t="shared" si="218"/>
        <v>3423636.3636363633</v>
      </c>
      <c r="P823" s="19" t="str">
        <f t="shared" si="214"/>
        <v>카페24샴푸라베나 리커버리 15 리바이탈 바이오플라보노이드샴푸 [HAIR RÉ:COVERY 15 Revital Shampoo]제품선택=헤어 리커버리 15 리바이탈 샴푸 - 500ml201210</v>
      </c>
    </row>
    <row r="824" spans="2:16" x14ac:dyDescent="0.3">
      <c r="B824" s="2">
        <v>44226</v>
      </c>
      <c r="C824" s="19" t="str">
        <f t="shared" si="217"/>
        <v>토</v>
      </c>
      <c r="E824" s="17" t="str">
        <f>INDEX(매칭테이블!C:C,MATCH(RD!G824,매칭테이블!D:D,0))</f>
        <v>샴푸</v>
      </c>
      <c r="F824" t="s">
        <v>91</v>
      </c>
      <c r="G824" t="s">
        <v>145</v>
      </c>
      <c r="H824">
        <v>38</v>
      </c>
      <c r="I824" s="17" t="str">
        <f>VLOOKUP(G824,매칭테이블!D:E,2,0)</f>
        <v>리바이탈 샴푸 2set</v>
      </c>
      <c r="J824">
        <v>201210</v>
      </c>
      <c r="L824" s="19">
        <f>VLOOKUP($P824,매칭테이블!$G:$J,2,0)*H824</f>
        <v>1942180</v>
      </c>
      <c r="M824" s="19">
        <f>L824-L824*VLOOKUP($P824,매칭테이블!$G:$J,3,0)</f>
        <v>1828562.47</v>
      </c>
      <c r="N824" s="19">
        <f>VLOOKUP($P824,매칭테이블!$G:$J,4,0)*H824</f>
        <v>229520</v>
      </c>
      <c r="O824" s="20">
        <f t="shared" si="218"/>
        <v>1765618.1818181816</v>
      </c>
      <c r="P824" s="19" t="str">
        <f t="shared" si="214"/>
        <v>카페24샴푸라베나 리커버리 15 리바이탈 바이오플라보노이드샴푸 [HAIR RÉ:COVERY 15 Revital Shampoo]제품선택=리바이탈 샴푸 2개 세트 5%추가할인201210</v>
      </c>
    </row>
    <row r="825" spans="2:16" x14ac:dyDescent="0.3">
      <c r="B825" s="2">
        <v>44226</v>
      </c>
      <c r="C825" s="19" t="str">
        <f t="shared" si="217"/>
        <v>토</v>
      </c>
      <c r="E825" s="17" t="str">
        <f>INDEX(매칭테이블!C:C,MATCH(RD!G825,매칭테이블!D:D,0))</f>
        <v>샴푸</v>
      </c>
      <c r="F825" t="s">
        <v>91</v>
      </c>
      <c r="G825" t="s">
        <v>146</v>
      </c>
      <c r="H825">
        <v>15</v>
      </c>
      <c r="I825" s="17" t="str">
        <f>VLOOKUP(G825,매칭테이블!D:E,2,0)</f>
        <v>리바이탈 샴푸 3set</v>
      </c>
      <c r="J825">
        <v>201210</v>
      </c>
      <c r="L825" s="19">
        <f>VLOOKUP($P825,매칭테이블!$G:$J,2,0)*H825</f>
        <v>1089450</v>
      </c>
      <c r="M825" s="19">
        <f>L825-L825*VLOOKUP($P825,매칭테이블!$G:$J,3,0)</f>
        <v>1025717.175</v>
      </c>
      <c r="N825" s="19">
        <f>VLOOKUP($P825,매칭테이블!$G:$J,4,0)*H825</f>
        <v>135900</v>
      </c>
      <c r="O825" s="20">
        <f t="shared" si="218"/>
        <v>990409.09090909082</v>
      </c>
      <c r="P825" s="19" t="str">
        <f t="shared" si="214"/>
        <v>카페24샴푸라베나 리커버리 15 리바이탈 바이오플라보노이드샴푸 [HAIR RÉ:COVERY 15 Revital Shampoo]제품선택=리바이탈 샴푸 3개 세트 10% 추가할인201210</v>
      </c>
    </row>
    <row r="826" spans="2:16" x14ac:dyDescent="0.3">
      <c r="B826" s="2">
        <v>44226</v>
      </c>
      <c r="C826" s="19" t="str">
        <f t="shared" si="217"/>
        <v>토</v>
      </c>
      <c r="E826" s="17" t="str">
        <f>INDEX(매칭테이블!C:C,MATCH(RD!G826,매칭테이블!D:D,0))</f>
        <v>샴푸</v>
      </c>
      <c r="F826" t="s">
        <v>91</v>
      </c>
      <c r="G826" t="s">
        <v>127</v>
      </c>
      <c r="H826">
        <v>2</v>
      </c>
      <c r="I826" s="17" t="str">
        <f>VLOOKUP(G826,매칭테이블!D:E,2,0)</f>
        <v>리바이탈 샴푸</v>
      </c>
      <c r="J826">
        <v>201210</v>
      </c>
      <c r="L826" s="19">
        <f>VLOOKUP($P826,매칭테이블!$G:$J,2,0)*H826</f>
        <v>53800</v>
      </c>
      <c r="M826" s="19">
        <f>L826-L826*VLOOKUP($P826,매칭테이블!$G:$J,3,0)</f>
        <v>50652.7</v>
      </c>
      <c r="N826" s="19">
        <f>VLOOKUP($P826,매칭테이블!$G:$J,4,0)*H826</f>
        <v>6040</v>
      </c>
      <c r="O826" s="20">
        <f t="shared" si="218"/>
        <v>48909.090909090904</v>
      </c>
      <c r="P826" s="19" t="str">
        <f t="shared" si="214"/>
        <v>카페24샴푸라베나 리커버리 15 리바이탈 샴푸 [HAIR RÉ:COVERY 15 Revital Shampoo]제품선택=헤어 리커버리 15 리바이탈 샴푸 - 500ml201210</v>
      </c>
    </row>
    <row r="827" spans="2:16" x14ac:dyDescent="0.3">
      <c r="B827" s="2">
        <v>44226</v>
      </c>
      <c r="C827" s="19" t="str">
        <f t="shared" si="217"/>
        <v>토</v>
      </c>
      <c r="E827" s="17" t="str">
        <f>INDEX(매칭테이블!C:C,MATCH(RD!G827,매칭테이블!D:D,0))</f>
        <v>트리트먼트</v>
      </c>
      <c r="F827" t="s">
        <v>91</v>
      </c>
      <c r="G827" t="s">
        <v>130</v>
      </c>
      <c r="H827">
        <v>2</v>
      </c>
      <c r="I827" s="17" t="str">
        <f>VLOOKUP(G827,매칭테이블!D:E,2,0)</f>
        <v>트리트먼트</v>
      </c>
      <c r="J827">
        <v>201210</v>
      </c>
      <c r="L827" s="19">
        <f>VLOOKUP($P827,매칭테이블!$G:$J,2,0)*H827</f>
        <v>52000</v>
      </c>
      <c r="M827" s="19">
        <f>L827-L827*VLOOKUP($P827,매칭테이블!$G:$J,3,0)</f>
        <v>48958</v>
      </c>
      <c r="N827" s="19">
        <f>VLOOKUP($P827,매칭테이블!$G:$J,4,0)*H827</f>
        <v>3194</v>
      </c>
      <c r="O827" s="20">
        <f t="shared" si="218"/>
        <v>47272.727272727272</v>
      </c>
      <c r="P827" s="19" t="str">
        <f t="shared" si="214"/>
        <v>카페24트리트먼트라베나 리커버리 15 헤어팩 트리트먼트 [HAIR RÉ:COVERY 15 Hairpack Treatment]제품선택=헤어 리커버리 15 헤어팩 트리트먼트201210</v>
      </c>
    </row>
    <row r="828" spans="2:16" x14ac:dyDescent="0.3">
      <c r="B828" s="2">
        <v>44227</v>
      </c>
      <c r="C828" s="19" t="str">
        <f t="shared" ref="C828" si="219">TEXT(B828,"aaa")</f>
        <v>일</v>
      </c>
      <c r="E828" s="17" t="str">
        <f>INDEX(매칭테이블!C:C,MATCH(RD!G828,매칭테이블!D:D,0))</f>
        <v>뉴트리셔스밤</v>
      </c>
      <c r="F828" t="s">
        <v>91</v>
      </c>
      <c r="G828" t="s">
        <v>124</v>
      </c>
      <c r="H828">
        <v>7</v>
      </c>
      <c r="I828" s="17" t="str">
        <f>VLOOKUP(G828,매칭테이블!D:E,2,0)</f>
        <v>뉴트리셔스밤</v>
      </c>
      <c r="J828">
        <v>201210</v>
      </c>
      <c r="L828" s="19">
        <f>VLOOKUP($P828,매칭테이블!$G:$J,2,0)*H828</f>
        <v>174300</v>
      </c>
      <c r="M828" s="19">
        <f>L828-L828*VLOOKUP($P828,매칭테이블!$G:$J,3,0)</f>
        <v>164103.45000000001</v>
      </c>
      <c r="N828" s="19">
        <f>VLOOKUP($P828,매칭테이블!$G:$J,4,0)*H828</f>
        <v>11060</v>
      </c>
      <c r="O828" s="20">
        <f t="shared" ref="O828" si="220">L828/1.1</f>
        <v>158454.54545454544</v>
      </c>
      <c r="P828" s="19" t="str">
        <f t="shared" si="214"/>
        <v>카페24뉴트리셔스밤라베나 리커버리 15 뉴트리셔스 밤 [HAIR RÉ:COVERY 15 Nutritious Balm]제품선택=헤어 리커버리 15 뉴트리셔스 밤201210</v>
      </c>
    </row>
    <row r="829" spans="2:16" x14ac:dyDescent="0.3">
      <c r="B829" s="2">
        <v>44227</v>
      </c>
      <c r="C829" s="19" t="str">
        <f t="shared" ref="C829:C836" si="221">TEXT(B829,"aaa")</f>
        <v>일</v>
      </c>
      <c r="E829" s="17" t="str">
        <f>INDEX(매칭테이블!C:C,MATCH(RD!G829,매칭테이블!D:D,0))</f>
        <v>뉴트리셔스밤</v>
      </c>
      <c r="F829" t="s">
        <v>91</v>
      </c>
      <c r="G829" t="s">
        <v>125</v>
      </c>
      <c r="H829">
        <v>1</v>
      </c>
      <c r="I829" s="17" t="str">
        <f>VLOOKUP(G829,매칭테이블!D:E,2,0)</f>
        <v>뉴트리셔스밤 2set</v>
      </c>
      <c r="J829">
        <v>201210</v>
      </c>
      <c r="L829" s="19">
        <f>VLOOKUP($P829,매칭테이블!$G:$J,2,0)*H829</f>
        <v>47310</v>
      </c>
      <c r="M829" s="19">
        <f>L829-L829*VLOOKUP($P829,매칭테이블!$G:$J,3,0)</f>
        <v>44542.364999999998</v>
      </c>
      <c r="N829" s="19">
        <f>VLOOKUP($P829,매칭테이블!$G:$J,4,0)*H829</f>
        <v>3160</v>
      </c>
      <c r="O829" s="20">
        <f t="shared" ref="O829:O836" si="222">L829/1.1</f>
        <v>43009.090909090904</v>
      </c>
      <c r="P829" s="19" t="str">
        <f t="shared" si="214"/>
        <v>카페24뉴트리셔스밤라베나 리커버리 15 뉴트리셔스 밤 [HAIR RÉ:COVERY 15 Nutritious Balm]제품선택=뉴트리셔스 밤 2개 세트 5% 추가할인201210</v>
      </c>
    </row>
    <row r="830" spans="2:16" x14ac:dyDescent="0.3">
      <c r="B830" s="2">
        <v>44227</v>
      </c>
      <c r="C830" s="19" t="str">
        <f t="shared" si="221"/>
        <v>일</v>
      </c>
      <c r="E830" s="17" t="str">
        <f>INDEX(매칭테이블!C:C,MATCH(RD!G830,매칭테이블!D:D,0))</f>
        <v>샴푸</v>
      </c>
      <c r="F830" t="s">
        <v>91</v>
      </c>
      <c r="G830" t="s">
        <v>144</v>
      </c>
      <c r="H830">
        <v>172</v>
      </c>
      <c r="I830" s="17" t="str">
        <f>VLOOKUP(G830,매칭테이블!D:E,2,0)</f>
        <v>리바이탈 샴푸</v>
      </c>
      <c r="J830">
        <v>201210</v>
      </c>
      <c r="L830" s="19">
        <f>VLOOKUP($P830,매칭테이블!$G:$J,2,0)*H830</f>
        <v>4626800</v>
      </c>
      <c r="M830" s="19">
        <f>L830-L830*VLOOKUP($P830,매칭테이블!$G:$J,3,0)</f>
        <v>4356132.2</v>
      </c>
      <c r="N830" s="19">
        <f>VLOOKUP($P830,매칭테이블!$G:$J,4,0)*H830</f>
        <v>519440</v>
      </c>
      <c r="O830" s="20">
        <f t="shared" si="222"/>
        <v>4206181.8181818174</v>
      </c>
      <c r="P830" s="19" t="str">
        <f t="shared" si="214"/>
        <v>카페24샴푸라베나 리커버리 15 리바이탈 바이오플라보노이드샴푸 [HAIR RÉ:COVERY 15 Revital Shampoo]제품선택=헤어 리커버리 15 리바이탈 샴푸 - 500ml201210</v>
      </c>
    </row>
    <row r="831" spans="2:16" x14ac:dyDescent="0.3">
      <c r="B831" s="2">
        <v>44227</v>
      </c>
      <c r="C831" s="19" t="str">
        <f t="shared" si="221"/>
        <v>일</v>
      </c>
      <c r="E831" s="17" t="str">
        <f>INDEX(매칭테이블!C:C,MATCH(RD!G831,매칭테이블!D:D,0))</f>
        <v>샴푸</v>
      </c>
      <c r="F831" t="s">
        <v>91</v>
      </c>
      <c r="G831" t="s">
        <v>145</v>
      </c>
      <c r="H831">
        <v>45</v>
      </c>
      <c r="I831" s="17" t="str">
        <f>VLOOKUP(G831,매칭테이블!D:E,2,0)</f>
        <v>리바이탈 샴푸 2set</v>
      </c>
      <c r="J831">
        <v>201210</v>
      </c>
      <c r="L831" s="19">
        <f>VLOOKUP($P831,매칭테이블!$G:$J,2,0)*H831</f>
        <v>2299950</v>
      </c>
      <c r="M831" s="19">
        <f>L831-L831*VLOOKUP($P831,매칭테이블!$G:$J,3,0)</f>
        <v>2165402.9249999998</v>
      </c>
      <c r="N831" s="19">
        <f>VLOOKUP($P831,매칭테이블!$G:$J,4,0)*H831</f>
        <v>271800</v>
      </c>
      <c r="O831" s="20">
        <f t="shared" si="222"/>
        <v>2090863.6363636362</v>
      </c>
      <c r="P831" s="19" t="str">
        <f t="shared" si="214"/>
        <v>카페24샴푸라베나 리커버리 15 리바이탈 바이오플라보노이드샴푸 [HAIR RÉ:COVERY 15 Revital Shampoo]제품선택=리바이탈 샴푸 2개 세트 5%추가할인201210</v>
      </c>
    </row>
    <row r="832" spans="2:16" x14ac:dyDescent="0.3">
      <c r="B832" s="2">
        <v>44227</v>
      </c>
      <c r="C832" s="19" t="str">
        <f t="shared" si="221"/>
        <v>일</v>
      </c>
      <c r="E832" s="17" t="str">
        <f>INDEX(매칭테이블!C:C,MATCH(RD!G832,매칭테이블!D:D,0))</f>
        <v>샴푸</v>
      </c>
      <c r="F832" t="s">
        <v>91</v>
      </c>
      <c r="G832" t="s">
        <v>146</v>
      </c>
      <c r="H832">
        <v>21</v>
      </c>
      <c r="I832" s="17" t="str">
        <f>VLOOKUP(G832,매칭테이블!D:E,2,0)</f>
        <v>리바이탈 샴푸 3set</v>
      </c>
      <c r="J832">
        <v>201210</v>
      </c>
      <c r="L832" s="19">
        <f>VLOOKUP($P832,매칭테이블!$G:$J,2,0)*H832</f>
        <v>1525230</v>
      </c>
      <c r="M832" s="19">
        <f>L832-L832*VLOOKUP($P832,매칭테이블!$G:$J,3,0)</f>
        <v>1436004.0449999999</v>
      </c>
      <c r="N832" s="19">
        <f>VLOOKUP($P832,매칭테이블!$G:$J,4,0)*H832</f>
        <v>190260</v>
      </c>
      <c r="O832" s="20">
        <f t="shared" si="222"/>
        <v>1386572.7272727271</v>
      </c>
      <c r="P832" s="19" t="str">
        <f t="shared" si="214"/>
        <v>카페24샴푸라베나 리커버리 15 리바이탈 바이오플라보노이드샴푸 [HAIR RÉ:COVERY 15 Revital Shampoo]제품선택=리바이탈 샴푸 3개 세트 10% 추가할인201210</v>
      </c>
    </row>
    <row r="833" spans="2:16" x14ac:dyDescent="0.3">
      <c r="B833" s="2">
        <v>44227</v>
      </c>
      <c r="C833" s="19" t="str">
        <f t="shared" si="221"/>
        <v>일</v>
      </c>
      <c r="E833" s="17" t="str">
        <f>INDEX(매칭테이블!C:C,MATCH(RD!G833,매칭테이블!D:D,0))</f>
        <v>샴푸</v>
      </c>
      <c r="F833" t="s">
        <v>91</v>
      </c>
      <c r="G833" t="s">
        <v>127</v>
      </c>
      <c r="H833">
        <v>1</v>
      </c>
      <c r="I833" s="17" t="str">
        <f>VLOOKUP(G833,매칭테이블!D:E,2,0)</f>
        <v>리바이탈 샴푸</v>
      </c>
      <c r="J833">
        <v>201210</v>
      </c>
      <c r="L833" s="19">
        <f>VLOOKUP($P833,매칭테이블!$G:$J,2,0)*H833</f>
        <v>26900</v>
      </c>
      <c r="M833" s="19">
        <f>L833-L833*VLOOKUP($P833,매칭테이블!$G:$J,3,0)</f>
        <v>25326.35</v>
      </c>
      <c r="N833" s="19">
        <f>VLOOKUP($P833,매칭테이블!$G:$J,4,0)*H833</f>
        <v>3020</v>
      </c>
      <c r="O833" s="20">
        <f t="shared" si="222"/>
        <v>24454.545454545452</v>
      </c>
      <c r="P833" s="19" t="str">
        <f t="shared" si="214"/>
        <v>카페24샴푸라베나 리커버리 15 리바이탈 샴푸 [HAIR RÉ:COVERY 15 Revital Shampoo]제품선택=헤어 리커버리 15 리바이탈 샴푸 - 500ml201210</v>
      </c>
    </row>
    <row r="834" spans="2:16" x14ac:dyDescent="0.3">
      <c r="B834" s="2">
        <v>44227</v>
      </c>
      <c r="C834" s="19" t="str">
        <f t="shared" si="221"/>
        <v>일</v>
      </c>
      <c r="E834" s="17" t="str">
        <f>INDEX(매칭테이블!C:C,MATCH(RD!G834,매칭테이블!D:D,0))</f>
        <v>샴푸</v>
      </c>
      <c r="F834" t="s">
        <v>91</v>
      </c>
      <c r="G834" t="s">
        <v>128</v>
      </c>
      <c r="H834">
        <v>1</v>
      </c>
      <c r="I834" s="17" t="str">
        <f>VLOOKUP(G834,매칭테이블!D:E,2,0)</f>
        <v>리바이탈 샴푸 2set</v>
      </c>
      <c r="J834">
        <v>201210</v>
      </c>
      <c r="L834" s="19">
        <f>VLOOKUP($P834,매칭테이블!$G:$J,2,0)*H834</f>
        <v>51110</v>
      </c>
      <c r="M834" s="19">
        <f>L834-L834*VLOOKUP($P834,매칭테이블!$G:$J,3,0)</f>
        <v>48120.065000000002</v>
      </c>
      <c r="N834" s="19">
        <f>VLOOKUP($P834,매칭테이블!$G:$J,4,0)*H834</f>
        <v>6040</v>
      </c>
      <c r="O834" s="20">
        <f t="shared" si="222"/>
        <v>46463.63636363636</v>
      </c>
      <c r="P834" s="19" t="str">
        <f t="shared" si="214"/>
        <v>카페24샴푸라베나 리커버리 15 리바이탈 샴푸 [HAIR RÉ:COVERY 15 Revital Shampoo]제품선택=리바이탈 샴푸 2개 세트 5%추가할인201210</v>
      </c>
    </row>
    <row r="835" spans="2:16" x14ac:dyDescent="0.3">
      <c r="B835" s="2">
        <v>44227</v>
      </c>
      <c r="C835" s="19" t="str">
        <f t="shared" si="221"/>
        <v>일</v>
      </c>
      <c r="E835" s="17" t="str">
        <f>INDEX(매칭테이블!C:C,MATCH(RD!G835,매칭테이블!D:D,0))</f>
        <v>트리트먼트</v>
      </c>
      <c r="F835" t="s">
        <v>91</v>
      </c>
      <c r="G835" t="s">
        <v>130</v>
      </c>
      <c r="H835">
        <v>9</v>
      </c>
      <c r="I835" s="17" t="str">
        <f>VLOOKUP(G835,매칭테이블!D:E,2,0)</f>
        <v>트리트먼트</v>
      </c>
      <c r="J835">
        <v>201210</v>
      </c>
      <c r="L835" s="19">
        <f>VLOOKUP($P835,매칭테이블!$G:$J,2,0)*H835</f>
        <v>234000</v>
      </c>
      <c r="M835" s="19">
        <f>L835-L835*VLOOKUP($P835,매칭테이블!$G:$J,3,0)</f>
        <v>220311</v>
      </c>
      <c r="N835" s="19">
        <f>VLOOKUP($P835,매칭테이블!$G:$J,4,0)*H835</f>
        <v>14373</v>
      </c>
      <c r="O835" s="20">
        <f t="shared" si="222"/>
        <v>212727.27272727271</v>
      </c>
      <c r="P835" s="19" t="str">
        <f t="shared" si="214"/>
        <v>카페24트리트먼트라베나 리커버리 15 헤어팩 트리트먼트 [HAIR RÉ:COVERY 15 Hairpack Treatment]제품선택=헤어 리커버리 15 헤어팩 트리트먼트201210</v>
      </c>
    </row>
    <row r="836" spans="2:16" x14ac:dyDescent="0.3">
      <c r="B836" s="2">
        <v>44227</v>
      </c>
      <c r="C836" s="19" t="str">
        <f t="shared" si="221"/>
        <v>일</v>
      </c>
      <c r="E836" s="17" t="str">
        <f>INDEX(매칭테이블!C:C,MATCH(RD!G836,매칭테이블!D:D,0))</f>
        <v>트리트먼트</v>
      </c>
      <c r="F836" t="s">
        <v>91</v>
      </c>
      <c r="G836" t="s">
        <v>131</v>
      </c>
      <c r="H836">
        <v>1</v>
      </c>
      <c r="I836" s="17" t="str">
        <f>VLOOKUP(G836,매칭테이블!D:E,2,0)</f>
        <v>트리트먼트 2set</v>
      </c>
      <c r="J836">
        <v>201210</v>
      </c>
      <c r="L836" s="19">
        <f>VLOOKUP($P836,매칭테이블!$G:$J,2,0)*H836</f>
        <v>49400</v>
      </c>
      <c r="M836" s="19">
        <f>L836-L836*VLOOKUP($P836,매칭테이블!$G:$J,3,0)</f>
        <v>46510.1</v>
      </c>
      <c r="N836" s="19">
        <f>VLOOKUP($P836,매칭테이블!$G:$J,4,0)*H836</f>
        <v>3194</v>
      </c>
      <c r="O836" s="20">
        <f t="shared" si="222"/>
        <v>44909.090909090904</v>
      </c>
      <c r="P836" s="19" t="str">
        <f t="shared" si="214"/>
        <v>카페24트리트먼트라베나 리커버리 15 헤어팩 트리트먼트 [HAIR RÉ:COVERY 15 Hairpack Treatment]제품선택=헤어팩 트리트먼트 2개 세트 5% 추가할인201210</v>
      </c>
    </row>
    <row r="837" spans="2:16" x14ac:dyDescent="0.3">
      <c r="B837" s="2">
        <v>44228</v>
      </c>
      <c r="C837" s="19" t="str">
        <f t="shared" ref="C837" si="223">TEXT(B837,"aaa")</f>
        <v>월</v>
      </c>
      <c r="E837" s="17" t="str">
        <f>INDEX(매칭테이블!C:C,MATCH(RD!G837,매칭테이블!D:D,0))</f>
        <v>뉴트리셔스밤</v>
      </c>
      <c r="F837" t="s">
        <v>91</v>
      </c>
      <c r="G837" t="s">
        <v>124</v>
      </c>
      <c r="H837">
        <v>5</v>
      </c>
      <c r="I837" s="17" t="str">
        <f>VLOOKUP(G837,매칭테이블!D:E,2,0)</f>
        <v>뉴트리셔스밤</v>
      </c>
      <c r="J837">
        <v>210201</v>
      </c>
      <c r="L837" s="19">
        <f>VLOOKUP($P837,매칭테이블!$G:$J,2,0)*H837</f>
        <v>124500</v>
      </c>
      <c r="M837" s="19">
        <f>L837-L837*VLOOKUP($P837,매칭테이블!$G:$J,3,0)</f>
        <v>117216.75</v>
      </c>
      <c r="N837" s="19">
        <f>VLOOKUP($P837,매칭테이블!$G:$J,4,0)*H837</f>
        <v>7900</v>
      </c>
      <c r="O837" s="20">
        <f t="shared" ref="O837" si="224">L837/1.1</f>
        <v>113181.81818181818</v>
      </c>
      <c r="P837" s="19" t="str">
        <f t="shared" si="214"/>
        <v>카페24뉴트리셔스밤라베나 리커버리 15 뉴트리셔스 밤 [HAIR RÉ:COVERY 15 Nutritious Balm]제품선택=헤어 리커버리 15 뉴트리셔스 밤210201</v>
      </c>
    </row>
    <row r="838" spans="2:16" x14ac:dyDescent="0.3">
      <c r="B838" s="2">
        <v>44228</v>
      </c>
      <c r="C838" s="19" t="str">
        <f t="shared" ref="C838:C847" si="225">TEXT(B838,"aaa")</f>
        <v>월</v>
      </c>
      <c r="E838" s="17" t="str">
        <f>INDEX(매칭테이블!C:C,MATCH(RD!G838,매칭테이블!D:D,0))</f>
        <v>뉴트리셔스밤</v>
      </c>
      <c r="F838" t="s">
        <v>91</v>
      </c>
      <c r="G838" t="s">
        <v>125</v>
      </c>
      <c r="H838">
        <v>2</v>
      </c>
      <c r="I838" s="17" t="str">
        <f>VLOOKUP(G838,매칭테이블!D:E,2,0)</f>
        <v>뉴트리셔스밤 2set</v>
      </c>
      <c r="J838">
        <v>210201</v>
      </c>
      <c r="L838" s="19">
        <f>VLOOKUP($P838,매칭테이블!$G:$J,2,0)*H838</f>
        <v>94620</v>
      </c>
      <c r="M838" s="19">
        <f>L838-L838*VLOOKUP($P838,매칭테이블!$G:$J,3,0)</f>
        <v>89084.73</v>
      </c>
      <c r="N838" s="19">
        <f>VLOOKUP($P838,매칭테이블!$G:$J,4,0)*H838</f>
        <v>6320</v>
      </c>
      <c r="O838" s="20">
        <f t="shared" ref="O838:O847" si="226">L838/1.1</f>
        <v>86018.181818181809</v>
      </c>
      <c r="P838" s="19" t="str">
        <f t="shared" si="214"/>
        <v>카페24뉴트리셔스밤라베나 리커버리 15 뉴트리셔스 밤 [HAIR RÉ:COVERY 15 Nutritious Balm]제품선택=뉴트리셔스 밤 2개 세트 5% 추가할인210201</v>
      </c>
    </row>
    <row r="839" spans="2:16" x14ac:dyDescent="0.3">
      <c r="B839" s="2">
        <v>44228</v>
      </c>
      <c r="C839" s="19" t="str">
        <f t="shared" si="225"/>
        <v>월</v>
      </c>
      <c r="E839" s="17" t="str">
        <f>INDEX(매칭테이블!C:C,MATCH(RD!G839,매칭테이블!D:D,0))</f>
        <v>뉴트리셔스밤</v>
      </c>
      <c r="F839" t="s">
        <v>91</v>
      </c>
      <c r="G839" t="s">
        <v>134</v>
      </c>
      <c r="H839">
        <v>1</v>
      </c>
      <c r="I839" s="17" t="str">
        <f>VLOOKUP(G839,매칭테이블!D:E,2,0)</f>
        <v>뉴트리셔스밤 3set</v>
      </c>
      <c r="J839">
        <v>210201</v>
      </c>
      <c r="L839" s="19">
        <f>VLOOKUP($P839,매칭테이블!$G:$J,2,0)*H839</f>
        <v>67230</v>
      </c>
      <c r="M839" s="19">
        <f>L839-L839*VLOOKUP($P839,매칭테이블!$G:$J,3,0)</f>
        <v>63297.044999999998</v>
      </c>
      <c r="N839" s="19">
        <f>VLOOKUP($P839,매칭테이블!$G:$J,4,0)*H839</f>
        <v>4740</v>
      </c>
      <c r="O839" s="20">
        <f t="shared" si="226"/>
        <v>61118.181818181816</v>
      </c>
      <c r="P839" s="19" t="str">
        <f t="shared" si="214"/>
        <v>카페24뉴트리셔스밤라베나 리커버리 15 뉴트리셔스 밤 [HAIR RÉ:COVERY 15 Nutritious Balm]제품선택=뉴트리셔스 밤 3개 세트 10% 추가할인210201</v>
      </c>
    </row>
    <row r="840" spans="2:16" x14ac:dyDescent="0.3">
      <c r="B840" s="2">
        <v>44228</v>
      </c>
      <c r="C840" s="19" t="str">
        <f t="shared" si="225"/>
        <v>월</v>
      </c>
      <c r="E840" s="17" t="str">
        <f>INDEX(매칭테이블!C:C,MATCH(RD!G840,매칭테이블!D:D,0))</f>
        <v>샴푸</v>
      </c>
      <c r="F840" t="s">
        <v>91</v>
      </c>
      <c r="G840" t="s">
        <v>144</v>
      </c>
      <c r="H840">
        <v>244</v>
      </c>
      <c r="I840" s="17" t="str">
        <f>VLOOKUP(G840,매칭테이블!D:E,2,0)</f>
        <v>리바이탈 샴푸</v>
      </c>
      <c r="J840">
        <v>210201</v>
      </c>
      <c r="L840" s="19">
        <f>VLOOKUP($P840,매칭테이블!$G:$J,2,0)*H840</f>
        <v>6563600</v>
      </c>
      <c r="M840" s="19">
        <f>L840-L840*VLOOKUP($P840,매칭테이블!$G:$J,3,0)</f>
        <v>6179629.4000000004</v>
      </c>
      <c r="N840" s="19">
        <f>VLOOKUP($P840,매칭테이블!$G:$J,4,0)*H840</f>
        <v>699060</v>
      </c>
      <c r="O840" s="20">
        <f t="shared" si="226"/>
        <v>5966909.0909090908</v>
      </c>
      <c r="P840" s="19" t="str">
        <f t="shared" si="214"/>
        <v>카페24샴푸라베나 리커버리 15 리바이탈 바이오플라보노이드샴푸 [HAIR RÉ:COVERY 15 Revital Shampoo]제품선택=헤어 리커버리 15 리바이탈 샴푸 - 500ml210201</v>
      </c>
    </row>
    <row r="841" spans="2:16" x14ac:dyDescent="0.3">
      <c r="B841" s="2">
        <v>44228</v>
      </c>
      <c r="C841" s="19" t="str">
        <f t="shared" si="225"/>
        <v>월</v>
      </c>
      <c r="E841" s="17" t="str">
        <f>INDEX(매칭테이블!C:C,MATCH(RD!G841,매칭테이블!D:D,0))</f>
        <v>샴푸</v>
      </c>
      <c r="F841" t="s">
        <v>91</v>
      </c>
      <c r="G841" t="s">
        <v>145</v>
      </c>
      <c r="H841">
        <v>60</v>
      </c>
      <c r="I841" s="17" t="str">
        <f>VLOOKUP(G841,매칭테이블!D:E,2,0)</f>
        <v>리바이탈 샴푸 2set</v>
      </c>
      <c r="J841">
        <v>210201</v>
      </c>
      <c r="L841" s="19">
        <f>VLOOKUP($P841,매칭테이블!$G:$J,2,0)*H841</f>
        <v>3066600</v>
      </c>
      <c r="M841" s="19">
        <f>L841-L841*VLOOKUP($P841,매칭테이블!$G:$J,3,0)</f>
        <v>2887203.9</v>
      </c>
      <c r="N841" s="19">
        <f>VLOOKUP($P841,매칭테이블!$G:$J,4,0)*H841</f>
        <v>343800</v>
      </c>
      <c r="O841" s="20">
        <f t="shared" si="226"/>
        <v>2787818.1818181816</v>
      </c>
      <c r="P841" s="19" t="str">
        <f t="shared" si="214"/>
        <v>카페24샴푸라베나 리커버리 15 리바이탈 바이오플라보노이드샴푸 [HAIR RÉ:COVERY 15 Revital Shampoo]제품선택=리바이탈 샴푸 2개 세트 5%추가할인210201</v>
      </c>
    </row>
    <row r="842" spans="2:16" x14ac:dyDescent="0.3">
      <c r="B842" s="2">
        <v>44228</v>
      </c>
      <c r="C842" s="19" t="str">
        <f t="shared" si="225"/>
        <v>월</v>
      </c>
      <c r="E842" s="17" t="str">
        <f>INDEX(매칭테이블!C:C,MATCH(RD!G842,매칭테이블!D:D,0))</f>
        <v>샴푸</v>
      </c>
      <c r="F842" t="s">
        <v>91</v>
      </c>
      <c r="G842" t="s">
        <v>146</v>
      </c>
      <c r="H842">
        <v>24</v>
      </c>
      <c r="I842" s="17" t="str">
        <f>VLOOKUP(G842,매칭테이블!D:E,2,0)</f>
        <v>리바이탈 샴푸 3set</v>
      </c>
      <c r="J842">
        <v>210201</v>
      </c>
      <c r="L842" s="19">
        <f>VLOOKUP($P842,매칭테이블!$G:$J,2,0)*H842</f>
        <v>1743120</v>
      </c>
      <c r="M842" s="19">
        <f>L842-L842*VLOOKUP($P842,매칭테이블!$G:$J,3,0)</f>
        <v>1641147.48</v>
      </c>
      <c r="N842" s="19">
        <f>VLOOKUP($P842,매칭테이블!$G:$J,4,0)*H842</f>
        <v>206280</v>
      </c>
      <c r="O842" s="20">
        <f t="shared" si="226"/>
        <v>1584654.5454545454</v>
      </c>
      <c r="P842" s="19" t="str">
        <f t="shared" si="214"/>
        <v>카페24샴푸라베나 리커버리 15 리바이탈 바이오플라보노이드샴푸 [HAIR RÉ:COVERY 15 Revital Shampoo]제품선택=리바이탈 샴푸 3개 세트 10% 추가할인210201</v>
      </c>
    </row>
    <row r="843" spans="2:16" x14ac:dyDescent="0.3">
      <c r="B843" s="2">
        <v>44228</v>
      </c>
      <c r="C843" s="19" t="str">
        <f t="shared" si="225"/>
        <v>월</v>
      </c>
      <c r="E843" s="17" t="str">
        <f>INDEX(매칭테이블!C:C,MATCH(RD!G843,매칭테이블!D:D,0))</f>
        <v>샴푸</v>
      </c>
      <c r="F843" t="s">
        <v>91</v>
      </c>
      <c r="G843" t="s">
        <v>127</v>
      </c>
      <c r="H843">
        <v>5</v>
      </c>
      <c r="I843" s="17" t="str">
        <f>VLOOKUP(G843,매칭테이블!D:E,2,0)</f>
        <v>리바이탈 샴푸</v>
      </c>
      <c r="J843">
        <v>210201</v>
      </c>
      <c r="L843" s="19">
        <f>VLOOKUP($P843,매칭테이블!$G:$J,2,0)*H843</f>
        <v>134500</v>
      </c>
      <c r="M843" s="19">
        <f>L843-L843*VLOOKUP($P843,매칭테이블!$G:$J,3,0)</f>
        <v>126631.75</v>
      </c>
      <c r="N843" s="19">
        <f>VLOOKUP($P843,매칭테이블!$G:$J,4,0)*H843</f>
        <v>14325</v>
      </c>
      <c r="O843" s="20">
        <f t="shared" si="226"/>
        <v>122272.72727272726</v>
      </c>
      <c r="P843" s="19" t="str">
        <f t="shared" si="214"/>
        <v>카페24샴푸라베나 리커버리 15 리바이탈 샴푸 [HAIR RÉ:COVERY 15 Revital Shampoo]제품선택=헤어 리커버리 15 리바이탈 샴푸 - 500ml210201</v>
      </c>
    </row>
    <row r="844" spans="2:16" x14ac:dyDescent="0.3">
      <c r="B844" s="2">
        <v>44228</v>
      </c>
      <c r="C844" s="19" t="str">
        <f t="shared" si="225"/>
        <v>월</v>
      </c>
      <c r="E844" s="17" t="str">
        <f>INDEX(매칭테이블!C:C,MATCH(RD!G844,매칭테이블!D:D,0))</f>
        <v>트리트먼트</v>
      </c>
      <c r="F844" t="s">
        <v>91</v>
      </c>
      <c r="G844" t="s">
        <v>130</v>
      </c>
      <c r="H844">
        <v>5</v>
      </c>
      <c r="I844" s="17" t="str">
        <f>VLOOKUP(G844,매칭테이블!D:E,2,0)</f>
        <v>트리트먼트</v>
      </c>
      <c r="J844">
        <v>210201</v>
      </c>
      <c r="L844" s="19">
        <f>VLOOKUP($P844,매칭테이블!$G:$J,2,0)*H844</f>
        <v>130000</v>
      </c>
      <c r="M844" s="19">
        <f>L844-L844*VLOOKUP($P844,매칭테이블!$G:$J,3,0)</f>
        <v>122395</v>
      </c>
      <c r="N844" s="19">
        <f>VLOOKUP($P844,매칭테이블!$G:$J,4,0)*H844</f>
        <v>7985</v>
      </c>
      <c r="O844" s="20">
        <f t="shared" si="226"/>
        <v>118181.81818181818</v>
      </c>
      <c r="P844" s="19" t="str">
        <f t="shared" si="214"/>
        <v>카페24트리트먼트라베나 리커버리 15 헤어팩 트리트먼트 [HAIR RÉ:COVERY 15 Hairpack Treatment]제품선택=헤어 리커버리 15 헤어팩 트리트먼트210201</v>
      </c>
    </row>
    <row r="845" spans="2:16" x14ac:dyDescent="0.3">
      <c r="B845" s="2">
        <v>44228</v>
      </c>
      <c r="C845" s="19" t="str">
        <f t="shared" si="225"/>
        <v>월</v>
      </c>
      <c r="E845" s="17" t="str">
        <f>INDEX(매칭테이블!C:C,MATCH(RD!G845,매칭테이블!D:D,0))</f>
        <v>트리트먼트</v>
      </c>
      <c r="F845" t="s">
        <v>91</v>
      </c>
      <c r="G845" t="s">
        <v>131</v>
      </c>
      <c r="H845">
        <v>4</v>
      </c>
      <c r="I845" s="17" t="str">
        <f>VLOOKUP(G845,매칭테이블!D:E,2,0)</f>
        <v>트리트먼트 2set</v>
      </c>
      <c r="J845">
        <v>210201</v>
      </c>
      <c r="L845" s="19">
        <f>VLOOKUP($P845,매칭테이블!$G:$J,2,0)*H845</f>
        <v>197600</v>
      </c>
      <c r="M845" s="19">
        <f>L845-L845*VLOOKUP($P845,매칭테이블!$G:$J,3,0)</f>
        <v>186040.4</v>
      </c>
      <c r="N845" s="19">
        <f>VLOOKUP($P845,매칭테이블!$G:$J,4,0)*H845</f>
        <v>12776</v>
      </c>
      <c r="O845" s="20">
        <f t="shared" si="226"/>
        <v>179636.36363636362</v>
      </c>
      <c r="P845" s="19" t="str">
        <f t="shared" si="214"/>
        <v>카페24트리트먼트라베나 리커버리 15 헤어팩 트리트먼트 [HAIR RÉ:COVERY 15 Hairpack Treatment]제품선택=헤어팩 트리트먼트 2개 세트 5% 추가할인210201</v>
      </c>
    </row>
    <row r="846" spans="2:16" x14ac:dyDescent="0.3">
      <c r="B846" s="2">
        <v>44228</v>
      </c>
      <c r="C846" s="19" t="str">
        <f t="shared" si="225"/>
        <v>월</v>
      </c>
      <c r="E846" s="17" t="str">
        <f>INDEX(매칭테이블!C:C,MATCH(RD!G846,매칭테이블!D:D,0))</f>
        <v>트리트먼트</v>
      </c>
      <c r="F846" t="s">
        <v>91</v>
      </c>
      <c r="G846" t="s">
        <v>132</v>
      </c>
      <c r="H846">
        <v>2</v>
      </c>
      <c r="I846" s="17" t="str">
        <f>VLOOKUP(G846,매칭테이블!D:E,2,0)</f>
        <v>트리트먼트 3set</v>
      </c>
      <c r="J846">
        <v>210201</v>
      </c>
      <c r="L846" s="19">
        <f>VLOOKUP($P846,매칭테이블!$G:$J,2,0)*H846</f>
        <v>140400</v>
      </c>
      <c r="M846" s="19">
        <f>L846-L846*VLOOKUP($P846,매칭테이블!$G:$J,3,0)</f>
        <v>132186.6</v>
      </c>
      <c r="N846" s="19">
        <f>VLOOKUP($P846,매칭테이블!$G:$J,4,0)*H846</f>
        <v>9582</v>
      </c>
      <c r="O846" s="20">
        <f t="shared" si="226"/>
        <v>127636.36363636363</v>
      </c>
      <c r="P846" s="19" t="str">
        <f t="shared" si="214"/>
        <v>카페24트리트먼트라베나 리커버리 15 헤어팩 트리트먼트 [HAIR RÉ:COVERY 15 Hairpack Treatment]제품선택=헤어팩 트리트먼트 3개 세트 10% 추가할인210201</v>
      </c>
    </row>
    <row r="847" spans="2:16" x14ac:dyDescent="0.3">
      <c r="B847" s="2">
        <v>44228</v>
      </c>
      <c r="C847" s="19" t="str">
        <f t="shared" si="225"/>
        <v>월</v>
      </c>
      <c r="E847" s="17" t="str">
        <f>INDEX(매칭테이블!C:C,MATCH(RD!G847,매칭테이블!D:D,0))</f>
        <v>샴푸</v>
      </c>
      <c r="F847" t="s">
        <v>91</v>
      </c>
      <c r="G847" t="s">
        <v>123</v>
      </c>
      <c r="H847">
        <v>1</v>
      </c>
      <c r="I847" s="17" t="str">
        <f>VLOOKUP(G847,매칭테이블!D:E,2,0)</f>
        <v>리바이탈 샴푸</v>
      </c>
      <c r="J847">
        <v>210201</v>
      </c>
      <c r="L847" s="19">
        <f>VLOOKUP($P847,매칭테이블!$G:$J,2,0)*H847</f>
        <v>26900</v>
      </c>
      <c r="M847" s="19">
        <f>L847-L847*VLOOKUP($P847,매칭테이블!$G:$J,3,0)</f>
        <v>25326.35</v>
      </c>
      <c r="N847" s="19">
        <f>VLOOKUP($P847,매칭테이블!$G:$J,4,0)*H847</f>
        <v>2865</v>
      </c>
      <c r="O847" s="20">
        <f t="shared" si="226"/>
        <v>24454.545454545452</v>
      </c>
      <c r="P847" s="19" t="str">
        <f t="shared" si="214"/>
        <v>카페24샴푸헤어 리커버리 15 리바이탈 샴푸210201</v>
      </c>
    </row>
    <row r="848" spans="2:16" x14ac:dyDescent="0.3">
      <c r="B848" s="2">
        <v>44229</v>
      </c>
      <c r="C848" s="19" t="str">
        <f t="shared" ref="C848" si="227">TEXT(B848,"aaa")</f>
        <v>화</v>
      </c>
      <c r="E848" s="17" t="str">
        <f>INDEX(매칭테이블!C:C,MATCH(RD!G848,매칭테이블!D:D,0))</f>
        <v>뉴트리셔스밤</v>
      </c>
      <c r="F848" t="s">
        <v>91</v>
      </c>
      <c r="G848" t="s">
        <v>124</v>
      </c>
      <c r="H848">
        <v>9</v>
      </c>
      <c r="I848" s="17" t="str">
        <f>VLOOKUP(G848,매칭테이블!D:E,2,0)</f>
        <v>뉴트리셔스밤</v>
      </c>
      <c r="J848">
        <v>210201</v>
      </c>
      <c r="L848" s="19">
        <f>VLOOKUP($P848,매칭테이블!$G:$J,2,0)*H848</f>
        <v>224100</v>
      </c>
      <c r="M848" s="19">
        <f>L848-L848*VLOOKUP($P848,매칭테이블!$G:$J,3,0)</f>
        <v>210990.15</v>
      </c>
      <c r="N848" s="19">
        <f>VLOOKUP($P848,매칭테이블!$G:$J,4,0)*H848</f>
        <v>14220</v>
      </c>
      <c r="O848" s="20">
        <f t="shared" ref="O848" si="228">L848/1.1</f>
        <v>203727.27272727271</v>
      </c>
      <c r="P848" s="19" t="str">
        <f t="shared" si="214"/>
        <v>카페24뉴트리셔스밤라베나 리커버리 15 뉴트리셔스 밤 [HAIR RÉ:COVERY 15 Nutritious Balm]제품선택=헤어 리커버리 15 뉴트리셔스 밤210201</v>
      </c>
    </row>
    <row r="849" spans="2:16" x14ac:dyDescent="0.3">
      <c r="B849" s="2">
        <v>44229</v>
      </c>
      <c r="C849" s="19" t="str">
        <f t="shared" ref="C849:C856" si="229">TEXT(B849,"aaa")</f>
        <v>화</v>
      </c>
      <c r="E849" s="17" t="str">
        <f>INDEX(매칭테이블!C:C,MATCH(RD!G849,매칭테이블!D:D,0))</f>
        <v>샴푸</v>
      </c>
      <c r="F849" t="s">
        <v>91</v>
      </c>
      <c r="G849" t="s">
        <v>144</v>
      </c>
      <c r="H849">
        <v>231</v>
      </c>
      <c r="I849" s="17" t="str">
        <f>VLOOKUP(G849,매칭테이블!D:E,2,0)</f>
        <v>리바이탈 샴푸</v>
      </c>
      <c r="J849">
        <v>210201</v>
      </c>
      <c r="L849" s="19">
        <f>VLOOKUP($P849,매칭테이블!$G:$J,2,0)*H849</f>
        <v>6213900</v>
      </c>
      <c r="M849" s="19">
        <f>L849-L849*VLOOKUP($P849,매칭테이블!$G:$J,3,0)</f>
        <v>5850386.8499999996</v>
      </c>
      <c r="N849" s="19">
        <f>VLOOKUP($P849,매칭테이블!$G:$J,4,0)*H849</f>
        <v>661815</v>
      </c>
      <c r="O849" s="20">
        <f t="shared" ref="O849:O856" si="230">L849/1.1</f>
        <v>5649000</v>
      </c>
      <c r="P849" s="19" t="str">
        <f t="shared" si="214"/>
        <v>카페24샴푸라베나 리커버리 15 리바이탈 바이오플라보노이드샴푸 [HAIR RÉ:COVERY 15 Revital Shampoo]제품선택=헤어 리커버리 15 리바이탈 샴푸 - 500ml210201</v>
      </c>
    </row>
    <row r="850" spans="2:16" x14ac:dyDescent="0.3">
      <c r="B850" s="2">
        <v>44229</v>
      </c>
      <c r="C850" s="19" t="str">
        <f t="shared" si="229"/>
        <v>화</v>
      </c>
      <c r="E850" s="17" t="str">
        <f>INDEX(매칭테이블!C:C,MATCH(RD!G850,매칭테이블!D:D,0))</f>
        <v>샴푸</v>
      </c>
      <c r="F850" t="s">
        <v>91</v>
      </c>
      <c r="G850" t="s">
        <v>145</v>
      </c>
      <c r="H850">
        <v>71</v>
      </c>
      <c r="I850" s="17" t="str">
        <f>VLOOKUP(G850,매칭테이블!D:E,2,0)</f>
        <v>리바이탈 샴푸 2set</v>
      </c>
      <c r="J850">
        <v>210201</v>
      </c>
      <c r="L850" s="19">
        <f>VLOOKUP($P850,매칭테이블!$G:$J,2,0)*H850</f>
        <v>3628810</v>
      </c>
      <c r="M850" s="19">
        <f>L850-L850*VLOOKUP($P850,매칭테이블!$G:$J,3,0)</f>
        <v>3416524.6150000002</v>
      </c>
      <c r="N850" s="19">
        <f>VLOOKUP($P850,매칭테이블!$G:$J,4,0)*H850</f>
        <v>406830</v>
      </c>
      <c r="O850" s="20">
        <f t="shared" si="230"/>
        <v>3298918.1818181816</v>
      </c>
      <c r="P850" s="19" t="str">
        <f t="shared" si="214"/>
        <v>카페24샴푸라베나 리커버리 15 리바이탈 바이오플라보노이드샴푸 [HAIR RÉ:COVERY 15 Revital Shampoo]제품선택=리바이탈 샴푸 2개 세트 5%추가할인210201</v>
      </c>
    </row>
    <row r="851" spans="2:16" x14ac:dyDescent="0.3">
      <c r="B851" s="2">
        <v>44229</v>
      </c>
      <c r="C851" s="19" t="str">
        <f t="shared" si="229"/>
        <v>화</v>
      </c>
      <c r="E851" s="17" t="str">
        <f>INDEX(매칭테이블!C:C,MATCH(RD!G851,매칭테이블!D:D,0))</f>
        <v>샴푸</v>
      </c>
      <c r="F851" t="s">
        <v>91</v>
      </c>
      <c r="G851" t="s">
        <v>146</v>
      </c>
      <c r="H851">
        <v>16</v>
      </c>
      <c r="I851" s="17" t="str">
        <f>VLOOKUP(G851,매칭테이블!D:E,2,0)</f>
        <v>리바이탈 샴푸 3set</v>
      </c>
      <c r="J851">
        <v>210201</v>
      </c>
      <c r="L851" s="19">
        <f>VLOOKUP($P851,매칭테이블!$G:$J,2,0)*H851</f>
        <v>1162080</v>
      </c>
      <c r="M851" s="19">
        <f>L851-L851*VLOOKUP($P851,매칭테이블!$G:$J,3,0)</f>
        <v>1094098.32</v>
      </c>
      <c r="N851" s="19">
        <f>VLOOKUP($P851,매칭테이블!$G:$J,4,0)*H851</f>
        <v>137520</v>
      </c>
      <c r="O851" s="20">
        <f t="shared" si="230"/>
        <v>1056436.3636363635</v>
      </c>
      <c r="P851" s="19" t="str">
        <f t="shared" si="214"/>
        <v>카페24샴푸라베나 리커버리 15 리바이탈 바이오플라보노이드샴푸 [HAIR RÉ:COVERY 15 Revital Shampoo]제품선택=리바이탈 샴푸 3개 세트 10% 추가할인210201</v>
      </c>
    </row>
    <row r="852" spans="2:16" x14ac:dyDescent="0.3">
      <c r="B852" s="2">
        <v>44229</v>
      </c>
      <c r="C852" s="19" t="str">
        <f t="shared" si="229"/>
        <v>화</v>
      </c>
      <c r="E852" s="17" t="str">
        <f>INDEX(매칭테이블!C:C,MATCH(RD!G852,매칭테이블!D:D,0))</f>
        <v>트리트먼트</v>
      </c>
      <c r="F852" t="s">
        <v>91</v>
      </c>
      <c r="G852" t="s">
        <v>130</v>
      </c>
      <c r="H852">
        <v>6</v>
      </c>
      <c r="I852" s="17" t="str">
        <f>VLOOKUP(G852,매칭테이블!D:E,2,0)</f>
        <v>트리트먼트</v>
      </c>
      <c r="J852">
        <v>210201</v>
      </c>
      <c r="L852" s="19">
        <f>VLOOKUP($P852,매칭테이블!$G:$J,2,0)*H852</f>
        <v>156000</v>
      </c>
      <c r="M852" s="19">
        <f>L852-L852*VLOOKUP($P852,매칭테이블!$G:$J,3,0)</f>
        <v>146874</v>
      </c>
      <c r="N852" s="19">
        <f>VLOOKUP($P852,매칭테이블!$G:$J,4,0)*H852</f>
        <v>9582</v>
      </c>
      <c r="O852" s="20">
        <f t="shared" si="230"/>
        <v>141818.18181818179</v>
      </c>
      <c r="P852" s="19" t="str">
        <f t="shared" si="214"/>
        <v>카페24트리트먼트라베나 리커버리 15 헤어팩 트리트먼트 [HAIR RÉ:COVERY 15 Hairpack Treatment]제품선택=헤어 리커버리 15 헤어팩 트리트먼트210201</v>
      </c>
    </row>
    <row r="853" spans="2:16" x14ac:dyDescent="0.3">
      <c r="B853" s="2">
        <v>44229</v>
      </c>
      <c r="C853" s="19" t="str">
        <f t="shared" si="229"/>
        <v>화</v>
      </c>
      <c r="E853" s="17" t="str">
        <f>INDEX(매칭테이블!C:C,MATCH(RD!G853,매칭테이블!D:D,0))</f>
        <v>트리트먼트</v>
      </c>
      <c r="F853" t="s">
        <v>91</v>
      </c>
      <c r="G853" t="s">
        <v>131</v>
      </c>
      <c r="H853">
        <v>1</v>
      </c>
      <c r="I853" s="17" t="str">
        <f>VLOOKUP(G853,매칭테이블!D:E,2,0)</f>
        <v>트리트먼트 2set</v>
      </c>
      <c r="J853">
        <v>210201</v>
      </c>
      <c r="L853" s="19">
        <f>VLOOKUP($P853,매칭테이블!$G:$J,2,0)*H853</f>
        <v>49400</v>
      </c>
      <c r="M853" s="19">
        <f>L853-L853*VLOOKUP($P853,매칭테이블!$G:$J,3,0)</f>
        <v>46510.1</v>
      </c>
      <c r="N853" s="19">
        <f>VLOOKUP($P853,매칭테이블!$G:$J,4,0)*H853</f>
        <v>3194</v>
      </c>
      <c r="O853" s="20">
        <f t="shared" si="230"/>
        <v>44909.090909090904</v>
      </c>
      <c r="P853" s="19" t="str">
        <f t="shared" si="214"/>
        <v>카페24트리트먼트라베나 리커버리 15 헤어팩 트리트먼트 [HAIR RÉ:COVERY 15 Hairpack Treatment]제품선택=헤어팩 트리트먼트 2개 세트 5% 추가할인210201</v>
      </c>
    </row>
    <row r="854" spans="2:16" x14ac:dyDescent="0.3">
      <c r="B854" s="2">
        <v>44229</v>
      </c>
      <c r="C854" s="19" t="str">
        <f t="shared" si="229"/>
        <v>화</v>
      </c>
      <c r="E854" s="17" t="str">
        <f>INDEX(매칭테이블!C:C,MATCH(RD!G854,매칭테이블!D:D,0))</f>
        <v>트리트먼트</v>
      </c>
      <c r="F854" t="s">
        <v>91</v>
      </c>
      <c r="G854" t="s">
        <v>132</v>
      </c>
      <c r="H854">
        <v>1</v>
      </c>
      <c r="I854" s="17" t="str">
        <f>VLOOKUP(G854,매칭테이블!D:E,2,0)</f>
        <v>트리트먼트 3set</v>
      </c>
      <c r="J854">
        <v>210201</v>
      </c>
      <c r="L854" s="19">
        <f>VLOOKUP($P854,매칭테이블!$G:$J,2,0)*H854</f>
        <v>70200</v>
      </c>
      <c r="M854" s="19">
        <f>L854-L854*VLOOKUP($P854,매칭테이블!$G:$J,3,0)</f>
        <v>66093.3</v>
      </c>
      <c r="N854" s="19">
        <f>VLOOKUP($P854,매칭테이블!$G:$J,4,0)*H854</f>
        <v>4791</v>
      </c>
      <c r="O854" s="20">
        <f t="shared" si="230"/>
        <v>63818.181818181816</v>
      </c>
      <c r="P854" s="19" t="str">
        <f t="shared" si="214"/>
        <v>카페24트리트먼트라베나 리커버리 15 헤어팩 트리트먼트 [HAIR RÉ:COVERY 15 Hairpack Treatment]제품선택=헤어팩 트리트먼트 3개 세트 10% 추가할인210201</v>
      </c>
    </row>
    <row r="855" spans="2:16" x14ac:dyDescent="0.3">
      <c r="B855" s="2">
        <v>44229</v>
      </c>
      <c r="C855" s="19" t="str">
        <f t="shared" si="229"/>
        <v>화</v>
      </c>
      <c r="E855" s="17" t="str">
        <f>INDEX(매칭테이블!C:C,MATCH(RD!G855,매칭테이블!D:D,0))</f>
        <v>트리트먼트</v>
      </c>
      <c r="F855" t="s">
        <v>91</v>
      </c>
      <c r="G855" t="s">
        <v>133</v>
      </c>
      <c r="H855">
        <v>4</v>
      </c>
      <c r="I855" s="17" t="str">
        <f>VLOOKUP(G855,매칭테이블!D:E,2,0)</f>
        <v>트리트먼트+뉴트리셔스밤</v>
      </c>
      <c r="J855">
        <v>210201</v>
      </c>
      <c r="L855" s="19">
        <f>VLOOKUP($P855,매칭테이블!$G:$J,2,0)*H855</f>
        <v>193420</v>
      </c>
      <c r="M855" s="19">
        <f>L855-L855*VLOOKUP($P855,매칭테이블!$G:$J,3,0)</f>
        <v>182104.93</v>
      </c>
      <c r="N855" s="19">
        <f>VLOOKUP($P855,매칭테이블!$G:$J,4,0)*H855</f>
        <v>12708</v>
      </c>
      <c r="O855" s="20">
        <f t="shared" si="230"/>
        <v>175836.36363636362</v>
      </c>
      <c r="P855" s="19" t="str">
        <f t="shared" si="214"/>
        <v>카페24트리트먼트라베나 리커버리 15 헤어팩 트리트먼트 [HAIR RÉ:COVERY 15 Hairpack Treatment]제품선택=헤어팩 트리트먼트 1개 + 뉴트리셔스밤 1개 세트 5% 추가할인210201</v>
      </c>
    </row>
    <row r="856" spans="2:16" x14ac:dyDescent="0.3">
      <c r="B856" s="2">
        <v>44229</v>
      </c>
      <c r="C856" s="19" t="str">
        <f t="shared" si="229"/>
        <v>화</v>
      </c>
      <c r="E856" s="17" t="str">
        <f>INDEX(매칭테이블!C:C,MATCH(RD!G856,매칭테이블!D:D,0))</f>
        <v>샴푸</v>
      </c>
      <c r="F856" t="s">
        <v>91</v>
      </c>
      <c r="G856" t="s">
        <v>123</v>
      </c>
      <c r="H856">
        <v>2</v>
      </c>
      <c r="I856" s="17" t="str">
        <f>VLOOKUP(G856,매칭테이블!D:E,2,0)</f>
        <v>리바이탈 샴푸</v>
      </c>
      <c r="J856">
        <v>210201</v>
      </c>
      <c r="L856" s="19">
        <f>VLOOKUP($P856,매칭테이블!$G:$J,2,0)*H856</f>
        <v>53800</v>
      </c>
      <c r="M856" s="19">
        <f>L856-L856*VLOOKUP($P856,매칭테이블!$G:$J,3,0)</f>
        <v>50652.7</v>
      </c>
      <c r="N856" s="19">
        <f>VLOOKUP($P856,매칭테이블!$G:$J,4,0)*H856</f>
        <v>5730</v>
      </c>
      <c r="O856" s="20">
        <f t="shared" si="230"/>
        <v>48909.090909090904</v>
      </c>
      <c r="P856" s="19" t="str">
        <f t="shared" si="214"/>
        <v>카페24샴푸헤어 리커버리 15 리바이탈 샴푸210201</v>
      </c>
    </row>
    <row r="857" spans="2:16" x14ac:dyDescent="0.3">
      <c r="B857" s="2">
        <v>44230</v>
      </c>
      <c r="C857" s="19" t="str">
        <f t="shared" ref="C857" si="231">TEXT(B857,"aaa")</f>
        <v>수</v>
      </c>
      <c r="E857" s="17" t="str">
        <f>INDEX(매칭테이블!C:C,MATCH(RD!G857,매칭테이블!D:D,0))</f>
        <v>뉴트리셔스밤</v>
      </c>
      <c r="F857" t="s">
        <v>91</v>
      </c>
      <c r="G857" t="s">
        <v>124</v>
      </c>
      <c r="H857">
        <v>3</v>
      </c>
      <c r="I857" s="17" t="str">
        <f>VLOOKUP(G857,매칭테이블!D:E,2,0)</f>
        <v>뉴트리셔스밤</v>
      </c>
      <c r="J857">
        <v>210201</v>
      </c>
      <c r="L857" s="19">
        <f>VLOOKUP($P857,매칭테이블!$G:$J,2,0)*H857</f>
        <v>74700</v>
      </c>
      <c r="M857" s="19">
        <f>L857-L857*VLOOKUP($P857,매칭테이블!$G:$J,3,0)</f>
        <v>70330.05</v>
      </c>
      <c r="N857" s="19">
        <f>VLOOKUP($P857,매칭테이블!$G:$J,4,0)*H857</f>
        <v>4740</v>
      </c>
      <c r="O857" s="20">
        <f t="shared" ref="O857" si="232">L857/1.1</f>
        <v>67909.090909090897</v>
      </c>
      <c r="P857" s="19" t="str">
        <f t="shared" si="214"/>
        <v>카페24뉴트리셔스밤라베나 리커버리 15 뉴트리셔스 밤 [HAIR RÉ:COVERY 15 Nutritious Balm]제품선택=헤어 리커버리 15 뉴트리셔스 밤210201</v>
      </c>
    </row>
    <row r="858" spans="2:16" x14ac:dyDescent="0.3">
      <c r="B858" s="2">
        <v>44230</v>
      </c>
      <c r="C858" s="19" t="str">
        <f t="shared" ref="C858:C865" si="233">TEXT(B858,"aaa")</f>
        <v>수</v>
      </c>
      <c r="E858" s="17" t="str">
        <f>INDEX(매칭테이블!C:C,MATCH(RD!G858,매칭테이블!D:D,0))</f>
        <v>샴푸</v>
      </c>
      <c r="F858" t="s">
        <v>91</v>
      </c>
      <c r="G858" t="s">
        <v>144</v>
      </c>
      <c r="H858">
        <v>162</v>
      </c>
      <c r="I858" s="17" t="str">
        <f>VLOOKUP(G858,매칭테이블!D:E,2,0)</f>
        <v>리바이탈 샴푸</v>
      </c>
      <c r="J858">
        <v>210201</v>
      </c>
      <c r="L858" s="19">
        <f>VLOOKUP($P858,매칭테이블!$G:$J,2,0)*H858</f>
        <v>4357800</v>
      </c>
      <c r="M858" s="19">
        <f>L858-L858*VLOOKUP($P858,매칭테이블!$G:$J,3,0)</f>
        <v>4102868.7</v>
      </c>
      <c r="N858" s="19">
        <f>VLOOKUP($P858,매칭테이블!$G:$J,4,0)*H858</f>
        <v>464130</v>
      </c>
      <c r="O858" s="20">
        <f t="shared" ref="O858:O865" si="234">L858/1.1</f>
        <v>3961636.3636363633</v>
      </c>
      <c r="P858" s="19" t="str">
        <f t="shared" si="214"/>
        <v>카페24샴푸라베나 리커버리 15 리바이탈 바이오플라보노이드샴푸 [HAIR RÉ:COVERY 15 Revital Shampoo]제품선택=헤어 리커버리 15 리바이탈 샴푸 - 500ml210201</v>
      </c>
    </row>
    <row r="859" spans="2:16" x14ac:dyDescent="0.3">
      <c r="B859" s="2">
        <v>44230</v>
      </c>
      <c r="C859" s="19" t="str">
        <f t="shared" si="233"/>
        <v>수</v>
      </c>
      <c r="E859" s="17" t="str">
        <f>INDEX(매칭테이블!C:C,MATCH(RD!G859,매칭테이블!D:D,0))</f>
        <v>샴푸</v>
      </c>
      <c r="F859" t="s">
        <v>91</v>
      </c>
      <c r="G859" t="s">
        <v>145</v>
      </c>
      <c r="H859">
        <v>39</v>
      </c>
      <c r="I859" s="17" t="str">
        <f>VLOOKUP(G859,매칭테이블!D:E,2,0)</f>
        <v>리바이탈 샴푸 2set</v>
      </c>
      <c r="J859">
        <v>210201</v>
      </c>
      <c r="L859" s="19">
        <f>VLOOKUP($P859,매칭테이블!$G:$J,2,0)*H859</f>
        <v>1993290</v>
      </c>
      <c r="M859" s="19">
        <f>L859-L859*VLOOKUP($P859,매칭테이블!$G:$J,3,0)</f>
        <v>1876682.5349999999</v>
      </c>
      <c r="N859" s="19">
        <f>VLOOKUP($P859,매칭테이블!$G:$J,4,0)*H859</f>
        <v>223470</v>
      </c>
      <c r="O859" s="20">
        <f t="shared" si="234"/>
        <v>1812081.8181818181</v>
      </c>
      <c r="P859" s="19" t="str">
        <f t="shared" si="214"/>
        <v>카페24샴푸라베나 리커버리 15 리바이탈 바이오플라보노이드샴푸 [HAIR RÉ:COVERY 15 Revital Shampoo]제품선택=리바이탈 샴푸 2개 세트 5%추가할인210201</v>
      </c>
    </row>
    <row r="860" spans="2:16" x14ac:dyDescent="0.3">
      <c r="B860" s="2">
        <v>44230</v>
      </c>
      <c r="C860" s="19" t="str">
        <f t="shared" si="233"/>
        <v>수</v>
      </c>
      <c r="E860" s="17" t="str">
        <f>INDEX(매칭테이블!C:C,MATCH(RD!G860,매칭테이블!D:D,0))</f>
        <v>샴푸</v>
      </c>
      <c r="F860" t="s">
        <v>91</v>
      </c>
      <c r="G860" t="s">
        <v>146</v>
      </c>
      <c r="H860">
        <v>19</v>
      </c>
      <c r="I860" s="17" t="str">
        <f>VLOOKUP(G860,매칭테이블!D:E,2,0)</f>
        <v>리바이탈 샴푸 3set</v>
      </c>
      <c r="J860">
        <v>210201</v>
      </c>
      <c r="L860" s="19">
        <f>VLOOKUP($P860,매칭테이블!$G:$J,2,0)*H860</f>
        <v>1379970</v>
      </c>
      <c r="M860" s="19">
        <f>L860-L860*VLOOKUP($P860,매칭테이블!$G:$J,3,0)</f>
        <v>1299241.7549999999</v>
      </c>
      <c r="N860" s="19">
        <f>VLOOKUP($P860,매칭테이블!$G:$J,4,0)*H860</f>
        <v>163305</v>
      </c>
      <c r="O860" s="20">
        <f t="shared" si="234"/>
        <v>1254518.1818181816</v>
      </c>
      <c r="P860" s="19" t="str">
        <f t="shared" si="214"/>
        <v>카페24샴푸라베나 리커버리 15 리바이탈 바이오플라보노이드샴푸 [HAIR RÉ:COVERY 15 Revital Shampoo]제품선택=리바이탈 샴푸 3개 세트 10% 추가할인210201</v>
      </c>
    </row>
    <row r="861" spans="2:16" x14ac:dyDescent="0.3">
      <c r="B861" s="2">
        <v>44230</v>
      </c>
      <c r="C861" s="19" t="str">
        <f t="shared" si="233"/>
        <v>수</v>
      </c>
      <c r="E861" s="17" t="str">
        <f>INDEX(매칭테이블!C:C,MATCH(RD!G861,매칭테이블!D:D,0))</f>
        <v>트리트먼트</v>
      </c>
      <c r="F861" t="s">
        <v>91</v>
      </c>
      <c r="G861" t="s">
        <v>130</v>
      </c>
      <c r="H861">
        <v>7</v>
      </c>
      <c r="I861" s="17" t="str">
        <f>VLOOKUP(G861,매칭테이블!D:E,2,0)</f>
        <v>트리트먼트</v>
      </c>
      <c r="J861">
        <v>210201</v>
      </c>
      <c r="L861" s="19">
        <f>VLOOKUP($P861,매칭테이블!$G:$J,2,0)*H861</f>
        <v>182000</v>
      </c>
      <c r="M861" s="19">
        <f>L861-L861*VLOOKUP($P861,매칭테이블!$G:$J,3,0)</f>
        <v>171353</v>
      </c>
      <c r="N861" s="19">
        <f>VLOOKUP($P861,매칭테이블!$G:$J,4,0)*H861</f>
        <v>11179</v>
      </c>
      <c r="O861" s="20">
        <f t="shared" si="234"/>
        <v>165454.54545454544</v>
      </c>
      <c r="P861" s="19" t="str">
        <f t="shared" si="214"/>
        <v>카페24트리트먼트라베나 리커버리 15 헤어팩 트리트먼트 [HAIR RÉ:COVERY 15 Hairpack Treatment]제품선택=헤어 리커버리 15 헤어팩 트리트먼트210201</v>
      </c>
    </row>
    <row r="862" spans="2:16" x14ac:dyDescent="0.3">
      <c r="B862" s="2">
        <v>44230</v>
      </c>
      <c r="C862" s="19" t="str">
        <f t="shared" si="233"/>
        <v>수</v>
      </c>
      <c r="E862" s="17" t="str">
        <f>INDEX(매칭테이블!C:C,MATCH(RD!G862,매칭테이블!D:D,0))</f>
        <v>트리트먼트</v>
      </c>
      <c r="F862" t="s">
        <v>91</v>
      </c>
      <c r="G862" t="s">
        <v>131</v>
      </c>
      <c r="H862">
        <v>1</v>
      </c>
      <c r="I862" s="17" t="str">
        <f>VLOOKUP(G862,매칭테이블!D:E,2,0)</f>
        <v>트리트먼트 2set</v>
      </c>
      <c r="J862">
        <v>210201</v>
      </c>
      <c r="L862" s="19">
        <f>VLOOKUP($P862,매칭테이블!$G:$J,2,0)*H862</f>
        <v>49400</v>
      </c>
      <c r="M862" s="19">
        <f>L862-L862*VLOOKUP($P862,매칭테이블!$G:$J,3,0)</f>
        <v>46510.1</v>
      </c>
      <c r="N862" s="19">
        <f>VLOOKUP($P862,매칭테이블!$G:$J,4,0)*H862</f>
        <v>3194</v>
      </c>
      <c r="O862" s="20">
        <f t="shared" si="234"/>
        <v>44909.090909090904</v>
      </c>
      <c r="P862" s="19" t="str">
        <f t="shared" si="214"/>
        <v>카페24트리트먼트라베나 리커버리 15 헤어팩 트리트먼트 [HAIR RÉ:COVERY 15 Hairpack Treatment]제품선택=헤어팩 트리트먼트 2개 세트 5% 추가할인210201</v>
      </c>
    </row>
    <row r="863" spans="2:16" x14ac:dyDescent="0.3">
      <c r="B863" s="2">
        <v>44230</v>
      </c>
      <c r="C863" s="19" t="str">
        <f t="shared" si="233"/>
        <v>수</v>
      </c>
      <c r="E863" s="17" t="str">
        <f>INDEX(매칭테이블!C:C,MATCH(RD!G863,매칭테이블!D:D,0))</f>
        <v>트리트먼트</v>
      </c>
      <c r="F863" t="s">
        <v>91</v>
      </c>
      <c r="G863" t="s">
        <v>132</v>
      </c>
      <c r="H863">
        <v>1</v>
      </c>
      <c r="I863" s="17" t="str">
        <f>VLOOKUP(G863,매칭테이블!D:E,2,0)</f>
        <v>트리트먼트 3set</v>
      </c>
      <c r="J863">
        <v>210201</v>
      </c>
      <c r="L863" s="19">
        <f>VLOOKUP($P863,매칭테이블!$G:$J,2,0)*H863</f>
        <v>70200</v>
      </c>
      <c r="M863" s="19">
        <f>L863-L863*VLOOKUP($P863,매칭테이블!$G:$J,3,0)</f>
        <v>66093.3</v>
      </c>
      <c r="N863" s="19">
        <f>VLOOKUP($P863,매칭테이블!$G:$J,4,0)*H863</f>
        <v>4791</v>
      </c>
      <c r="O863" s="20">
        <f t="shared" si="234"/>
        <v>63818.181818181816</v>
      </c>
      <c r="P863" s="19" t="str">
        <f t="shared" si="214"/>
        <v>카페24트리트먼트라베나 리커버리 15 헤어팩 트리트먼트 [HAIR RÉ:COVERY 15 Hairpack Treatment]제품선택=헤어팩 트리트먼트 3개 세트 10% 추가할인210201</v>
      </c>
    </row>
    <row r="864" spans="2:16" x14ac:dyDescent="0.3">
      <c r="B864" s="2">
        <v>44230</v>
      </c>
      <c r="C864" s="19" t="str">
        <f t="shared" si="233"/>
        <v>수</v>
      </c>
      <c r="E864" s="17" t="str">
        <f>INDEX(매칭테이블!C:C,MATCH(RD!G864,매칭테이블!D:D,0))</f>
        <v>트리트먼트</v>
      </c>
      <c r="F864" t="s">
        <v>91</v>
      </c>
      <c r="G864" t="s">
        <v>133</v>
      </c>
      <c r="H864">
        <v>1</v>
      </c>
      <c r="I864" s="17" t="str">
        <f>VLOOKUP(G864,매칭테이블!D:E,2,0)</f>
        <v>트리트먼트+뉴트리셔스밤</v>
      </c>
      <c r="J864">
        <v>210201</v>
      </c>
      <c r="L864" s="19">
        <f>VLOOKUP($P864,매칭테이블!$G:$J,2,0)*H864</f>
        <v>48355</v>
      </c>
      <c r="M864" s="19">
        <f>L864-L864*VLOOKUP($P864,매칭테이블!$G:$J,3,0)</f>
        <v>45526.232499999998</v>
      </c>
      <c r="N864" s="19">
        <f>VLOOKUP($P864,매칭테이블!$G:$J,4,0)*H864</f>
        <v>3177</v>
      </c>
      <c r="O864" s="20">
        <f t="shared" si="234"/>
        <v>43959.090909090904</v>
      </c>
      <c r="P864" s="19" t="str">
        <f t="shared" si="214"/>
        <v>카페24트리트먼트라베나 리커버리 15 헤어팩 트리트먼트 [HAIR RÉ:COVERY 15 Hairpack Treatment]제품선택=헤어팩 트리트먼트 1개 + 뉴트리셔스밤 1개 세트 5% 추가할인210201</v>
      </c>
    </row>
    <row r="865" spans="2:16" x14ac:dyDescent="0.3">
      <c r="B865" s="2">
        <v>44230</v>
      </c>
      <c r="C865" s="19" t="str">
        <f t="shared" si="233"/>
        <v>수</v>
      </c>
      <c r="E865" s="17" t="str">
        <f>INDEX(매칭테이블!C:C,MATCH(RD!G865,매칭테이블!D:D,0))</f>
        <v>샴푸</v>
      </c>
      <c r="F865" t="s">
        <v>91</v>
      </c>
      <c r="G865" t="s">
        <v>123</v>
      </c>
      <c r="H865">
        <v>2</v>
      </c>
      <c r="I865" s="17" t="str">
        <f>VLOOKUP(G865,매칭테이블!D:E,2,0)</f>
        <v>리바이탈 샴푸</v>
      </c>
      <c r="J865">
        <v>210201</v>
      </c>
      <c r="L865" s="19">
        <f>VLOOKUP($P865,매칭테이블!$G:$J,2,0)*H865</f>
        <v>53800</v>
      </c>
      <c r="M865" s="19">
        <f>L865-L865*VLOOKUP($P865,매칭테이블!$G:$J,3,0)</f>
        <v>50652.7</v>
      </c>
      <c r="N865" s="19">
        <f>VLOOKUP($P865,매칭테이블!$G:$J,4,0)*H865</f>
        <v>5730</v>
      </c>
      <c r="O865" s="20">
        <f t="shared" si="234"/>
        <v>48909.090909090904</v>
      </c>
      <c r="P865" s="19" t="str">
        <f t="shared" si="214"/>
        <v>카페24샴푸헤어 리커버리 15 리바이탈 샴푸210201</v>
      </c>
    </row>
    <row r="866" spans="2:16" x14ac:dyDescent="0.3">
      <c r="B866" s="2">
        <v>44231</v>
      </c>
      <c r="C866" s="19" t="str">
        <f t="shared" ref="C866" si="235">TEXT(B866,"aaa")</f>
        <v>목</v>
      </c>
      <c r="E866" s="17" t="str">
        <f>INDEX(매칭테이블!C:C,MATCH(RD!G866,매칭테이블!D:D,0))</f>
        <v>샴푸</v>
      </c>
      <c r="F866" t="s">
        <v>95</v>
      </c>
      <c r="G866" t="s">
        <v>123</v>
      </c>
      <c r="H866">
        <v>1</v>
      </c>
      <c r="I866" s="17" t="str">
        <f>VLOOKUP(G866,매칭테이블!D:E,2,0)</f>
        <v>리바이탈 샴푸</v>
      </c>
      <c r="J866">
        <v>210201</v>
      </c>
      <c r="L866" s="19">
        <f>VLOOKUP($P866,매칭테이블!$G:$J,2,0)*H866</f>
        <v>0</v>
      </c>
      <c r="M866" s="19">
        <f>L866-L866*VLOOKUP($P866,매칭테이블!$G:$J,3,0)</f>
        <v>0</v>
      </c>
      <c r="N866" s="19">
        <f>VLOOKUP($P866,매칭테이블!$G:$J,4,0)*H866</f>
        <v>2865</v>
      </c>
      <c r="O866" s="20">
        <f t="shared" ref="O866" si="236">L866/1.1</f>
        <v>0</v>
      </c>
      <c r="P866" s="19" t="str">
        <f t="shared" si="214"/>
        <v>라베나 CS샴푸헤어 리커버리 15 리바이탈 샴푸210201</v>
      </c>
    </row>
    <row r="867" spans="2:16" x14ac:dyDescent="0.3">
      <c r="B867" s="2">
        <v>44231</v>
      </c>
      <c r="C867" s="19" t="str">
        <f t="shared" ref="C867:C875" si="237">TEXT(B867,"aaa")</f>
        <v>목</v>
      </c>
      <c r="E867" s="17" t="str">
        <f>INDEX(매칭테이블!C:C,MATCH(RD!G867,매칭테이블!D:D,0))</f>
        <v>뉴트리셔스밤</v>
      </c>
      <c r="F867" t="s">
        <v>91</v>
      </c>
      <c r="G867" t="s">
        <v>124</v>
      </c>
      <c r="H867">
        <v>5</v>
      </c>
      <c r="I867" s="17" t="str">
        <f>VLOOKUP(G867,매칭테이블!D:E,2,0)</f>
        <v>뉴트리셔스밤</v>
      </c>
      <c r="J867">
        <v>210201</v>
      </c>
      <c r="L867" s="19">
        <f>VLOOKUP($P867,매칭테이블!$G:$J,2,0)*H867</f>
        <v>124500</v>
      </c>
      <c r="M867" s="19">
        <f>L867-L867*VLOOKUP($P867,매칭테이블!$G:$J,3,0)</f>
        <v>117216.75</v>
      </c>
      <c r="N867" s="19">
        <f>VLOOKUP($P867,매칭테이블!$G:$J,4,0)*H867</f>
        <v>7900</v>
      </c>
      <c r="O867" s="20">
        <f t="shared" ref="O867:O875" si="238">L867/1.1</f>
        <v>113181.81818181818</v>
      </c>
      <c r="P867" s="19" t="str">
        <f t="shared" si="214"/>
        <v>카페24뉴트리셔스밤라베나 리커버리 15 뉴트리셔스 밤 [HAIR RÉ:COVERY 15 Nutritious Balm]제품선택=헤어 리커버리 15 뉴트리셔스 밤210201</v>
      </c>
    </row>
    <row r="868" spans="2:16" x14ac:dyDescent="0.3">
      <c r="B868" s="2">
        <v>44231</v>
      </c>
      <c r="C868" s="19" t="str">
        <f t="shared" si="237"/>
        <v>목</v>
      </c>
      <c r="E868" s="17" t="str">
        <f>INDEX(매칭테이블!C:C,MATCH(RD!G868,매칭테이블!D:D,0))</f>
        <v>뉴트리셔스밤</v>
      </c>
      <c r="F868" t="s">
        <v>91</v>
      </c>
      <c r="G868" t="s">
        <v>125</v>
      </c>
      <c r="H868">
        <v>2</v>
      </c>
      <c r="I868" s="17" t="str">
        <f>VLOOKUP(G868,매칭테이블!D:E,2,0)</f>
        <v>뉴트리셔스밤 2set</v>
      </c>
      <c r="J868">
        <v>210201</v>
      </c>
      <c r="L868" s="19">
        <f>VLOOKUP($P868,매칭테이블!$G:$J,2,0)*H868</f>
        <v>94620</v>
      </c>
      <c r="M868" s="19">
        <f>L868-L868*VLOOKUP($P868,매칭테이블!$G:$J,3,0)</f>
        <v>89084.73</v>
      </c>
      <c r="N868" s="19">
        <f>VLOOKUP($P868,매칭테이블!$G:$J,4,0)*H868</f>
        <v>6320</v>
      </c>
      <c r="O868" s="20">
        <f t="shared" si="238"/>
        <v>86018.181818181809</v>
      </c>
      <c r="P868" s="19" t="str">
        <f t="shared" si="214"/>
        <v>카페24뉴트리셔스밤라베나 리커버리 15 뉴트리셔스 밤 [HAIR RÉ:COVERY 15 Nutritious Balm]제품선택=뉴트리셔스 밤 2개 세트 5% 추가할인210201</v>
      </c>
    </row>
    <row r="869" spans="2:16" x14ac:dyDescent="0.3">
      <c r="B869" s="2">
        <v>44231</v>
      </c>
      <c r="C869" s="19" t="str">
        <f t="shared" si="237"/>
        <v>목</v>
      </c>
      <c r="E869" s="17" t="str">
        <f>INDEX(매칭테이블!C:C,MATCH(RD!G869,매칭테이블!D:D,0))</f>
        <v>뉴트리셔스밤</v>
      </c>
      <c r="F869" t="s">
        <v>91</v>
      </c>
      <c r="G869" t="s">
        <v>134</v>
      </c>
      <c r="H869">
        <v>1</v>
      </c>
      <c r="I869" s="17" t="str">
        <f>VLOOKUP(G869,매칭테이블!D:E,2,0)</f>
        <v>뉴트리셔스밤 3set</v>
      </c>
      <c r="J869">
        <v>210201</v>
      </c>
      <c r="L869" s="19">
        <f>VLOOKUP($P869,매칭테이블!$G:$J,2,0)*H869</f>
        <v>67230</v>
      </c>
      <c r="M869" s="19">
        <f>L869-L869*VLOOKUP($P869,매칭테이블!$G:$J,3,0)</f>
        <v>63297.044999999998</v>
      </c>
      <c r="N869" s="19">
        <f>VLOOKUP($P869,매칭테이블!$G:$J,4,0)*H869</f>
        <v>4740</v>
      </c>
      <c r="O869" s="20">
        <f t="shared" si="238"/>
        <v>61118.181818181816</v>
      </c>
      <c r="P869" s="19" t="str">
        <f t="shared" si="214"/>
        <v>카페24뉴트리셔스밤라베나 리커버리 15 뉴트리셔스 밤 [HAIR RÉ:COVERY 15 Nutritious Balm]제품선택=뉴트리셔스 밤 3개 세트 10% 추가할인210201</v>
      </c>
    </row>
    <row r="870" spans="2:16" x14ac:dyDescent="0.3">
      <c r="B870" s="2">
        <v>44231</v>
      </c>
      <c r="C870" s="19" t="str">
        <f t="shared" si="237"/>
        <v>목</v>
      </c>
      <c r="E870" s="17" t="str">
        <f>INDEX(매칭테이블!C:C,MATCH(RD!G870,매칭테이블!D:D,0))</f>
        <v>샴푸</v>
      </c>
      <c r="F870" t="s">
        <v>91</v>
      </c>
      <c r="G870" t="s">
        <v>144</v>
      </c>
      <c r="H870">
        <v>151</v>
      </c>
      <c r="I870" s="17" t="str">
        <f>VLOOKUP(G870,매칭테이블!D:E,2,0)</f>
        <v>리바이탈 샴푸</v>
      </c>
      <c r="J870">
        <v>210201</v>
      </c>
      <c r="L870" s="19">
        <f>VLOOKUP($P870,매칭테이블!$G:$J,2,0)*H870</f>
        <v>4061900</v>
      </c>
      <c r="M870" s="19">
        <f>L870-L870*VLOOKUP($P870,매칭테이블!$G:$J,3,0)</f>
        <v>3824278.85</v>
      </c>
      <c r="N870" s="19">
        <f>VLOOKUP($P870,매칭테이블!$G:$J,4,0)*H870</f>
        <v>432615</v>
      </c>
      <c r="O870" s="20">
        <f t="shared" si="238"/>
        <v>3692636.3636363633</v>
      </c>
      <c r="P870" s="19" t="str">
        <f t="shared" si="214"/>
        <v>카페24샴푸라베나 리커버리 15 리바이탈 바이오플라보노이드샴푸 [HAIR RÉ:COVERY 15 Revital Shampoo]제품선택=헤어 리커버리 15 리바이탈 샴푸 - 500ml210201</v>
      </c>
    </row>
    <row r="871" spans="2:16" x14ac:dyDescent="0.3">
      <c r="B871" s="2">
        <v>44231</v>
      </c>
      <c r="C871" s="19" t="str">
        <f t="shared" si="237"/>
        <v>목</v>
      </c>
      <c r="E871" s="17" t="str">
        <f>INDEX(매칭테이블!C:C,MATCH(RD!G871,매칭테이블!D:D,0))</f>
        <v>샴푸</v>
      </c>
      <c r="F871" t="s">
        <v>91</v>
      </c>
      <c r="G871" t="s">
        <v>145</v>
      </c>
      <c r="H871">
        <v>41</v>
      </c>
      <c r="I871" s="17" t="str">
        <f>VLOOKUP(G871,매칭테이블!D:E,2,0)</f>
        <v>리바이탈 샴푸 2set</v>
      </c>
      <c r="J871">
        <v>210201</v>
      </c>
      <c r="L871" s="19">
        <f>VLOOKUP($P871,매칭테이블!$G:$J,2,0)*H871</f>
        <v>2095510</v>
      </c>
      <c r="M871" s="19">
        <f>L871-L871*VLOOKUP($P871,매칭테이블!$G:$J,3,0)</f>
        <v>1972922.665</v>
      </c>
      <c r="N871" s="19">
        <f>VLOOKUP($P871,매칭테이블!$G:$J,4,0)*H871</f>
        <v>234930</v>
      </c>
      <c r="O871" s="20">
        <f t="shared" si="238"/>
        <v>1905009.0909090908</v>
      </c>
      <c r="P871" s="19" t="str">
        <f t="shared" si="214"/>
        <v>카페24샴푸라베나 리커버리 15 리바이탈 바이오플라보노이드샴푸 [HAIR RÉ:COVERY 15 Revital Shampoo]제품선택=리바이탈 샴푸 2개 세트 5%추가할인210201</v>
      </c>
    </row>
    <row r="872" spans="2:16" x14ac:dyDescent="0.3">
      <c r="B872" s="2">
        <v>44231</v>
      </c>
      <c r="C872" s="19" t="str">
        <f t="shared" si="237"/>
        <v>목</v>
      </c>
      <c r="E872" s="17" t="str">
        <f>INDEX(매칭테이블!C:C,MATCH(RD!G872,매칭테이블!D:D,0))</f>
        <v>샴푸</v>
      </c>
      <c r="F872" t="s">
        <v>91</v>
      </c>
      <c r="G872" t="s">
        <v>146</v>
      </c>
      <c r="H872">
        <v>16</v>
      </c>
      <c r="I872" s="17" t="str">
        <f>VLOOKUP(G872,매칭테이블!D:E,2,0)</f>
        <v>리바이탈 샴푸 3set</v>
      </c>
      <c r="J872">
        <v>210201</v>
      </c>
      <c r="L872" s="19">
        <f>VLOOKUP($P872,매칭테이블!$G:$J,2,0)*H872</f>
        <v>1162080</v>
      </c>
      <c r="M872" s="19">
        <f>L872-L872*VLOOKUP($P872,매칭테이블!$G:$J,3,0)</f>
        <v>1094098.32</v>
      </c>
      <c r="N872" s="19">
        <f>VLOOKUP($P872,매칭테이블!$G:$J,4,0)*H872</f>
        <v>137520</v>
      </c>
      <c r="O872" s="20">
        <f t="shared" si="238"/>
        <v>1056436.3636363635</v>
      </c>
      <c r="P872" s="19" t="str">
        <f t="shared" si="214"/>
        <v>카페24샴푸라베나 리커버리 15 리바이탈 바이오플라보노이드샴푸 [HAIR RÉ:COVERY 15 Revital Shampoo]제품선택=리바이탈 샴푸 3개 세트 10% 추가할인210201</v>
      </c>
    </row>
    <row r="873" spans="2:16" x14ac:dyDescent="0.3">
      <c r="B873" s="2">
        <v>44231</v>
      </c>
      <c r="C873" s="19" t="str">
        <f t="shared" si="237"/>
        <v>목</v>
      </c>
      <c r="E873" s="17" t="str">
        <f>INDEX(매칭테이블!C:C,MATCH(RD!G873,매칭테이블!D:D,0))</f>
        <v>트리트먼트</v>
      </c>
      <c r="F873" t="s">
        <v>91</v>
      </c>
      <c r="G873" t="s">
        <v>130</v>
      </c>
      <c r="H873">
        <v>5</v>
      </c>
      <c r="I873" s="17" t="str">
        <f>VLOOKUP(G873,매칭테이블!D:E,2,0)</f>
        <v>트리트먼트</v>
      </c>
      <c r="J873">
        <v>210201</v>
      </c>
      <c r="L873" s="19">
        <f>VLOOKUP($P873,매칭테이블!$G:$J,2,0)*H873</f>
        <v>130000</v>
      </c>
      <c r="M873" s="19">
        <f>L873-L873*VLOOKUP($P873,매칭테이블!$G:$J,3,0)</f>
        <v>122395</v>
      </c>
      <c r="N873" s="19">
        <f>VLOOKUP($P873,매칭테이블!$G:$J,4,0)*H873</f>
        <v>7985</v>
      </c>
      <c r="O873" s="20">
        <f t="shared" si="238"/>
        <v>118181.81818181818</v>
      </c>
      <c r="P873" s="19" t="str">
        <f t="shared" si="214"/>
        <v>카페24트리트먼트라베나 리커버리 15 헤어팩 트리트먼트 [HAIR RÉ:COVERY 15 Hairpack Treatment]제품선택=헤어 리커버리 15 헤어팩 트리트먼트210201</v>
      </c>
    </row>
    <row r="874" spans="2:16" x14ac:dyDescent="0.3">
      <c r="B874" s="2">
        <v>44231</v>
      </c>
      <c r="C874" s="19" t="str">
        <f t="shared" si="237"/>
        <v>목</v>
      </c>
      <c r="E874" s="17" t="str">
        <f>INDEX(매칭테이블!C:C,MATCH(RD!G874,매칭테이블!D:D,0))</f>
        <v>트리트먼트</v>
      </c>
      <c r="F874" t="s">
        <v>91</v>
      </c>
      <c r="G874" t="s">
        <v>132</v>
      </c>
      <c r="H874">
        <v>1</v>
      </c>
      <c r="I874" s="17" t="str">
        <f>VLOOKUP(G874,매칭테이블!D:E,2,0)</f>
        <v>트리트먼트 3set</v>
      </c>
      <c r="J874">
        <v>210201</v>
      </c>
      <c r="L874" s="19">
        <f>VLOOKUP($P874,매칭테이블!$G:$J,2,0)*H874</f>
        <v>70200</v>
      </c>
      <c r="M874" s="19">
        <f>L874-L874*VLOOKUP($P874,매칭테이블!$G:$J,3,0)</f>
        <v>66093.3</v>
      </c>
      <c r="N874" s="19">
        <f>VLOOKUP($P874,매칭테이블!$G:$J,4,0)*H874</f>
        <v>4791</v>
      </c>
      <c r="O874" s="20">
        <f t="shared" si="238"/>
        <v>63818.181818181816</v>
      </c>
      <c r="P874" s="19" t="str">
        <f t="shared" si="214"/>
        <v>카페24트리트먼트라베나 리커버리 15 헤어팩 트리트먼트 [HAIR RÉ:COVERY 15 Hairpack Treatment]제품선택=헤어팩 트리트먼트 3개 세트 10% 추가할인210201</v>
      </c>
    </row>
    <row r="875" spans="2:16" x14ac:dyDescent="0.3">
      <c r="B875" s="2">
        <v>44231</v>
      </c>
      <c r="C875" s="19" t="str">
        <f t="shared" si="237"/>
        <v>목</v>
      </c>
      <c r="E875" s="17" t="str">
        <f>INDEX(매칭테이블!C:C,MATCH(RD!G875,매칭테이블!D:D,0))</f>
        <v>트리트먼트</v>
      </c>
      <c r="F875" t="s">
        <v>91</v>
      </c>
      <c r="G875" t="s">
        <v>133</v>
      </c>
      <c r="H875">
        <v>1</v>
      </c>
      <c r="I875" s="17" t="str">
        <f>VLOOKUP(G875,매칭테이블!D:E,2,0)</f>
        <v>트리트먼트+뉴트리셔스밤</v>
      </c>
      <c r="J875">
        <v>210201</v>
      </c>
      <c r="L875" s="19">
        <f>VLOOKUP($P875,매칭테이블!$G:$J,2,0)*H875</f>
        <v>48355</v>
      </c>
      <c r="M875" s="19">
        <f>L875-L875*VLOOKUP($P875,매칭테이블!$G:$J,3,0)</f>
        <v>45526.232499999998</v>
      </c>
      <c r="N875" s="19">
        <f>VLOOKUP($P875,매칭테이블!$G:$J,4,0)*H875</f>
        <v>3177</v>
      </c>
      <c r="O875" s="20">
        <f t="shared" si="238"/>
        <v>43959.090909090904</v>
      </c>
      <c r="P875" s="19" t="str">
        <f t="shared" si="214"/>
        <v>카페24트리트먼트라베나 리커버리 15 헤어팩 트리트먼트 [HAIR RÉ:COVERY 15 Hairpack Treatment]제품선택=헤어팩 트리트먼트 1개 + 뉴트리셔스밤 1개 세트 5% 추가할인210201</v>
      </c>
    </row>
    <row r="876" spans="2:16" x14ac:dyDescent="0.3">
      <c r="B876" s="2">
        <v>44232</v>
      </c>
      <c r="C876" s="19" t="str">
        <f t="shared" ref="C876" si="239">TEXT(B876,"aaa")</f>
        <v>금</v>
      </c>
      <c r="E876" s="17" t="str">
        <f>INDEX(매칭테이블!C:C,MATCH(RD!G876,매칭테이블!D:D,0))</f>
        <v>샴푸</v>
      </c>
      <c r="F876" t="s">
        <v>95</v>
      </c>
      <c r="G876" t="s">
        <v>145</v>
      </c>
      <c r="H876">
        <v>1</v>
      </c>
      <c r="I876" s="17" t="str">
        <f>VLOOKUP(G876,매칭테이블!D:E,2,0)</f>
        <v>리바이탈 샴푸 2set</v>
      </c>
      <c r="J876">
        <v>210201</v>
      </c>
      <c r="L876" s="19">
        <f>VLOOKUP($P876,매칭테이블!$G:$J,2,0)*H876</f>
        <v>0</v>
      </c>
      <c r="M876" s="19">
        <f>L876-L876*VLOOKUP($P876,매칭테이블!$G:$J,3,0)</f>
        <v>0</v>
      </c>
      <c r="N876" s="19">
        <f>VLOOKUP($P876,매칭테이블!$G:$J,4,0)*H876</f>
        <v>2865</v>
      </c>
      <c r="O876" s="20">
        <f t="shared" ref="O876" si="240">L876/1.1</f>
        <v>0</v>
      </c>
      <c r="P876" s="19" t="str">
        <f t="shared" ref="P876:P885" si="241">F876&amp;E876&amp;G876&amp;J876</f>
        <v>라베나 CS샴푸라베나 리커버리 15 리바이탈 바이오플라보노이드샴푸 [HAIR RÉ:COVERY 15 Revital Shampoo]제품선택=리바이탈 샴푸 2개 세트 5%추가할인210201</v>
      </c>
    </row>
    <row r="877" spans="2:16" x14ac:dyDescent="0.3">
      <c r="B877" s="2">
        <v>44232</v>
      </c>
      <c r="C877" s="19" t="str">
        <f t="shared" ref="C877:C885" si="242">TEXT(B877,"aaa")</f>
        <v>금</v>
      </c>
      <c r="E877" s="17" t="str">
        <f>INDEX(매칭테이블!C:C,MATCH(RD!G877,매칭테이블!D:D,0))</f>
        <v>뉴트리셔스밤</v>
      </c>
      <c r="F877" t="s">
        <v>91</v>
      </c>
      <c r="G877" t="s">
        <v>124</v>
      </c>
      <c r="H877">
        <v>3</v>
      </c>
      <c r="I877" s="17" t="str">
        <f>VLOOKUP(G877,매칭테이블!D:E,2,0)</f>
        <v>뉴트리셔스밤</v>
      </c>
      <c r="J877">
        <v>210201</v>
      </c>
      <c r="L877" s="19">
        <f>VLOOKUP($P877,매칭테이블!$G:$J,2,0)*H877</f>
        <v>74700</v>
      </c>
      <c r="M877" s="19">
        <f>L877-L877*VLOOKUP($P877,매칭테이블!$G:$J,3,0)</f>
        <v>70330.05</v>
      </c>
      <c r="N877" s="19">
        <f>VLOOKUP($P877,매칭테이블!$G:$J,4,0)*H877</f>
        <v>4740</v>
      </c>
      <c r="O877" s="20">
        <f t="shared" ref="O877:O885" si="243">L877/1.1</f>
        <v>67909.090909090897</v>
      </c>
      <c r="P877" s="19" t="str">
        <f t="shared" si="241"/>
        <v>카페24뉴트리셔스밤라베나 리커버리 15 뉴트리셔스 밤 [HAIR RÉ:COVERY 15 Nutritious Balm]제품선택=헤어 리커버리 15 뉴트리셔스 밤210201</v>
      </c>
    </row>
    <row r="878" spans="2:16" x14ac:dyDescent="0.3">
      <c r="B878" s="2">
        <v>44232</v>
      </c>
      <c r="C878" s="19" t="str">
        <f t="shared" si="242"/>
        <v>금</v>
      </c>
      <c r="E878" s="17" t="str">
        <f>INDEX(매칭테이블!C:C,MATCH(RD!G878,매칭테이블!D:D,0))</f>
        <v>샴푸</v>
      </c>
      <c r="F878" t="s">
        <v>91</v>
      </c>
      <c r="G878" t="s">
        <v>144</v>
      </c>
      <c r="H878">
        <v>145</v>
      </c>
      <c r="I878" s="17" t="str">
        <f>VLOOKUP(G878,매칭테이블!D:E,2,0)</f>
        <v>리바이탈 샴푸</v>
      </c>
      <c r="J878">
        <v>210201</v>
      </c>
      <c r="L878" s="19">
        <f>VLOOKUP($P878,매칭테이블!$G:$J,2,0)*H878</f>
        <v>3900500</v>
      </c>
      <c r="M878" s="19">
        <f>L878-L878*VLOOKUP($P878,매칭테이블!$G:$J,3,0)</f>
        <v>3672320.75</v>
      </c>
      <c r="N878" s="19">
        <f>VLOOKUP($P878,매칭테이블!$G:$J,4,0)*H878</f>
        <v>415425</v>
      </c>
      <c r="O878" s="20">
        <f t="shared" si="243"/>
        <v>3545909.0909090908</v>
      </c>
      <c r="P878" s="19" t="str">
        <f t="shared" si="241"/>
        <v>카페24샴푸라베나 리커버리 15 리바이탈 바이오플라보노이드샴푸 [HAIR RÉ:COVERY 15 Revital Shampoo]제품선택=헤어 리커버리 15 리바이탈 샴푸 - 500ml210201</v>
      </c>
    </row>
    <row r="879" spans="2:16" x14ac:dyDescent="0.3">
      <c r="B879" s="2">
        <v>44232</v>
      </c>
      <c r="C879" s="19" t="str">
        <f t="shared" si="242"/>
        <v>금</v>
      </c>
      <c r="E879" s="17" t="str">
        <f>INDEX(매칭테이블!C:C,MATCH(RD!G879,매칭테이블!D:D,0))</f>
        <v>샴푸</v>
      </c>
      <c r="F879" t="s">
        <v>91</v>
      </c>
      <c r="G879" t="s">
        <v>145</v>
      </c>
      <c r="H879">
        <v>41</v>
      </c>
      <c r="I879" s="17" t="str">
        <f>VLOOKUP(G879,매칭테이블!D:E,2,0)</f>
        <v>리바이탈 샴푸 2set</v>
      </c>
      <c r="J879">
        <v>210201</v>
      </c>
      <c r="L879" s="19">
        <f>VLOOKUP($P879,매칭테이블!$G:$J,2,0)*H879</f>
        <v>2095510</v>
      </c>
      <c r="M879" s="19">
        <f>L879-L879*VLOOKUP($P879,매칭테이블!$G:$J,3,0)</f>
        <v>1972922.665</v>
      </c>
      <c r="N879" s="19">
        <f>VLOOKUP($P879,매칭테이블!$G:$J,4,0)*H879</f>
        <v>234930</v>
      </c>
      <c r="O879" s="20">
        <f t="shared" si="243"/>
        <v>1905009.0909090908</v>
      </c>
      <c r="P879" s="19" t="str">
        <f t="shared" si="241"/>
        <v>카페24샴푸라베나 리커버리 15 리바이탈 바이오플라보노이드샴푸 [HAIR RÉ:COVERY 15 Revital Shampoo]제품선택=리바이탈 샴푸 2개 세트 5%추가할인210201</v>
      </c>
    </row>
    <row r="880" spans="2:16" x14ac:dyDescent="0.3">
      <c r="B880" s="2">
        <v>44232</v>
      </c>
      <c r="C880" s="19" t="str">
        <f t="shared" si="242"/>
        <v>금</v>
      </c>
      <c r="E880" s="17" t="str">
        <f>INDEX(매칭테이블!C:C,MATCH(RD!G880,매칭테이블!D:D,0))</f>
        <v>샴푸</v>
      </c>
      <c r="F880" t="s">
        <v>91</v>
      </c>
      <c r="G880" t="s">
        <v>146</v>
      </c>
      <c r="H880">
        <v>6</v>
      </c>
      <c r="I880" s="17" t="str">
        <f>VLOOKUP(G880,매칭테이블!D:E,2,0)</f>
        <v>리바이탈 샴푸 3set</v>
      </c>
      <c r="J880">
        <v>210201</v>
      </c>
      <c r="L880" s="19">
        <f>VLOOKUP($P880,매칭테이블!$G:$J,2,0)*H880</f>
        <v>435780</v>
      </c>
      <c r="M880" s="19">
        <f>L880-L880*VLOOKUP($P880,매칭테이블!$G:$J,3,0)</f>
        <v>410286.87</v>
      </c>
      <c r="N880" s="19">
        <f>VLOOKUP($P880,매칭테이블!$G:$J,4,0)*H880</f>
        <v>51570</v>
      </c>
      <c r="O880" s="20">
        <f t="shared" si="243"/>
        <v>396163.63636363635</v>
      </c>
      <c r="P880" s="19" t="str">
        <f t="shared" si="241"/>
        <v>카페24샴푸라베나 리커버리 15 리바이탈 바이오플라보노이드샴푸 [HAIR RÉ:COVERY 15 Revital Shampoo]제품선택=리바이탈 샴푸 3개 세트 10% 추가할인210201</v>
      </c>
    </row>
    <row r="881" spans="2:16" x14ac:dyDescent="0.3">
      <c r="B881" s="2">
        <v>44232</v>
      </c>
      <c r="C881" s="19" t="str">
        <f t="shared" si="242"/>
        <v>금</v>
      </c>
      <c r="E881" s="17" t="str">
        <f>INDEX(매칭테이블!C:C,MATCH(RD!G881,매칭테이블!D:D,0))</f>
        <v>샴푸</v>
      </c>
      <c r="F881" t="s">
        <v>91</v>
      </c>
      <c r="G881" t="s">
        <v>127</v>
      </c>
      <c r="H881">
        <v>1</v>
      </c>
      <c r="I881" s="17" t="str">
        <f>VLOOKUP(G881,매칭테이블!D:E,2,0)</f>
        <v>리바이탈 샴푸</v>
      </c>
      <c r="J881">
        <v>210201</v>
      </c>
      <c r="L881" s="19">
        <f>VLOOKUP($P881,매칭테이블!$G:$J,2,0)*H881</f>
        <v>26900</v>
      </c>
      <c r="M881" s="19">
        <f>L881-L881*VLOOKUP($P881,매칭테이블!$G:$J,3,0)</f>
        <v>25326.35</v>
      </c>
      <c r="N881" s="19">
        <f>VLOOKUP($P881,매칭테이블!$G:$J,4,0)*H881</f>
        <v>2865</v>
      </c>
      <c r="O881" s="20">
        <f t="shared" si="243"/>
        <v>24454.545454545452</v>
      </c>
      <c r="P881" s="19" t="str">
        <f t="shared" si="241"/>
        <v>카페24샴푸라베나 리커버리 15 리바이탈 샴푸 [HAIR RÉ:COVERY 15 Revital Shampoo]제품선택=헤어 리커버리 15 리바이탈 샴푸 - 500ml210201</v>
      </c>
    </row>
    <row r="882" spans="2:16" x14ac:dyDescent="0.3">
      <c r="B882" s="2">
        <v>44232</v>
      </c>
      <c r="C882" s="19" t="str">
        <f t="shared" si="242"/>
        <v>금</v>
      </c>
      <c r="E882" s="17" t="str">
        <f>INDEX(매칭테이블!C:C,MATCH(RD!G882,매칭테이블!D:D,0))</f>
        <v>샴푸</v>
      </c>
      <c r="F882" t="s">
        <v>91</v>
      </c>
      <c r="G882" t="s">
        <v>128</v>
      </c>
      <c r="H882">
        <v>1</v>
      </c>
      <c r="I882" s="17" t="str">
        <f>VLOOKUP(G882,매칭테이블!D:E,2,0)</f>
        <v>리바이탈 샴푸 2set</v>
      </c>
      <c r="J882">
        <v>210201</v>
      </c>
      <c r="L882" s="19">
        <f>VLOOKUP($P882,매칭테이블!$G:$J,2,0)*H882</f>
        <v>51110</v>
      </c>
      <c r="M882" s="19">
        <f>L882-L882*VLOOKUP($P882,매칭테이블!$G:$J,3,0)</f>
        <v>48120.065000000002</v>
      </c>
      <c r="N882" s="19">
        <f>VLOOKUP($P882,매칭테이블!$G:$J,4,0)*H882</f>
        <v>5730</v>
      </c>
      <c r="O882" s="20">
        <f t="shared" si="243"/>
        <v>46463.63636363636</v>
      </c>
      <c r="P882" s="19" t="str">
        <f t="shared" si="241"/>
        <v>카페24샴푸라베나 리커버리 15 리바이탈 샴푸 [HAIR RÉ:COVERY 15 Revital Shampoo]제품선택=리바이탈 샴푸 2개 세트 5%추가할인210201</v>
      </c>
    </row>
    <row r="883" spans="2:16" x14ac:dyDescent="0.3">
      <c r="B883" s="2">
        <v>44232</v>
      </c>
      <c r="C883" s="19" t="str">
        <f t="shared" si="242"/>
        <v>금</v>
      </c>
      <c r="E883" s="17" t="str">
        <f>INDEX(매칭테이블!C:C,MATCH(RD!G883,매칭테이블!D:D,0))</f>
        <v>트리트먼트</v>
      </c>
      <c r="F883" t="s">
        <v>91</v>
      </c>
      <c r="G883" t="s">
        <v>130</v>
      </c>
      <c r="H883">
        <v>4</v>
      </c>
      <c r="I883" s="17" t="str">
        <f>VLOOKUP(G883,매칭테이블!D:E,2,0)</f>
        <v>트리트먼트</v>
      </c>
      <c r="J883">
        <v>210201</v>
      </c>
      <c r="L883" s="19">
        <f>VLOOKUP($P883,매칭테이블!$G:$J,2,0)*H883</f>
        <v>104000</v>
      </c>
      <c r="M883" s="19">
        <f>L883-L883*VLOOKUP($P883,매칭테이블!$G:$J,3,0)</f>
        <v>97916</v>
      </c>
      <c r="N883" s="19">
        <f>VLOOKUP($P883,매칭테이블!$G:$J,4,0)*H883</f>
        <v>6388</v>
      </c>
      <c r="O883" s="20">
        <f t="shared" si="243"/>
        <v>94545.454545454544</v>
      </c>
      <c r="P883" s="19" t="str">
        <f t="shared" si="241"/>
        <v>카페24트리트먼트라베나 리커버리 15 헤어팩 트리트먼트 [HAIR RÉ:COVERY 15 Hairpack Treatment]제품선택=헤어 리커버리 15 헤어팩 트리트먼트210201</v>
      </c>
    </row>
    <row r="884" spans="2:16" x14ac:dyDescent="0.3">
      <c r="B884" s="2">
        <v>44232</v>
      </c>
      <c r="C884" s="19" t="str">
        <f t="shared" si="242"/>
        <v>금</v>
      </c>
      <c r="E884" s="17" t="str">
        <f>INDEX(매칭테이블!C:C,MATCH(RD!G884,매칭테이블!D:D,0))</f>
        <v>트리트먼트</v>
      </c>
      <c r="F884" t="s">
        <v>91</v>
      </c>
      <c r="G884" t="s">
        <v>131</v>
      </c>
      <c r="H884">
        <v>3</v>
      </c>
      <c r="I884" s="17" t="str">
        <f>VLOOKUP(G884,매칭테이블!D:E,2,0)</f>
        <v>트리트먼트 2set</v>
      </c>
      <c r="J884">
        <v>210201</v>
      </c>
      <c r="L884" s="19">
        <f>VLOOKUP($P884,매칭테이블!$G:$J,2,0)*H884</f>
        <v>148200</v>
      </c>
      <c r="M884" s="19">
        <f>L884-L884*VLOOKUP($P884,매칭테이블!$G:$J,3,0)</f>
        <v>139530.29999999999</v>
      </c>
      <c r="N884" s="19">
        <f>VLOOKUP($P884,매칭테이블!$G:$J,4,0)*H884</f>
        <v>9582</v>
      </c>
      <c r="O884" s="20">
        <f t="shared" si="243"/>
        <v>134727.27272727271</v>
      </c>
      <c r="P884" s="19" t="str">
        <f t="shared" si="241"/>
        <v>카페24트리트먼트라베나 리커버리 15 헤어팩 트리트먼트 [HAIR RÉ:COVERY 15 Hairpack Treatment]제품선택=헤어팩 트리트먼트 2개 세트 5% 추가할인210201</v>
      </c>
    </row>
    <row r="885" spans="2:16" x14ac:dyDescent="0.3">
      <c r="B885" s="2">
        <v>44232</v>
      </c>
      <c r="C885" s="19" t="str">
        <f t="shared" si="242"/>
        <v>금</v>
      </c>
      <c r="E885" s="17" t="str">
        <f>INDEX(매칭테이블!C:C,MATCH(RD!G885,매칭테이블!D:D,0))</f>
        <v>트리트먼트</v>
      </c>
      <c r="F885" t="s">
        <v>91</v>
      </c>
      <c r="G885" t="s">
        <v>133</v>
      </c>
      <c r="H885">
        <v>2</v>
      </c>
      <c r="I885" s="17" t="str">
        <f>VLOOKUP(G885,매칭테이블!D:E,2,0)</f>
        <v>트리트먼트+뉴트리셔스밤</v>
      </c>
      <c r="J885">
        <v>210201</v>
      </c>
      <c r="L885" s="19">
        <f>VLOOKUP($P885,매칭테이블!$G:$J,2,0)*H885</f>
        <v>96710</v>
      </c>
      <c r="M885" s="19">
        <f>L885-L885*VLOOKUP($P885,매칭테이블!$G:$J,3,0)</f>
        <v>91052.464999999997</v>
      </c>
      <c r="N885" s="19">
        <f>VLOOKUP($P885,매칭테이블!$G:$J,4,0)*H885</f>
        <v>6354</v>
      </c>
      <c r="O885" s="20">
        <f t="shared" si="243"/>
        <v>87918.181818181809</v>
      </c>
      <c r="P885" s="19" t="str">
        <f t="shared" si="241"/>
        <v>카페24트리트먼트라베나 리커버리 15 헤어팩 트리트먼트 [HAIR RÉ:COVERY 15 Hairpack Treatment]제품선택=헤어팩 트리트먼트 1개 + 뉴트리셔스밤 1개 세트 5% 추가할인210201</v>
      </c>
    </row>
    <row r="886" spans="2:16" x14ac:dyDescent="0.3">
      <c r="B886" s="2">
        <v>44233</v>
      </c>
      <c r="C886" s="19" t="str">
        <f t="shared" ref="C886" si="244">TEXT(B886,"aaa")</f>
        <v>토</v>
      </c>
      <c r="E886" s="17" t="str">
        <f>INDEX(매칭테이블!C:C,MATCH(RD!G886,매칭테이블!D:D,0))</f>
        <v>뉴트리셔스밤</v>
      </c>
      <c r="F886" t="s">
        <v>91</v>
      </c>
      <c r="G886" t="s">
        <v>124</v>
      </c>
      <c r="H886">
        <v>3</v>
      </c>
      <c r="I886" s="17" t="str">
        <f>VLOOKUP(G886,매칭테이블!D:E,2,0)</f>
        <v>뉴트리셔스밤</v>
      </c>
      <c r="J886">
        <v>210201</v>
      </c>
      <c r="L886" s="19">
        <f>VLOOKUP($P886,매칭테이블!$G:$J,2,0)*H886</f>
        <v>74700</v>
      </c>
      <c r="M886" s="19">
        <f>L886-L886*VLOOKUP($P886,매칭테이블!$G:$J,3,0)</f>
        <v>70330.05</v>
      </c>
      <c r="N886" s="19">
        <f>VLOOKUP($P886,매칭테이블!$G:$J,4,0)*H886</f>
        <v>4740</v>
      </c>
      <c r="O886" s="20">
        <f t="shared" ref="O886" si="245">L886/1.1</f>
        <v>67909.090909090897</v>
      </c>
      <c r="P886" s="19" t="str">
        <f t="shared" ref="P886:P895" si="246">F886&amp;E886&amp;G886&amp;J886</f>
        <v>카페24뉴트리셔스밤라베나 리커버리 15 뉴트리셔스 밤 [HAIR RÉ:COVERY 15 Nutritious Balm]제품선택=헤어 리커버리 15 뉴트리셔스 밤210201</v>
      </c>
    </row>
    <row r="887" spans="2:16" x14ac:dyDescent="0.3">
      <c r="B887" s="2">
        <v>44233</v>
      </c>
      <c r="C887" s="19" t="str">
        <f t="shared" ref="C887:C895" si="247">TEXT(B887,"aaa")</f>
        <v>토</v>
      </c>
      <c r="E887" s="17" t="str">
        <f>INDEX(매칭테이블!C:C,MATCH(RD!G887,매칭테이블!D:D,0))</f>
        <v>뉴트리셔스밤</v>
      </c>
      <c r="F887" t="s">
        <v>91</v>
      </c>
      <c r="G887" t="s">
        <v>125</v>
      </c>
      <c r="H887">
        <v>2</v>
      </c>
      <c r="I887" s="17" t="str">
        <f>VLOOKUP(G887,매칭테이블!D:E,2,0)</f>
        <v>뉴트리셔스밤 2set</v>
      </c>
      <c r="J887">
        <v>210201</v>
      </c>
      <c r="L887" s="19">
        <f>VLOOKUP($P887,매칭테이블!$G:$J,2,0)*H887</f>
        <v>94620</v>
      </c>
      <c r="M887" s="19">
        <f>L887-L887*VLOOKUP($P887,매칭테이블!$G:$J,3,0)</f>
        <v>89084.73</v>
      </c>
      <c r="N887" s="19">
        <f>VLOOKUP($P887,매칭테이블!$G:$J,4,0)*H887</f>
        <v>6320</v>
      </c>
      <c r="O887" s="20">
        <f t="shared" ref="O887:O895" si="248">L887/1.1</f>
        <v>86018.181818181809</v>
      </c>
      <c r="P887" s="19" t="str">
        <f t="shared" si="246"/>
        <v>카페24뉴트리셔스밤라베나 리커버리 15 뉴트리셔스 밤 [HAIR RÉ:COVERY 15 Nutritious Balm]제품선택=뉴트리셔스 밤 2개 세트 5% 추가할인210201</v>
      </c>
    </row>
    <row r="888" spans="2:16" x14ac:dyDescent="0.3">
      <c r="B888" s="2">
        <v>44233</v>
      </c>
      <c r="C888" s="19" t="str">
        <f t="shared" si="247"/>
        <v>토</v>
      </c>
      <c r="E888" s="17" t="str">
        <f>INDEX(매칭테이블!C:C,MATCH(RD!G888,매칭테이블!D:D,0))</f>
        <v>뉴트리셔스밤</v>
      </c>
      <c r="F888" t="s">
        <v>91</v>
      </c>
      <c r="G888" t="s">
        <v>126</v>
      </c>
      <c r="H888">
        <v>1</v>
      </c>
      <c r="I888" s="17" t="str">
        <f>VLOOKUP(G888,매칭테이블!D:E,2,0)</f>
        <v>트리트먼트+뉴트리셔스밤</v>
      </c>
      <c r="J888">
        <v>210201</v>
      </c>
      <c r="L888" s="19">
        <f>VLOOKUP($P888,매칭테이블!$G:$J,2,0)*H888</f>
        <v>48355</v>
      </c>
      <c r="M888" s="19">
        <f>L888-L888*VLOOKUP($P888,매칭테이블!$G:$J,3,0)</f>
        <v>45526.232499999998</v>
      </c>
      <c r="N888" s="19">
        <f>VLOOKUP($P888,매칭테이블!$G:$J,4,0)*H888</f>
        <v>3177</v>
      </c>
      <c r="O888" s="20">
        <f t="shared" si="248"/>
        <v>43959.090909090904</v>
      </c>
      <c r="P888" s="19" t="str">
        <f t="shared" si="246"/>
        <v>카페24뉴트리셔스밤라베나 리커버리 15 뉴트리셔스 밤 [HAIR RÉ:COVERY 15 Nutritious Balm]제품선택=뉴트리셔스밤 1개 + 헤어팩 트리트먼트 1개 세트 5%추가할인210201</v>
      </c>
    </row>
    <row r="889" spans="2:16" x14ac:dyDescent="0.3">
      <c r="B889" s="2">
        <v>44233</v>
      </c>
      <c r="C889" s="19" t="str">
        <f t="shared" si="247"/>
        <v>토</v>
      </c>
      <c r="E889" s="17" t="str">
        <f>INDEX(매칭테이블!C:C,MATCH(RD!G889,매칭테이블!D:D,0))</f>
        <v>샴푸</v>
      </c>
      <c r="F889" t="s">
        <v>91</v>
      </c>
      <c r="G889" t="s">
        <v>144</v>
      </c>
      <c r="H889">
        <v>130</v>
      </c>
      <c r="I889" s="17" t="str">
        <f>VLOOKUP(G889,매칭테이블!D:E,2,0)</f>
        <v>리바이탈 샴푸</v>
      </c>
      <c r="J889">
        <v>210201</v>
      </c>
      <c r="L889" s="19">
        <f>VLOOKUP($P889,매칭테이블!$G:$J,2,0)*H889</f>
        <v>3497000</v>
      </c>
      <c r="M889" s="19">
        <f>L889-L889*VLOOKUP($P889,매칭테이블!$G:$J,3,0)</f>
        <v>3292425.5</v>
      </c>
      <c r="N889" s="19">
        <f>VLOOKUP($P889,매칭테이블!$G:$J,4,0)*H889</f>
        <v>372450</v>
      </c>
      <c r="O889" s="20">
        <f t="shared" si="248"/>
        <v>3179090.9090909087</v>
      </c>
      <c r="P889" s="19" t="str">
        <f t="shared" si="246"/>
        <v>카페24샴푸라베나 리커버리 15 리바이탈 바이오플라보노이드샴푸 [HAIR RÉ:COVERY 15 Revital Shampoo]제품선택=헤어 리커버리 15 리바이탈 샴푸 - 500ml210201</v>
      </c>
    </row>
    <row r="890" spans="2:16" x14ac:dyDescent="0.3">
      <c r="B890" s="2">
        <v>44233</v>
      </c>
      <c r="C890" s="19" t="str">
        <f t="shared" si="247"/>
        <v>토</v>
      </c>
      <c r="E890" s="17" t="str">
        <f>INDEX(매칭테이블!C:C,MATCH(RD!G890,매칭테이블!D:D,0))</f>
        <v>샴푸</v>
      </c>
      <c r="F890" t="s">
        <v>91</v>
      </c>
      <c r="G890" t="s">
        <v>145</v>
      </c>
      <c r="H890">
        <v>55</v>
      </c>
      <c r="I890" s="17" t="str">
        <f>VLOOKUP(G890,매칭테이블!D:E,2,0)</f>
        <v>리바이탈 샴푸 2set</v>
      </c>
      <c r="J890">
        <v>210201</v>
      </c>
      <c r="L890" s="19">
        <f>VLOOKUP($P890,매칭테이블!$G:$J,2,0)*H890</f>
        <v>2811050</v>
      </c>
      <c r="M890" s="19">
        <f>L890-L890*VLOOKUP($P890,매칭테이블!$G:$J,3,0)</f>
        <v>2646603.5750000002</v>
      </c>
      <c r="N890" s="19">
        <f>VLOOKUP($P890,매칭테이블!$G:$J,4,0)*H890</f>
        <v>315150</v>
      </c>
      <c r="O890" s="20">
        <f t="shared" si="248"/>
        <v>2555500</v>
      </c>
      <c r="P890" s="19" t="str">
        <f t="shared" si="246"/>
        <v>카페24샴푸라베나 리커버리 15 리바이탈 바이오플라보노이드샴푸 [HAIR RÉ:COVERY 15 Revital Shampoo]제품선택=리바이탈 샴푸 2개 세트 5%추가할인210201</v>
      </c>
    </row>
    <row r="891" spans="2:16" x14ac:dyDescent="0.3">
      <c r="B891" s="2">
        <v>44233</v>
      </c>
      <c r="C891" s="19" t="str">
        <f t="shared" si="247"/>
        <v>토</v>
      </c>
      <c r="E891" s="17" t="str">
        <f>INDEX(매칭테이블!C:C,MATCH(RD!G891,매칭테이블!D:D,0))</f>
        <v>샴푸</v>
      </c>
      <c r="F891" t="s">
        <v>91</v>
      </c>
      <c r="G891" t="s">
        <v>146</v>
      </c>
      <c r="H891">
        <v>25</v>
      </c>
      <c r="I891" s="17" t="str">
        <f>VLOOKUP(G891,매칭테이블!D:E,2,0)</f>
        <v>리바이탈 샴푸 3set</v>
      </c>
      <c r="J891">
        <v>210201</v>
      </c>
      <c r="L891" s="19">
        <f>VLOOKUP($P891,매칭테이블!$G:$J,2,0)*H891</f>
        <v>1815750</v>
      </c>
      <c r="M891" s="19">
        <f>L891-L891*VLOOKUP($P891,매칭테이블!$G:$J,3,0)</f>
        <v>1709528.625</v>
      </c>
      <c r="N891" s="19">
        <f>VLOOKUP($P891,매칭테이블!$G:$J,4,0)*H891</f>
        <v>214875</v>
      </c>
      <c r="O891" s="20">
        <f t="shared" si="248"/>
        <v>1650681.8181818181</v>
      </c>
      <c r="P891" s="19" t="str">
        <f t="shared" si="246"/>
        <v>카페24샴푸라베나 리커버리 15 리바이탈 바이오플라보노이드샴푸 [HAIR RÉ:COVERY 15 Revital Shampoo]제품선택=리바이탈 샴푸 3개 세트 10% 추가할인210201</v>
      </c>
    </row>
    <row r="892" spans="2:16" x14ac:dyDescent="0.3">
      <c r="B892" s="2">
        <v>44233</v>
      </c>
      <c r="C892" s="19" t="str">
        <f t="shared" si="247"/>
        <v>토</v>
      </c>
      <c r="E892" s="17" t="str">
        <f>INDEX(매칭테이블!C:C,MATCH(RD!G892,매칭테이블!D:D,0))</f>
        <v>트리트먼트</v>
      </c>
      <c r="F892" t="s">
        <v>91</v>
      </c>
      <c r="G892" t="s">
        <v>130</v>
      </c>
      <c r="H892">
        <v>6</v>
      </c>
      <c r="I892" s="17" t="str">
        <f>VLOOKUP(G892,매칭테이블!D:E,2,0)</f>
        <v>트리트먼트</v>
      </c>
      <c r="J892">
        <v>210201</v>
      </c>
      <c r="L892" s="19">
        <f>VLOOKUP($P892,매칭테이블!$G:$J,2,0)*H892</f>
        <v>156000</v>
      </c>
      <c r="M892" s="19">
        <f>L892-L892*VLOOKUP($P892,매칭테이블!$G:$J,3,0)</f>
        <v>146874</v>
      </c>
      <c r="N892" s="19">
        <f>VLOOKUP($P892,매칭테이블!$G:$J,4,0)*H892</f>
        <v>9582</v>
      </c>
      <c r="O892" s="20">
        <f t="shared" si="248"/>
        <v>141818.18181818179</v>
      </c>
      <c r="P892" s="19" t="str">
        <f t="shared" si="246"/>
        <v>카페24트리트먼트라베나 리커버리 15 헤어팩 트리트먼트 [HAIR RÉ:COVERY 15 Hairpack Treatment]제품선택=헤어 리커버리 15 헤어팩 트리트먼트210201</v>
      </c>
    </row>
    <row r="893" spans="2:16" x14ac:dyDescent="0.3">
      <c r="B893" s="2">
        <v>44233</v>
      </c>
      <c r="C893" s="19" t="str">
        <f t="shared" si="247"/>
        <v>토</v>
      </c>
      <c r="E893" s="17" t="str">
        <f>INDEX(매칭테이블!C:C,MATCH(RD!G893,매칭테이블!D:D,0))</f>
        <v>트리트먼트</v>
      </c>
      <c r="F893" t="s">
        <v>91</v>
      </c>
      <c r="G893" t="s">
        <v>131</v>
      </c>
      <c r="H893">
        <v>1</v>
      </c>
      <c r="I893" s="17" t="str">
        <f>VLOOKUP(G893,매칭테이블!D:E,2,0)</f>
        <v>트리트먼트 2set</v>
      </c>
      <c r="J893">
        <v>210201</v>
      </c>
      <c r="L893" s="19">
        <f>VLOOKUP($P893,매칭테이블!$G:$J,2,0)*H893</f>
        <v>49400</v>
      </c>
      <c r="M893" s="19">
        <f>L893-L893*VLOOKUP($P893,매칭테이블!$G:$J,3,0)</f>
        <v>46510.1</v>
      </c>
      <c r="N893" s="19">
        <f>VLOOKUP($P893,매칭테이블!$G:$J,4,0)*H893</f>
        <v>3194</v>
      </c>
      <c r="O893" s="20">
        <f t="shared" si="248"/>
        <v>44909.090909090904</v>
      </c>
      <c r="P893" s="19" t="str">
        <f t="shared" si="246"/>
        <v>카페24트리트먼트라베나 리커버리 15 헤어팩 트리트먼트 [HAIR RÉ:COVERY 15 Hairpack Treatment]제품선택=헤어팩 트리트먼트 2개 세트 5% 추가할인210201</v>
      </c>
    </row>
    <row r="894" spans="2:16" x14ac:dyDescent="0.3">
      <c r="B894" s="2">
        <v>44233</v>
      </c>
      <c r="C894" s="19" t="str">
        <f t="shared" si="247"/>
        <v>토</v>
      </c>
      <c r="E894" s="17" t="str">
        <f>INDEX(매칭테이블!C:C,MATCH(RD!G894,매칭테이블!D:D,0))</f>
        <v>트리트먼트</v>
      </c>
      <c r="F894" t="s">
        <v>91</v>
      </c>
      <c r="G894" t="s">
        <v>132</v>
      </c>
      <c r="H894">
        <v>2</v>
      </c>
      <c r="I894" s="17" t="str">
        <f>VLOOKUP(G894,매칭테이블!D:E,2,0)</f>
        <v>트리트먼트 3set</v>
      </c>
      <c r="J894">
        <v>210201</v>
      </c>
      <c r="L894" s="19">
        <f>VLOOKUP($P894,매칭테이블!$G:$J,2,0)*H894</f>
        <v>140400</v>
      </c>
      <c r="M894" s="19">
        <f>L894-L894*VLOOKUP($P894,매칭테이블!$G:$J,3,0)</f>
        <v>132186.6</v>
      </c>
      <c r="N894" s="19">
        <f>VLOOKUP($P894,매칭테이블!$G:$J,4,0)*H894</f>
        <v>9582</v>
      </c>
      <c r="O894" s="20">
        <f t="shared" si="248"/>
        <v>127636.36363636363</v>
      </c>
      <c r="P894" s="19" t="str">
        <f t="shared" si="246"/>
        <v>카페24트리트먼트라베나 리커버리 15 헤어팩 트리트먼트 [HAIR RÉ:COVERY 15 Hairpack Treatment]제품선택=헤어팩 트리트먼트 3개 세트 10% 추가할인210201</v>
      </c>
    </row>
    <row r="895" spans="2:16" x14ac:dyDescent="0.3">
      <c r="B895" s="2">
        <v>44233</v>
      </c>
      <c r="C895" s="19" t="str">
        <f t="shared" si="247"/>
        <v>토</v>
      </c>
      <c r="E895" s="17" t="str">
        <f>INDEX(매칭테이블!C:C,MATCH(RD!G895,매칭테이블!D:D,0))</f>
        <v>트리트먼트</v>
      </c>
      <c r="F895" t="s">
        <v>91</v>
      </c>
      <c r="G895" t="s">
        <v>133</v>
      </c>
      <c r="H895">
        <v>1</v>
      </c>
      <c r="I895" s="17" t="str">
        <f>VLOOKUP(G895,매칭테이블!D:E,2,0)</f>
        <v>트리트먼트+뉴트리셔스밤</v>
      </c>
      <c r="J895">
        <v>210201</v>
      </c>
      <c r="L895" s="19">
        <f>VLOOKUP($P895,매칭테이블!$G:$J,2,0)*H895</f>
        <v>48355</v>
      </c>
      <c r="M895" s="19">
        <f>L895-L895*VLOOKUP($P895,매칭테이블!$G:$J,3,0)</f>
        <v>45526.232499999998</v>
      </c>
      <c r="N895" s="19">
        <f>VLOOKUP($P895,매칭테이블!$G:$J,4,0)*H895</f>
        <v>3177</v>
      </c>
      <c r="O895" s="20">
        <f t="shared" si="248"/>
        <v>43959.090909090904</v>
      </c>
      <c r="P895" s="19" t="str">
        <f t="shared" si="246"/>
        <v>카페24트리트먼트라베나 리커버리 15 헤어팩 트리트먼트 [HAIR RÉ:COVERY 15 Hairpack Treatment]제품선택=헤어팩 트리트먼트 1개 + 뉴트리셔스밤 1개 세트 5% 추가할인210201</v>
      </c>
    </row>
    <row r="896" spans="2:16" x14ac:dyDescent="0.3">
      <c r="B896" s="2">
        <v>44234</v>
      </c>
      <c r="C896" s="19" t="str">
        <f t="shared" ref="C896" si="249">TEXT(B896,"aaa")</f>
        <v>일</v>
      </c>
      <c r="E896" s="17" t="str">
        <f>INDEX(매칭테이블!C:C,MATCH(RD!G896,매칭테이블!D:D,0))</f>
        <v>뉴트리셔스밤</v>
      </c>
      <c r="F896" t="s">
        <v>91</v>
      </c>
      <c r="G896" t="s">
        <v>124</v>
      </c>
      <c r="H896">
        <v>7</v>
      </c>
      <c r="I896" s="17" t="str">
        <f>VLOOKUP(G896,매칭테이블!D:E,2,0)</f>
        <v>뉴트리셔스밤</v>
      </c>
      <c r="J896">
        <v>210201</v>
      </c>
      <c r="L896" s="19">
        <f>VLOOKUP($P896,매칭테이블!$G:$J,2,0)*H896</f>
        <v>174300</v>
      </c>
      <c r="M896" s="19">
        <f>L896-L896*VLOOKUP($P896,매칭테이블!$G:$J,3,0)</f>
        <v>164103.45000000001</v>
      </c>
      <c r="N896" s="19">
        <f>VLOOKUP($P896,매칭테이블!$G:$J,4,0)*H896</f>
        <v>11060</v>
      </c>
      <c r="O896" s="20">
        <f t="shared" ref="O896" si="250">L896/1.1</f>
        <v>158454.54545454544</v>
      </c>
      <c r="P896" s="19" t="str">
        <f t="shared" ref="P896:P903" si="251">F896&amp;E896&amp;G896&amp;J896</f>
        <v>카페24뉴트리셔스밤라베나 리커버리 15 뉴트리셔스 밤 [HAIR RÉ:COVERY 15 Nutritious Balm]제품선택=헤어 리커버리 15 뉴트리셔스 밤210201</v>
      </c>
    </row>
    <row r="897" spans="2:16" x14ac:dyDescent="0.3">
      <c r="B897" s="2">
        <v>44234</v>
      </c>
      <c r="C897" s="19" t="str">
        <f t="shared" ref="C897:C903" si="252">TEXT(B897,"aaa")</f>
        <v>일</v>
      </c>
      <c r="E897" s="17" t="str">
        <f>INDEX(매칭테이블!C:C,MATCH(RD!G897,매칭테이블!D:D,0))</f>
        <v>뉴트리셔스밤</v>
      </c>
      <c r="F897" t="s">
        <v>91</v>
      </c>
      <c r="G897" t="s">
        <v>125</v>
      </c>
      <c r="H897">
        <v>5</v>
      </c>
      <c r="I897" s="17" t="str">
        <f>VLOOKUP(G897,매칭테이블!D:E,2,0)</f>
        <v>뉴트리셔스밤 2set</v>
      </c>
      <c r="J897">
        <v>210201</v>
      </c>
      <c r="L897" s="19">
        <f>VLOOKUP($P897,매칭테이블!$G:$J,2,0)*H897</f>
        <v>236550</v>
      </c>
      <c r="M897" s="19">
        <f>L897-L897*VLOOKUP($P897,매칭테이블!$G:$J,3,0)</f>
        <v>222711.82500000001</v>
      </c>
      <c r="N897" s="19">
        <f>VLOOKUP($P897,매칭테이블!$G:$J,4,0)*H897</f>
        <v>15800</v>
      </c>
      <c r="O897" s="20">
        <f t="shared" ref="O897:O903" si="253">L897/1.1</f>
        <v>215045.45454545453</v>
      </c>
      <c r="P897" s="19" t="str">
        <f t="shared" si="251"/>
        <v>카페24뉴트리셔스밤라베나 리커버리 15 뉴트리셔스 밤 [HAIR RÉ:COVERY 15 Nutritious Balm]제품선택=뉴트리셔스 밤 2개 세트 5% 추가할인210201</v>
      </c>
    </row>
    <row r="898" spans="2:16" x14ac:dyDescent="0.3">
      <c r="B898" s="2">
        <v>44234</v>
      </c>
      <c r="C898" s="19" t="str">
        <f t="shared" si="252"/>
        <v>일</v>
      </c>
      <c r="E898" s="17" t="str">
        <f>INDEX(매칭테이블!C:C,MATCH(RD!G898,매칭테이블!D:D,0))</f>
        <v>샴푸</v>
      </c>
      <c r="F898" t="s">
        <v>91</v>
      </c>
      <c r="G898" t="s">
        <v>144</v>
      </c>
      <c r="H898">
        <v>188</v>
      </c>
      <c r="I898" s="17" t="str">
        <f>VLOOKUP(G898,매칭테이블!D:E,2,0)</f>
        <v>리바이탈 샴푸</v>
      </c>
      <c r="J898">
        <v>210201</v>
      </c>
      <c r="L898" s="19">
        <f>VLOOKUP($P898,매칭테이블!$G:$J,2,0)*H898</f>
        <v>5057200</v>
      </c>
      <c r="M898" s="19">
        <f>L898-L898*VLOOKUP($P898,매칭테이블!$G:$J,3,0)</f>
        <v>4761353.8</v>
      </c>
      <c r="N898" s="19">
        <f>VLOOKUP($P898,매칭테이블!$G:$J,4,0)*H898</f>
        <v>538620</v>
      </c>
      <c r="O898" s="20">
        <f t="shared" si="253"/>
        <v>4597454.5454545449</v>
      </c>
      <c r="P898" s="19" t="str">
        <f t="shared" si="251"/>
        <v>카페24샴푸라베나 리커버리 15 리바이탈 바이오플라보노이드샴푸 [HAIR RÉ:COVERY 15 Revital Shampoo]제품선택=헤어 리커버리 15 리바이탈 샴푸 - 500ml210201</v>
      </c>
    </row>
    <row r="899" spans="2:16" x14ac:dyDescent="0.3">
      <c r="B899" s="2">
        <v>44234</v>
      </c>
      <c r="C899" s="19" t="str">
        <f t="shared" si="252"/>
        <v>일</v>
      </c>
      <c r="E899" s="17" t="str">
        <f>INDEX(매칭테이블!C:C,MATCH(RD!G899,매칭테이블!D:D,0))</f>
        <v>샴푸</v>
      </c>
      <c r="F899" t="s">
        <v>91</v>
      </c>
      <c r="G899" t="s">
        <v>145</v>
      </c>
      <c r="H899">
        <v>53</v>
      </c>
      <c r="I899" s="17" t="str">
        <f>VLOOKUP(G899,매칭테이블!D:E,2,0)</f>
        <v>리바이탈 샴푸 2set</v>
      </c>
      <c r="J899">
        <v>210201</v>
      </c>
      <c r="L899" s="19">
        <f>VLOOKUP($P899,매칭테이블!$G:$J,2,0)*H899</f>
        <v>2708830</v>
      </c>
      <c r="M899" s="19">
        <f>L899-L899*VLOOKUP($P899,매칭테이블!$G:$J,3,0)</f>
        <v>2550363.4449999998</v>
      </c>
      <c r="N899" s="19">
        <f>VLOOKUP($P899,매칭테이블!$G:$J,4,0)*H899</f>
        <v>303690</v>
      </c>
      <c r="O899" s="20">
        <f t="shared" si="253"/>
        <v>2462572.7272727271</v>
      </c>
      <c r="P899" s="19" t="str">
        <f t="shared" si="251"/>
        <v>카페24샴푸라베나 리커버리 15 리바이탈 바이오플라보노이드샴푸 [HAIR RÉ:COVERY 15 Revital Shampoo]제품선택=리바이탈 샴푸 2개 세트 5%추가할인210201</v>
      </c>
    </row>
    <row r="900" spans="2:16" x14ac:dyDescent="0.3">
      <c r="B900" s="2">
        <v>44234</v>
      </c>
      <c r="C900" s="19" t="str">
        <f t="shared" si="252"/>
        <v>일</v>
      </c>
      <c r="E900" s="17" t="str">
        <f>INDEX(매칭테이블!C:C,MATCH(RD!G900,매칭테이블!D:D,0))</f>
        <v>샴푸</v>
      </c>
      <c r="F900" t="s">
        <v>91</v>
      </c>
      <c r="G900" t="s">
        <v>146</v>
      </c>
      <c r="H900">
        <v>13</v>
      </c>
      <c r="I900" s="17" t="str">
        <f>VLOOKUP(G900,매칭테이블!D:E,2,0)</f>
        <v>리바이탈 샴푸 3set</v>
      </c>
      <c r="J900">
        <v>210201</v>
      </c>
      <c r="L900" s="19">
        <f>VLOOKUP($P900,매칭테이블!$G:$J,2,0)*H900</f>
        <v>944190</v>
      </c>
      <c r="M900" s="19">
        <f>L900-L900*VLOOKUP($P900,매칭테이블!$G:$J,3,0)</f>
        <v>888954.88500000001</v>
      </c>
      <c r="N900" s="19">
        <f>VLOOKUP($P900,매칭테이블!$G:$J,4,0)*H900</f>
        <v>111735</v>
      </c>
      <c r="O900" s="20">
        <f t="shared" si="253"/>
        <v>858354.54545454541</v>
      </c>
      <c r="P900" s="19" t="str">
        <f t="shared" si="251"/>
        <v>카페24샴푸라베나 리커버리 15 리바이탈 바이오플라보노이드샴푸 [HAIR RÉ:COVERY 15 Revital Shampoo]제품선택=리바이탈 샴푸 3개 세트 10% 추가할인210201</v>
      </c>
    </row>
    <row r="901" spans="2:16" x14ac:dyDescent="0.3">
      <c r="B901" s="2">
        <v>44234</v>
      </c>
      <c r="C901" s="19" t="str">
        <f t="shared" si="252"/>
        <v>일</v>
      </c>
      <c r="E901" s="17" t="str">
        <f>INDEX(매칭테이블!C:C,MATCH(RD!G901,매칭테이블!D:D,0))</f>
        <v>트리트먼트</v>
      </c>
      <c r="F901" t="s">
        <v>91</v>
      </c>
      <c r="G901" t="s">
        <v>130</v>
      </c>
      <c r="H901">
        <v>6</v>
      </c>
      <c r="I901" s="17" t="str">
        <f>VLOOKUP(G901,매칭테이블!D:E,2,0)</f>
        <v>트리트먼트</v>
      </c>
      <c r="J901">
        <v>210201</v>
      </c>
      <c r="L901" s="19">
        <f>VLOOKUP($P901,매칭테이블!$G:$J,2,0)*H901</f>
        <v>156000</v>
      </c>
      <c r="M901" s="19">
        <f>L901-L901*VLOOKUP($P901,매칭테이블!$G:$J,3,0)</f>
        <v>146874</v>
      </c>
      <c r="N901" s="19">
        <f>VLOOKUP($P901,매칭테이블!$G:$J,4,0)*H901</f>
        <v>9582</v>
      </c>
      <c r="O901" s="20">
        <f t="shared" si="253"/>
        <v>141818.18181818179</v>
      </c>
      <c r="P901" s="19" t="str">
        <f t="shared" si="251"/>
        <v>카페24트리트먼트라베나 리커버리 15 헤어팩 트리트먼트 [HAIR RÉ:COVERY 15 Hairpack Treatment]제품선택=헤어 리커버리 15 헤어팩 트리트먼트210201</v>
      </c>
    </row>
    <row r="902" spans="2:16" x14ac:dyDescent="0.3">
      <c r="B902" s="2">
        <v>44234</v>
      </c>
      <c r="C902" s="19" t="str">
        <f t="shared" si="252"/>
        <v>일</v>
      </c>
      <c r="E902" s="17" t="str">
        <f>INDEX(매칭테이블!C:C,MATCH(RD!G902,매칭테이블!D:D,0))</f>
        <v>트리트먼트</v>
      </c>
      <c r="F902" t="s">
        <v>91</v>
      </c>
      <c r="G902" t="s">
        <v>131</v>
      </c>
      <c r="H902">
        <v>1</v>
      </c>
      <c r="I902" s="17" t="str">
        <f>VLOOKUP(G902,매칭테이블!D:E,2,0)</f>
        <v>트리트먼트 2set</v>
      </c>
      <c r="J902">
        <v>210201</v>
      </c>
      <c r="L902" s="19">
        <f>VLOOKUP($P902,매칭테이블!$G:$J,2,0)*H902</f>
        <v>49400</v>
      </c>
      <c r="M902" s="19">
        <f>L902-L902*VLOOKUP($P902,매칭테이블!$G:$J,3,0)</f>
        <v>46510.1</v>
      </c>
      <c r="N902" s="19">
        <f>VLOOKUP($P902,매칭테이블!$G:$J,4,0)*H902</f>
        <v>3194</v>
      </c>
      <c r="O902" s="20">
        <f t="shared" si="253"/>
        <v>44909.090909090904</v>
      </c>
      <c r="P902" s="19" t="str">
        <f t="shared" si="251"/>
        <v>카페24트리트먼트라베나 리커버리 15 헤어팩 트리트먼트 [HAIR RÉ:COVERY 15 Hairpack Treatment]제품선택=헤어팩 트리트먼트 2개 세트 5% 추가할인210201</v>
      </c>
    </row>
    <row r="903" spans="2:16" x14ac:dyDescent="0.3">
      <c r="B903" s="2">
        <v>44234</v>
      </c>
      <c r="C903" s="19" t="str">
        <f t="shared" si="252"/>
        <v>일</v>
      </c>
      <c r="E903" s="17" t="str">
        <f>INDEX(매칭테이블!C:C,MATCH(RD!G903,매칭테이블!D:D,0))</f>
        <v>트리트먼트</v>
      </c>
      <c r="F903" t="s">
        <v>91</v>
      </c>
      <c r="G903" t="s">
        <v>132</v>
      </c>
      <c r="H903">
        <v>2</v>
      </c>
      <c r="I903" s="17" t="str">
        <f>VLOOKUP(G903,매칭테이블!D:E,2,0)</f>
        <v>트리트먼트 3set</v>
      </c>
      <c r="J903">
        <v>210201</v>
      </c>
      <c r="L903" s="19">
        <f>VLOOKUP($P903,매칭테이블!$G:$J,2,0)*H903</f>
        <v>140400</v>
      </c>
      <c r="M903" s="19">
        <f>L903-L903*VLOOKUP($P903,매칭테이블!$G:$J,3,0)</f>
        <v>132186.6</v>
      </c>
      <c r="N903" s="19">
        <f>VLOOKUP($P903,매칭테이블!$G:$J,4,0)*H903</f>
        <v>9582</v>
      </c>
      <c r="O903" s="20">
        <f t="shared" si="253"/>
        <v>127636.36363636363</v>
      </c>
      <c r="P903" s="19" t="str">
        <f t="shared" si="251"/>
        <v>카페24트리트먼트라베나 리커버리 15 헤어팩 트리트먼트 [HAIR RÉ:COVERY 15 Hairpack Treatment]제품선택=헤어팩 트리트먼트 3개 세트 10% 추가할인210201</v>
      </c>
    </row>
    <row r="904" spans="2:16" x14ac:dyDescent="0.3">
      <c r="B904" s="2">
        <v>44235</v>
      </c>
      <c r="C904" s="19" t="str">
        <f t="shared" ref="C904" si="254">TEXT(B904,"aaa")</f>
        <v>월</v>
      </c>
      <c r="E904" s="17" t="str">
        <f>INDEX(매칭테이블!C:C,MATCH(RD!G904,매칭테이블!D:D,0))</f>
        <v>샴푸</v>
      </c>
      <c r="F904" t="s">
        <v>95</v>
      </c>
      <c r="G904" t="s">
        <v>123</v>
      </c>
      <c r="H904">
        <v>2</v>
      </c>
      <c r="I904" s="17" t="str">
        <f>VLOOKUP(G904,매칭테이블!D:E,2,0)</f>
        <v>리바이탈 샴푸</v>
      </c>
      <c r="J904">
        <v>210201</v>
      </c>
      <c r="L904" s="19">
        <f>VLOOKUP($P904,매칭테이블!$G:$J,2,0)*H904</f>
        <v>0</v>
      </c>
      <c r="M904" s="19">
        <f>L904-L904*VLOOKUP($P904,매칭테이블!$G:$J,3,0)</f>
        <v>0</v>
      </c>
      <c r="N904" s="19">
        <f>VLOOKUP($P904,매칭테이블!$G:$J,4,0)*H904</f>
        <v>5730</v>
      </c>
      <c r="O904" s="20">
        <f t="shared" ref="O904" si="255">L904/1.1</f>
        <v>0</v>
      </c>
      <c r="P904" s="19" t="str">
        <f t="shared" ref="P904" si="256">F904&amp;E904&amp;G904&amp;J904</f>
        <v>라베나 CS샴푸헤어 리커버리 15 리바이탈 샴푸210201</v>
      </c>
    </row>
    <row r="905" spans="2:16" x14ac:dyDescent="0.3">
      <c r="B905" s="2">
        <v>44235</v>
      </c>
      <c r="C905" s="19" t="str">
        <f t="shared" ref="C905:C913" si="257">TEXT(B905,"aaa")</f>
        <v>월</v>
      </c>
      <c r="E905" s="17" t="str">
        <f>INDEX(매칭테이블!C:C,MATCH(RD!G905,매칭테이블!D:D,0))</f>
        <v>뉴트리셔스밤</v>
      </c>
      <c r="F905" t="s">
        <v>91</v>
      </c>
      <c r="G905" t="s">
        <v>124</v>
      </c>
      <c r="H905">
        <v>5</v>
      </c>
      <c r="I905" s="17" t="str">
        <f>VLOOKUP(G905,매칭테이블!D:E,2,0)</f>
        <v>뉴트리셔스밤</v>
      </c>
      <c r="J905">
        <v>210201</v>
      </c>
      <c r="L905" s="19">
        <f>VLOOKUP($P905,매칭테이블!$G:$J,2,0)*H905</f>
        <v>124500</v>
      </c>
      <c r="M905" s="19">
        <f>L905-L905*VLOOKUP($P905,매칭테이블!$G:$J,3,0)</f>
        <v>117216.75</v>
      </c>
      <c r="N905" s="19">
        <f>VLOOKUP($P905,매칭테이블!$G:$J,4,0)*H905</f>
        <v>7900</v>
      </c>
      <c r="O905" s="20">
        <f t="shared" ref="O905:O913" si="258">L905/1.1</f>
        <v>113181.81818181818</v>
      </c>
      <c r="P905" s="19" t="str">
        <f t="shared" ref="P905:P913" si="259">F905&amp;E905&amp;G905&amp;J905</f>
        <v>카페24뉴트리셔스밤라베나 리커버리 15 뉴트리셔스 밤 [HAIR RÉ:COVERY 15 Nutritious Balm]제품선택=헤어 리커버리 15 뉴트리셔스 밤210201</v>
      </c>
    </row>
    <row r="906" spans="2:16" x14ac:dyDescent="0.3">
      <c r="B906" s="2">
        <v>44235</v>
      </c>
      <c r="C906" s="19" t="str">
        <f t="shared" si="257"/>
        <v>월</v>
      </c>
      <c r="E906" s="17" t="str">
        <f>INDEX(매칭테이블!C:C,MATCH(RD!G906,매칭테이블!D:D,0))</f>
        <v>뉴트리셔스밤</v>
      </c>
      <c r="F906" t="s">
        <v>91</v>
      </c>
      <c r="G906" t="s">
        <v>125</v>
      </c>
      <c r="H906">
        <v>2</v>
      </c>
      <c r="I906" s="17" t="str">
        <f>VLOOKUP(G906,매칭테이블!D:E,2,0)</f>
        <v>뉴트리셔스밤 2set</v>
      </c>
      <c r="J906">
        <v>210201</v>
      </c>
      <c r="L906" s="19">
        <f>VLOOKUP($P906,매칭테이블!$G:$J,2,0)*H906</f>
        <v>94620</v>
      </c>
      <c r="M906" s="19">
        <f>L906-L906*VLOOKUP($P906,매칭테이블!$G:$J,3,0)</f>
        <v>89084.73</v>
      </c>
      <c r="N906" s="19">
        <f>VLOOKUP($P906,매칭테이블!$G:$J,4,0)*H906</f>
        <v>6320</v>
      </c>
      <c r="O906" s="20">
        <f t="shared" si="258"/>
        <v>86018.181818181809</v>
      </c>
      <c r="P906" s="19" t="str">
        <f t="shared" si="259"/>
        <v>카페24뉴트리셔스밤라베나 리커버리 15 뉴트리셔스 밤 [HAIR RÉ:COVERY 15 Nutritious Balm]제품선택=뉴트리셔스 밤 2개 세트 5% 추가할인210201</v>
      </c>
    </row>
    <row r="907" spans="2:16" x14ac:dyDescent="0.3">
      <c r="B907" s="2">
        <v>44235</v>
      </c>
      <c r="C907" s="19" t="str">
        <f t="shared" si="257"/>
        <v>월</v>
      </c>
      <c r="E907" s="17" t="str">
        <f>INDEX(매칭테이블!C:C,MATCH(RD!G907,매칭테이블!D:D,0))</f>
        <v>뉴트리셔스밤</v>
      </c>
      <c r="F907" t="s">
        <v>91</v>
      </c>
      <c r="G907" t="s">
        <v>126</v>
      </c>
      <c r="H907">
        <v>2</v>
      </c>
      <c r="I907" s="17" t="str">
        <f>VLOOKUP(G907,매칭테이블!D:E,2,0)</f>
        <v>트리트먼트+뉴트리셔스밤</v>
      </c>
      <c r="J907">
        <v>210201</v>
      </c>
      <c r="L907" s="19">
        <f>VLOOKUP($P907,매칭테이블!$G:$J,2,0)*H907</f>
        <v>96710</v>
      </c>
      <c r="M907" s="19">
        <f>L907-L907*VLOOKUP($P907,매칭테이블!$G:$J,3,0)</f>
        <v>91052.464999999997</v>
      </c>
      <c r="N907" s="19">
        <f>VLOOKUP($P907,매칭테이블!$G:$J,4,0)*H907</f>
        <v>6354</v>
      </c>
      <c r="O907" s="20">
        <f t="shared" si="258"/>
        <v>87918.181818181809</v>
      </c>
      <c r="P907" s="19" t="str">
        <f t="shared" si="259"/>
        <v>카페24뉴트리셔스밤라베나 리커버리 15 뉴트리셔스 밤 [HAIR RÉ:COVERY 15 Nutritious Balm]제품선택=뉴트리셔스밤 1개 + 헤어팩 트리트먼트 1개 세트 5%추가할인210201</v>
      </c>
    </row>
    <row r="908" spans="2:16" x14ac:dyDescent="0.3">
      <c r="B908" s="2">
        <v>44235</v>
      </c>
      <c r="C908" s="19" t="str">
        <f t="shared" si="257"/>
        <v>월</v>
      </c>
      <c r="E908" s="17" t="str">
        <f>INDEX(매칭테이블!C:C,MATCH(RD!G908,매칭테이블!D:D,0))</f>
        <v>샴푸</v>
      </c>
      <c r="F908" t="s">
        <v>91</v>
      </c>
      <c r="G908" t="s">
        <v>144</v>
      </c>
      <c r="H908">
        <v>167</v>
      </c>
      <c r="I908" s="17" t="str">
        <f>VLOOKUP(G908,매칭테이블!D:E,2,0)</f>
        <v>리바이탈 샴푸</v>
      </c>
      <c r="J908">
        <v>210201</v>
      </c>
      <c r="L908" s="19">
        <f>VLOOKUP($P908,매칭테이블!$G:$J,2,0)*H908</f>
        <v>4492300</v>
      </c>
      <c r="M908" s="19">
        <f>L908-L908*VLOOKUP($P908,매칭테이블!$G:$J,3,0)</f>
        <v>4229500.45</v>
      </c>
      <c r="N908" s="19">
        <f>VLOOKUP($P908,매칭테이블!$G:$J,4,0)*H908</f>
        <v>478455</v>
      </c>
      <c r="O908" s="20">
        <f t="shared" si="258"/>
        <v>4083909.0909090904</v>
      </c>
      <c r="P908" s="19" t="str">
        <f t="shared" si="259"/>
        <v>카페24샴푸라베나 리커버리 15 리바이탈 바이오플라보노이드샴푸 [HAIR RÉ:COVERY 15 Revital Shampoo]제품선택=헤어 리커버리 15 리바이탈 샴푸 - 500ml210201</v>
      </c>
    </row>
    <row r="909" spans="2:16" x14ac:dyDescent="0.3">
      <c r="B909" s="2">
        <v>44235</v>
      </c>
      <c r="C909" s="19" t="str">
        <f t="shared" si="257"/>
        <v>월</v>
      </c>
      <c r="E909" s="17" t="str">
        <f>INDEX(매칭테이블!C:C,MATCH(RD!G909,매칭테이블!D:D,0))</f>
        <v>샴푸</v>
      </c>
      <c r="F909" t="s">
        <v>91</v>
      </c>
      <c r="G909" t="s">
        <v>145</v>
      </c>
      <c r="H909">
        <v>48</v>
      </c>
      <c r="I909" s="17" t="str">
        <f>VLOOKUP(G909,매칭테이블!D:E,2,0)</f>
        <v>리바이탈 샴푸 2set</v>
      </c>
      <c r="J909">
        <v>210201</v>
      </c>
      <c r="L909" s="19">
        <f>VLOOKUP($P909,매칭테이블!$G:$J,2,0)*H909</f>
        <v>2453280</v>
      </c>
      <c r="M909" s="19">
        <f>L909-L909*VLOOKUP($P909,매칭테이블!$G:$J,3,0)</f>
        <v>2309763.12</v>
      </c>
      <c r="N909" s="19">
        <f>VLOOKUP($P909,매칭테이블!$G:$J,4,0)*H909</f>
        <v>275040</v>
      </c>
      <c r="O909" s="20">
        <f t="shared" si="258"/>
        <v>2230254.5454545454</v>
      </c>
      <c r="P909" s="19" t="str">
        <f t="shared" si="259"/>
        <v>카페24샴푸라베나 리커버리 15 리바이탈 바이오플라보노이드샴푸 [HAIR RÉ:COVERY 15 Revital Shampoo]제품선택=리바이탈 샴푸 2개 세트 5%추가할인210201</v>
      </c>
    </row>
    <row r="910" spans="2:16" x14ac:dyDescent="0.3">
      <c r="B910" s="2">
        <v>44235</v>
      </c>
      <c r="C910" s="19" t="str">
        <f t="shared" si="257"/>
        <v>월</v>
      </c>
      <c r="E910" s="17" t="str">
        <f>INDEX(매칭테이블!C:C,MATCH(RD!G910,매칭테이블!D:D,0))</f>
        <v>샴푸</v>
      </c>
      <c r="F910" t="s">
        <v>91</v>
      </c>
      <c r="G910" t="s">
        <v>146</v>
      </c>
      <c r="H910">
        <v>15</v>
      </c>
      <c r="I910" s="17" t="str">
        <f>VLOOKUP(G910,매칭테이블!D:E,2,0)</f>
        <v>리바이탈 샴푸 3set</v>
      </c>
      <c r="J910">
        <v>210201</v>
      </c>
      <c r="L910" s="19">
        <f>VLOOKUP($P910,매칭테이블!$G:$J,2,0)*H910</f>
        <v>1089450</v>
      </c>
      <c r="M910" s="19">
        <f>L910-L910*VLOOKUP($P910,매칭테이블!$G:$J,3,0)</f>
        <v>1025717.175</v>
      </c>
      <c r="N910" s="19">
        <f>VLOOKUP($P910,매칭테이블!$G:$J,4,0)*H910</f>
        <v>128925</v>
      </c>
      <c r="O910" s="20">
        <f t="shared" si="258"/>
        <v>990409.09090909082</v>
      </c>
      <c r="P910" s="19" t="str">
        <f t="shared" si="259"/>
        <v>카페24샴푸라베나 리커버리 15 리바이탈 바이오플라보노이드샴푸 [HAIR RÉ:COVERY 15 Revital Shampoo]제품선택=리바이탈 샴푸 3개 세트 10% 추가할인210201</v>
      </c>
    </row>
    <row r="911" spans="2:16" x14ac:dyDescent="0.3">
      <c r="B911" s="2">
        <v>44235</v>
      </c>
      <c r="C911" s="19" t="str">
        <f t="shared" si="257"/>
        <v>월</v>
      </c>
      <c r="E911" s="17" t="str">
        <f>INDEX(매칭테이블!C:C,MATCH(RD!G911,매칭테이블!D:D,0))</f>
        <v>트리트먼트</v>
      </c>
      <c r="F911" t="s">
        <v>91</v>
      </c>
      <c r="G911" t="s">
        <v>130</v>
      </c>
      <c r="H911">
        <v>5</v>
      </c>
      <c r="I911" s="17" t="str">
        <f>VLOOKUP(G911,매칭테이블!D:E,2,0)</f>
        <v>트리트먼트</v>
      </c>
      <c r="J911">
        <v>210201</v>
      </c>
      <c r="L911" s="19">
        <f>VLOOKUP($P911,매칭테이블!$G:$J,2,0)*H911</f>
        <v>130000</v>
      </c>
      <c r="M911" s="19">
        <f>L911-L911*VLOOKUP($P911,매칭테이블!$G:$J,3,0)</f>
        <v>122395</v>
      </c>
      <c r="N911" s="19">
        <f>VLOOKUP($P911,매칭테이블!$G:$J,4,0)*H911</f>
        <v>7985</v>
      </c>
      <c r="O911" s="20">
        <f t="shared" si="258"/>
        <v>118181.81818181818</v>
      </c>
      <c r="P911" s="19" t="str">
        <f t="shared" si="259"/>
        <v>카페24트리트먼트라베나 리커버리 15 헤어팩 트리트먼트 [HAIR RÉ:COVERY 15 Hairpack Treatment]제품선택=헤어 리커버리 15 헤어팩 트리트먼트210201</v>
      </c>
    </row>
    <row r="912" spans="2:16" x14ac:dyDescent="0.3">
      <c r="B912" s="2">
        <v>44235</v>
      </c>
      <c r="C912" s="19" t="str">
        <f t="shared" si="257"/>
        <v>월</v>
      </c>
      <c r="E912" s="17" t="str">
        <f>INDEX(매칭테이블!C:C,MATCH(RD!G912,매칭테이블!D:D,0))</f>
        <v>트리트먼트</v>
      </c>
      <c r="F912" t="s">
        <v>91</v>
      </c>
      <c r="G912" t="s">
        <v>132</v>
      </c>
      <c r="H912">
        <v>1</v>
      </c>
      <c r="I912" s="17" t="str">
        <f>VLOOKUP(G912,매칭테이블!D:E,2,0)</f>
        <v>트리트먼트 3set</v>
      </c>
      <c r="J912">
        <v>210201</v>
      </c>
      <c r="L912" s="19">
        <f>VLOOKUP($P912,매칭테이블!$G:$J,2,0)*H912</f>
        <v>70200</v>
      </c>
      <c r="M912" s="19">
        <f>L912-L912*VLOOKUP($P912,매칭테이블!$G:$J,3,0)</f>
        <v>66093.3</v>
      </c>
      <c r="N912" s="19">
        <f>VLOOKUP($P912,매칭테이블!$G:$J,4,0)*H912</f>
        <v>4791</v>
      </c>
      <c r="O912" s="20">
        <f t="shared" si="258"/>
        <v>63818.181818181816</v>
      </c>
      <c r="P912" s="19" t="str">
        <f t="shared" si="259"/>
        <v>카페24트리트먼트라베나 리커버리 15 헤어팩 트리트먼트 [HAIR RÉ:COVERY 15 Hairpack Treatment]제품선택=헤어팩 트리트먼트 3개 세트 10% 추가할인210201</v>
      </c>
    </row>
    <row r="913" spans="2:16" x14ac:dyDescent="0.3">
      <c r="B913" s="2">
        <v>44235</v>
      </c>
      <c r="C913" s="19" t="str">
        <f t="shared" si="257"/>
        <v>월</v>
      </c>
      <c r="E913" s="17" t="str">
        <f>INDEX(매칭테이블!C:C,MATCH(RD!G913,매칭테이블!D:D,0))</f>
        <v>트리트먼트</v>
      </c>
      <c r="F913" t="s">
        <v>91</v>
      </c>
      <c r="G913" t="s">
        <v>133</v>
      </c>
      <c r="H913">
        <v>2</v>
      </c>
      <c r="I913" s="17" t="str">
        <f>VLOOKUP(G913,매칭테이블!D:E,2,0)</f>
        <v>트리트먼트+뉴트리셔스밤</v>
      </c>
      <c r="J913">
        <v>210201</v>
      </c>
      <c r="L913" s="19">
        <f>VLOOKUP($P913,매칭테이블!$G:$J,2,0)*H913</f>
        <v>96710</v>
      </c>
      <c r="M913" s="19">
        <f>L913-L913*VLOOKUP($P913,매칭테이블!$G:$J,3,0)</f>
        <v>91052.464999999997</v>
      </c>
      <c r="N913" s="19">
        <f>VLOOKUP($P913,매칭테이블!$G:$J,4,0)*H913</f>
        <v>6354</v>
      </c>
      <c r="O913" s="20">
        <f t="shared" si="258"/>
        <v>87918.181818181809</v>
      </c>
      <c r="P913" s="19" t="str">
        <f t="shared" si="259"/>
        <v>카페24트리트먼트라베나 리커버리 15 헤어팩 트리트먼트 [HAIR RÉ:COVERY 15 Hairpack Treatment]제품선택=헤어팩 트리트먼트 1개 + 뉴트리셔스밤 1개 세트 5% 추가할인210201</v>
      </c>
    </row>
  </sheetData>
  <autoFilter ref="B1:P37" xr:uid="{29FCAD17-8FD2-49FB-A489-9CA16241239C}">
    <sortState xmlns:xlrd2="http://schemas.microsoft.com/office/spreadsheetml/2017/richdata2" ref="B2:P37">
      <sortCondition ref="B1:B37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533F-11FC-4479-8244-DB2CF0567032}">
  <sheetPr>
    <tabColor theme="7" tint="0.79998168889431442"/>
  </sheetPr>
  <dimension ref="B1:K71"/>
  <sheetViews>
    <sheetView zoomScale="70" zoomScaleNormal="70" workbookViewId="0">
      <pane ySplit="1" topLeftCell="A2" activePane="bottomLeft" state="frozen"/>
      <selection pane="bottomLeft" activeCell="D15" sqref="D15"/>
    </sheetView>
  </sheetViews>
  <sheetFormatPr defaultRowHeight="16.5" x14ac:dyDescent="0.3"/>
  <cols>
    <col min="1" max="1" width="1.625" customWidth="1"/>
    <col min="2" max="2" width="28.75" customWidth="1"/>
    <col min="3" max="3" width="21.125" customWidth="1"/>
    <col min="4" max="4" width="116.375" customWidth="1"/>
    <col min="5" max="5" width="24.75" bestFit="1" customWidth="1"/>
    <col min="6" max="6" width="12" customWidth="1"/>
    <col min="7" max="7" width="58.125" bestFit="1" customWidth="1"/>
  </cols>
  <sheetData>
    <row r="1" spans="2:11" ht="17.25" thickBot="1" x14ac:dyDescent="0.35">
      <c r="B1" t="s">
        <v>147</v>
      </c>
      <c r="C1" t="s">
        <v>148</v>
      </c>
      <c r="D1" t="s">
        <v>149</v>
      </c>
      <c r="E1" t="s">
        <v>67</v>
      </c>
      <c r="F1" t="s">
        <v>150</v>
      </c>
      <c r="G1" t="s">
        <v>74</v>
      </c>
      <c r="H1" t="s">
        <v>151</v>
      </c>
      <c r="I1" t="s">
        <v>152</v>
      </c>
      <c r="J1" t="s">
        <v>72</v>
      </c>
    </row>
    <row r="2" spans="2:11" s="3" customFormat="1" ht="17.25" thickTop="1" x14ac:dyDescent="0.3">
      <c r="B2" s="7" t="s">
        <v>88</v>
      </c>
      <c r="C2" s="7" t="s">
        <v>85</v>
      </c>
      <c r="D2" s="7" t="s">
        <v>87</v>
      </c>
      <c r="E2" t="s">
        <v>153</v>
      </c>
      <c r="F2" s="7">
        <v>201109</v>
      </c>
      <c r="G2" s="7" t="str">
        <f t="shared" ref="G2:G4" si="0">B2&amp;C2&amp;D2&amp;F2</f>
        <v>카페24샴푸리바이탈 샴푸201109</v>
      </c>
      <c r="H2" s="7">
        <v>26900</v>
      </c>
      <c r="I2" s="8">
        <v>5.8500000000000003E-2</v>
      </c>
      <c r="J2" s="10">
        <v>3020</v>
      </c>
      <c r="K2" s="7"/>
    </row>
    <row r="3" spans="2:11" x14ac:dyDescent="0.3">
      <c r="B3" s="6" t="s">
        <v>88</v>
      </c>
      <c r="C3" s="6" t="s">
        <v>85</v>
      </c>
      <c r="D3" s="6" t="s">
        <v>89</v>
      </c>
      <c r="E3" t="s">
        <v>153</v>
      </c>
      <c r="F3" s="6">
        <v>201109</v>
      </c>
      <c r="G3" s="6" t="str">
        <f t="shared" si="0"/>
        <v>카페24샴푸리바이탈 샴푸 2set201109</v>
      </c>
      <c r="H3" s="5">
        <v>51110</v>
      </c>
      <c r="I3" s="9">
        <v>5.8500000000000003E-2</v>
      </c>
      <c r="J3" s="11">
        <v>6040</v>
      </c>
    </row>
    <row r="4" spans="2:11" x14ac:dyDescent="0.3">
      <c r="B4" s="6" t="s">
        <v>88</v>
      </c>
      <c r="C4" s="6" t="s">
        <v>85</v>
      </c>
      <c r="D4" s="6" t="s">
        <v>90</v>
      </c>
      <c r="E4" t="s">
        <v>153</v>
      </c>
      <c r="F4" s="6">
        <v>201109</v>
      </c>
      <c r="G4" s="6" t="str">
        <f t="shared" si="0"/>
        <v>카페24샴푸리바이탈 샴푸 3set201109</v>
      </c>
      <c r="H4" s="5">
        <v>72630</v>
      </c>
      <c r="I4" s="9">
        <v>5.8500000000000003E-2</v>
      </c>
      <c r="J4" s="11">
        <v>9060</v>
      </c>
    </row>
    <row r="5" spans="2:11" x14ac:dyDescent="0.3">
      <c r="B5" s="6" t="s">
        <v>86</v>
      </c>
      <c r="C5" s="6" t="s">
        <v>85</v>
      </c>
      <c r="D5" s="6" t="s">
        <v>87</v>
      </c>
      <c r="E5" t="s">
        <v>153</v>
      </c>
      <c r="F5" s="6">
        <v>201109</v>
      </c>
      <c r="G5" s="6" t="str">
        <f t="shared" ref="G5:G8" si="1">B5&amp;C5&amp;D5&amp;F5</f>
        <v>라베나 CS샴푸리바이탈 샴푸201109</v>
      </c>
      <c r="H5" s="6">
        <v>0</v>
      </c>
      <c r="I5" s="9">
        <v>5.8500000000000003E-2</v>
      </c>
      <c r="J5" s="11">
        <v>3020</v>
      </c>
    </row>
    <row r="6" spans="2:11" x14ac:dyDescent="0.3">
      <c r="B6" s="6" t="s">
        <v>86</v>
      </c>
      <c r="C6" s="6" t="s">
        <v>85</v>
      </c>
      <c r="D6" s="6" t="s">
        <v>89</v>
      </c>
      <c r="E6" t="s">
        <v>153</v>
      </c>
      <c r="F6" s="6">
        <v>201109</v>
      </c>
      <c r="G6" s="6" t="str">
        <f t="shared" si="1"/>
        <v>라베나 CS샴푸리바이탈 샴푸 2set201109</v>
      </c>
      <c r="H6" s="5">
        <v>0</v>
      </c>
      <c r="I6" s="9">
        <v>5.8500000000000003E-2</v>
      </c>
      <c r="J6" s="11">
        <v>6040</v>
      </c>
    </row>
    <row r="7" spans="2:11" x14ac:dyDescent="0.3">
      <c r="B7" s="6" t="s">
        <v>86</v>
      </c>
      <c r="C7" s="6" t="s">
        <v>85</v>
      </c>
      <c r="D7" s="6" t="s">
        <v>90</v>
      </c>
      <c r="E7" t="s">
        <v>153</v>
      </c>
      <c r="F7" s="6">
        <v>201109</v>
      </c>
      <c r="G7" s="6" t="str">
        <f t="shared" si="1"/>
        <v>라베나 CS샴푸리바이탈 샴푸 3set201109</v>
      </c>
      <c r="H7" s="5">
        <v>0</v>
      </c>
      <c r="I7" s="9">
        <v>5.8500000000000003E-2</v>
      </c>
      <c r="J7" s="11">
        <v>9060</v>
      </c>
    </row>
    <row r="8" spans="2:11" x14ac:dyDescent="0.3">
      <c r="B8" s="6" t="s">
        <v>86</v>
      </c>
      <c r="C8" s="6" t="s">
        <v>85</v>
      </c>
      <c r="D8" s="6" t="s">
        <v>93</v>
      </c>
      <c r="E8" t="s">
        <v>153</v>
      </c>
      <c r="F8">
        <v>201210</v>
      </c>
      <c r="G8" s="17" t="str">
        <f t="shared" si="1"/>
        <v>라베나 CS샴푸HAIR RÉ:COVERY 15 Revital Shampoo [라베나 리커버리 15 리바이탈 샴푸]제품선택=리바이탈 샴푸 2개 세트 5%추가할인201210</v>
      </c>
      <c r="H8">
        <v>0</v>
      </c>
      <c r="I8" s="9">
        <v>5.8500000000000003E-2</v>
      </c>
      <c r="J8" s="11">
        <v>6040</v>
      </c>
    </row>
    <row r="9" spans="2:11" x14ac:dyDescent="0.3">
      <c r="B9" s="6" t="s">
        <v>86</v>
      </c>
      <c r="C9" t="s">
        <v>154</v>
      </c>
      <c r="D9" t="s">
        <v>114</v>
      </c>
      <c r="E9" t="s">
        <v>154</v>
      </c>
      <c r="F9">
        <v>201210</v>
      </c>
      <c r="G9" s="17" t="str">
        <f t="shared" ref="G9:G10" si="2">B9&amp;C9&amp;D9&amp;F9</f>
        <v>라베나 CS뉴트리셔스밤헤어 리커버리 15 뉴트리셔스 밤201210</v>
      </c>
      <c r="H9">
        <v>0</v>
      </c>
      <c r="I9" s="9">
        <v>0</v>
      </c>
      <c r="J9">
        <v>1579.9999999999998</v>
      </c>
    </row>
    <row r="10" spans="2:11" x14ac:dyDescent="0.3">
      <c r="B10" s="6" t="s">
        <v>86</v>
      </c>
      <c r="C10" t="s">
        <v>155</v>
      </c>
      <c r="D10" t="s">
        <v>97</v>
      </c>
      <c r="E10" t="s">
        <v>155</v>
      </c>
      <c r="F10">
        <v>201210</v>
      </c>
      <c r="G10" s="17" t="str">
        <f t="shared" si="2"/>
        <v>라베나 CS트리트먼트헤어 리커버리 15 헤어팩 트리트먼트201210</v>
      </c>
      <c r="H10">
        <v>0</v>
      </c>
      <c r="I10" s="9">
        <v>0</v>
      </c>
      <c r="J10">
        <v>1597</v>
      </c>
    </row>
    <row r="11" spans="2:11" x14ac:dyDescent="0.3">
      <c r="B11" s="6" t="s">
        <v>86</v>
      </c>
      <c r="C11" t="s">
        <v>85</v>
      </c>
      <c r="D11" t="s">
        <v>92</v>
      </c>
      <c r="E11" t="s">
        <v>153</v>
      </c>
      <c r="F11">
        <v>201210</v>
      </c>
      <c r="G11" s="17" t="str">
        <f>B11&amp;C11&amp;D11&amp;F11</f>
        <v>라베나 CS샴푸HAIR RÉ:COVERY 15 Revital Shampoo [라베나 리커버리 15 리바이탈 샴푸]제품선택=헤어 리커버리 15 리바이탈 샴푸 - 500ml201210</v>
      </c>
      <c r="H11">
        <v>0</v>
      </c>
      <c r="I11" s="9">
        <v>0</v>
      </c>
      <c r="J11" s="11">
        <v>3020</v>
      </c>
    </row>
    <row r="12" spans="2:11" x14ac:dyDescent="0.3">
      <c r="B12" s="6" t="s">
        <v>88</v>
      </c>
      <c r="C12" t="s">
        <v>155</v>
      </c>
      <c r="D12" s="18" t="s">
        <v>98</v>
      </c>
      <c r="E12" s="21" t="s">
        <v>155</v>
      </c>
      <c r="F12">
        <v>201210</v>
      </c>
      <c r="G12" s="17" t="str">
        <f t="shared" ref="G12:G30" si="3">B12&amp;C12&amp;D12&amp;F12</f>
        <v>카페24트리트먼트(플친전용)HAIR RÉ:COVERY 15 Hairpack Treatment [헤어 리커버리 15 헤어팩 트리트먼트]제품선택=헤어 리커버리 15 헤어팩 트리트먼트201210</v>
      </c>
      <c r="H12">
        <v>22110</v>
      </c>
      <c r="I12" s="9">
        <v>5.8500000000000003E-2</v>
      </c>
      <c r="J12">
        <v>1597</v>
      </c>
    </row>
    <row r="13" spans="2:11" x14ac:dyDescent="0.3">
      <c r="B13" s="6" t="s">
        <v>88</v>
      </c>
      <c r="C13" t="s">
        <v>155</v>
      </c>
      <c r="D13" s="18" t="s">
        <v>101</v>
      </c>
      <c r="E13" t="s">
        <v>156</v>
      </c>
      <c r="F13">
        <v>201210</v>
      </c>
      <c r="G13" s="17" t="str">
        <f t="shared" si="3"/>
        <v>카페24트리트먼트(플친전용)HAIR RÉ:COVERY 15 Hairpack Treatment [헤어 리커버리 15 헤어팩 트리트먼트]제품선택=헤어팩 트리트먼트 1개 + 뉴트리셔스 밤 1개 세트201210</v>
      </c>
      <c r="H13">
        <v>43066</v>
      </c>
      <c r="I13" s="9">
        <v>5.8500000000000003E-2</v>
      </c>
      <c r="J13">
        <v>3177</v>
      </c>
    </row>
    <row r="14" spans="2:11" x14ac:dyDescent="0.3">
      <c r="B14" s="6" t="s">
        <v>88</v>
      </c>
      <c r="C14" t="s">
        <v>155</v>
      </c>
      <c r="D14" s="18" t="s">
        <v>99</v>
      </c>
      <c r="E14" t="s">
        <v>157</v>
      </c>
      <c r="F14">
        <v>201210</v>
      </c>
      <c r="G14" s="17" t="str">
        <f t="shared" si="3"/>
        <v>카페24트리트먼트(플친전용)HAIR RÉ:COVERY 15 Hairpack Treatment [헤어 리커버리 15 헤어팩 트리트먼트]제품선택=헤어팩 트리트먼트 2개 세트201210</v>
      </c>
      <c r="H14">
        <v>44220</v>
      </c>
      <c r="I14" s="9">
        <v>5.8500000000000003E-2</v>
      </c>
      <c r="J14">
        <v>3194</v>
      </c>
    </row>
    <row r="15" spans="2:11" x14ac:dyDescent="0.3">
      <c r="B15" s="6" t="s">
        <v>88</v>
      </c>
      <c r="C15" t="s">
        <v>155</v>
      </c>
      <c r="D15" s="18" t="s">
        <v>100</v>
      </c>
      <c r="E15" t="s">
        <v>158</v>
      </c>
      <c r="F15">
        <v>201210</v>
      </c>
      <c r="G15" s="17" t="str">
        <f t="shared" si="3"/>
        <v>카페24트리트먼트(플친전용)HAIR RÉ:COVERY 15 Hairpack Treatment [헤어 리커버리 15 헤어팩 트리트먼트]제품선택=헤어팩 트리트먼트 3개 세트201210</v>
      </c>
      <c r="H15">
        <v>66330</v>
      </c>
      <c r="I15" s="9">
        <v>5.8500000000000003E-2</v>
      </c>
      <c r="J15">
        <v>4791</v>
      </c>
    </row>
    <row r="16" spans="2:11" x14ac:dyDescent="0.3">
      <c r="B16" s="6" t="s">
        <v>88</v>
      </c>
      <c r="C16" t="s">
        <v>154</v>
      </c>
      <c r="D16" s="18" t="s">
        <v>102</v>
      </c>
      <c r="E16" t="s">
        <v>154</v>
      </c>
      <c r="F16">
        <v>201210</v>
      </c>
      <c r="G16" s="17" t="str">
        <f>B16&amp;C16&amp;D16&amp;F16</f>
        <v>카페24뉴트리셔스밤(플친전용)HAIR RÉ:COVERY 15 Nutritious Balm [헤어 리커버리 15 뉴트리셔스 밤]제품선택=헤어 리커버리 15 뉴트리셔스 밤201210</v>
      </c>
      <c r="H16">
        <v>20956</v>
      </c>
      <c r="I16" s="9">
        <v>5.8500000000000003E-2</v>
      </c>
      <c r="J16">
        <v>1580</v>
      </c>
    </row>
    <row r="17" spans="2:10" x14ac:dyDescent="0.3">
      <c r="B17" s="6" t="s">
        <v>88</v>
      </c>
      <c r="C17" t="s">
        <v>154</v>
      </c>
      <c r="D17" s="18" t="s">
        <v>159</v>
      </c>
      <c r="E17" t="s">
        <v>160</v>
      </c>
      <c r="F17">
        <v>201210</v>
      </c>
      <c r="G17" s="17" t="str">
        <f t="shared" ref="G17" si="4">B17&amp;C17&amp;D17&amp;F17</f>
        <v>카페24뉴트리셔스밤(플친전용)HAIR RÉ:COVERY 15 Nutritious Balm [헤어 리커버리 15 뉴트리셔스 밤]제품선택=뉴트리셔스 밤 2개 세트201210</v>
      </c>
      <c r="H17">
        <v>41912</v>
      </c>
      <c r="I17" s="9">
        <v>5.8500000000000003E-2</v>
      </c>
      <c r="J17">
        <v>3160</v>
      </c>
    </row>
    <row r="18" spans="2:10" x14ac:dyDescent="0.3">
      <c r="B18" s="6" t="s">
        <v>88</v>
      </c>
      <c r="C18" t="s">
        <v>154</v>
      </c>
      <c r="D18" s="18" t="s">
        <v>103</v>
      </c>
      <c r="E18" t="s">
        <v>161</v>
      </c>
      <c r="F18">
        <v>201210</v>
      </c>
      <c r="G18" s="17" t="str">
        <f t="shared" si="3"/>
        <v>카페24뉴트리셔스밤(플친전용)HAIR RÉ:COVERY 15 Nutritious Balm [헤어 리커버리 15 뉴트리셔스 밤]제품선택=뉴트리셔스 밤 3개 세트201210</v>
      </c>
      <c r="H18">
        <v>62868</v>
      </c>
      <c r="I18" s="9">
        <v>5.8500000000000003E-2</v>
      </c>
      <c r="J18">
        <v>4740</v>
      </c>
    </row>
    <row r="19" spans="2:10" x14ac:dyDescent="0.3">
      <c r="B19" s="6" t="s">
        <v>88</v>
      </c>
      <c r="C19" t="s">
        <v>154</v>
      </c>
      <c r="D19" s="18" t="s">
        <v>111</v>
      </c>
      <c r="E19" t="s">
        <v>156</v>
      </c>
      <c r="F19">
        <v>201210</v>
      </c>
      <c r="G19" s="17" t="str">
        <f t="shared" ref="G19" si="5">B19&amp;C19&amp;D19&amp;F19</f>
        <v>카페24뉴트리셔스밤(플친전용)HAIR RÉ:COVERY 15 Nutritious Balm [헤어 리커버리 15 뉴트리셔스 밤]제품선택=뉴트리셔스밤 1개 + 헤어팩 트리트먼트 1개 세트201210</v>
      </c>
      <c r="H19">
        <v>43066</v>
      </c>
      <c r="I19" s="9">
        <v>5.8500000000000003E-2</v>
      </c>
      <c r="J19">
        <v>3177</v>
      </c>
    </row>
    <row r="20" spans="2:10" x14ac:dyDescent="0.3">
      <c r="B20" s="6" t="s">
        <v>88</v>
      </c>
      <c r="C20" t="s">
        <v>155</v>
      </c>
      <c r="D20" t="s">
        <v>104</v>
      </c>
      <c r="E20" t="s">
        <v>155</v>
      </c>
      <c r="F20">
        <v>201210</v>
      </c>
      <c r="G20" s="17" t="str">
        <f t="shared" si="3"/>
        <v>카페24트리트먼트HAIR RÉ:COVERY 15 Hairpack Treatment [헤어 리커버리 15 헤어팩 트리트먼트]제품선택=헤어 리커버리 15 헤어팩 트리트먼트201210</v>
      </c>
      <c r="H20">
        <v>26000</v>
      </c>
      <c r="I20" s="9">
        <v>5.8500000000000003E-2</v>
      </c>
      <c r="J20">
        <v>1597</v>
      </c>
    </row>
    <row r="21" spans="2:10" x14ac:dyDescent="0.3">
      <c r="B21" s="6" t="s">
        <v>88</v>
      </c>
      <c r="C21" t="s">
        <v>155</v>
      </c>
      <c r="D21" t="s">
        <v>105</v>
      </c>
      <c r="E21" t="s">
        <v>156</v>
      </c>
      <c r="F21">
        <v>201210</v>
      </c>
      <c r="G21" s="17" t="str">
        <f>B21&amp;C21&amp;D21&amp;F21</f>
        <v>카페24트리트먼트HAIR RÉ:COVERY 15 Hairpack Treatment [헤어 리커버리 15 헤어팩 트리트먼트]제품선택=헤어팩 트리트먼트 1개 + 뉴트리셔스밤 1개 세트 5% 추가할인201210</v>
      </c>
      <c r="H21">
        <v>48355</v>
      </c>
      <c r="I21" s="9">
        <v>5.8500000000000003E-2</v>
      </c>
      <c r="J21">
        <v>3177</v>
      </c>
    </row>
    <row r="22" spans="2:10" x14ac:dyDescent="0.3">
      <c r="B22" s="6" t="s">
        <v>88</v>
      </c>
      <c r="C22" t="s">
        <v>155</v>
      </c>
      <c r="D22" t="s">
        <v>162</v>
      </c>
      <c r="E22" t="s">
        <v>157</v>
      </c>
      <c r="F22">
        <v>201210</v>
      </c>
      <c r="G22" s="17" t="str">
        <f t="shared" ref="G22" si="6">B22&amp;C22&amp;D22&amp;F22</f>
        <v>카페24트리트먼트HAIR RÉ:COVERY 15 Hairpack Treatment [헤어 리커버리 15 헤어팩 트리트먼트]제품선택=헤어팩 트리트먼트 2개 세트 5% 추가할인201210</v>
      </c>
      <c r="H22">
        <v>49400</v>
      </c>
      <c r="I22" s="9">
        <v>5.8500000000000003E-2</v>
      </c>
      <c r="J22">
        <v>3194</v>
      </c>
    </row>
    <row r="23" spans="2:10" x14ac:dyDescent="0.3">
      <c r="B23" s="6" t="s">
        <v>88</v>
      </c>
      <c r="C23" t="s">
        <v>155</v>
      </c>
      <c r="D23" t="s">
        <v>108</v>
      </c>
      <c r="E23" t="s">
        <v>158</v>
      </c>
      <c r="F23">
        <v>201210</v>
      </c>
      <c r="G23" s="17" t="str">
        <f t="shared" si="3"/>
        <v>카페24트리트먼트HAIR RÉ:COVERY 15 Hairpack Treatment [헤어 리커버리 15 헤어팩 트리트먼트]제품선택=헤어팩 트리트먼트 3개 세트 10% 추가할인201210</v>
      </c>
      <c r="H23">
        <v>70200</v>
      </c>
      <c r="I23" s="9">
        <v>5.8500000000000003E-2</v>
      </c>
      <c r="J23">
        <v>4791</v>
      </c>
    </row>
    <row r="24" spans="2:10" x14ac:dyDescent="0.3">
      <c r="B24" s="6" t="s">
        <v>88</v>
      </c>
      <c r="C24" t="s">
        <v>154</v>
      </c>
      <c r="D24" t="s">
        <v>106</v>
      </c>
      <c r="E24" t="s">
        <v>154</v>
      </c>
      <c r="F24">
        <v>201210</v>
      </c>
      <c r="G24" s="17" t="str">
        <f>B24&amp;C24&amp;D24&amp;F24</f>
        <v>카페24뉴트리셔스밤HAIR RÉ:COVERY 15 Nutritious Balm [헤어 리커버리 15 뉴트리셔스 밤]제품선택=헤어 리커버리 15 뉴트리셔스 밤201210</v>
      </c>
      <c r="H24">
        <v>24900</v>
      </c>
      <c r="I24" s="9">
        <v>5.8500000000000003E-2</v>
      </c>
      <c r="J24">
        <v>1580</v>
      </c>
    </row>
    <row r="25" spans="2:10" x14ac:dyDescent="0.3">
      <c r="B25" s="6" t="s">
        <v>88</v>
      </c>
      <c r="C25" t="s">
        <v>154</v>
      </c>
      <c r="D25" t="s">
        <v>109</v>
      </c>
      <c r="E25" t="s">
        <v>160</v>
      </c>
      <c r="F25">
        <v>201210</v>
      </c>
      <c r="G25" s="17" t="str">
        <f t="shared" si="3"/>
        <v>카페24뉴트리셔스밤HAIR RÉ:COVERY 15 Nutritious Balm [헤어 리커버리 15 뉴트리셔스 밤]제품선택=뉴트리셔스 밤 2개 세트 5% 추가할인201210</v>
      </c>
      <c r="H25">
        <v>47310</v>
      </c>
      <c r="I25" s="9">
        <v>5.8500000000000003E-2</v>
      </c>
      <c r="J25">
        <v>3160</v>
      </c>
    </row>
    <row r="26" spans="2:10" x14ac:dyDescent="0.3">
      <c r="B26" s="6" t="s">
        <v>88</v>
      </c>
      <c r="C26" t="s">
        <v>154</v>
      </c>
      <c r="D26" t="s">
        <v>163</v>
      </c>
      <c r="E26" t="s">
        <v>161</v>
      </c>
      <c r="F26">
        <v>201210</v>
      </c>
      <c r="G26" s="17" t="str">
        <f t="shared" ref="G26" si="7">B26&amp;C26&amp;D26&amp;F26</f>
        <v>카페24뉴트리셔스밤HAIR RÉ:COVERY 15 Nutritious Balm [헤어 리커버리 15 뉴트리셔스 밤]제품선택=뉴트리셔스 밤 3개 세트 10% 추가할인201210</v>
      </c>
      <c r="H26">
        <v>67230</v>
      </c>
      <c r="I26" s="9">
        <v>5.8500000000000003E-2</v>
      </c>
      <c r="J26">
        <v>4740</v>
      </c>
    </row>
    <row r="27" spans="2:10" x14ac:dyDescent="0.3">
      <c r="B27" s="6" t="s">
        <v>88</v>
      </c>
      <c r="C27" t="s">
        <v>154</v>
      </c>
      <c r="D27" t="s">
        <v>107</v>
      </c>
      <c r="E27" t="s">
        <v>154</v>
      </c>
      <c r="F27">
        <v>201210</v>
      </c>
      <c r="G27" s="17" t="str">
        <f>B27&amp;C27&amp;D27&amp;F27</f>
        <v>카페24뉴트리셔스밤LAVENA HAIR RÉ:COVERY 15 Nutritious Balm [헤어 리커버리 15 뉴트리셔스 밤]제품선택=헤어 리커버리 15 뉴트리셔스 밤201210</v>
      </c>
      <c r="H27">
        <v>24900</v>
      </c>
      <c r="I27" s="9">
        <v>5.8500000000000003E-2</v>
      </c>
      <c r="J27">
        <v>1580</v>
      </c>
    </row>
    <row r="28" spans="2:10" x14ac:dyDescent="0.3">
      <c r="B28" s="6" t="s">
        <v>88</v>
      </c>
      <c r="C28" t="s">
        <v>85</v>
      </c>
      <c r="D28" t="s">
        <v>92</v>
      </c>
      <c r="E28" t="s">
        <v>153</v>
      </c>
      <c r="F28">
        <v>201210</v>
      </c>
      <c r="G28" s="17" t="str">
        <f>B28&amp;C28&amp;D28&amp;F28</f>
        <v>카페24샴푸HAIR RÉ:COVERY 15 Revital Shampoo [라베나 리커버리 15 리바이탈 샴푸]제품선택=헤어 리커버리 15 리바이탈 샴푸 - 500ml201210</v>
      </c>
      <c r="H28">
        <v>26900</v>
      </c>
      <c r="I28" s="9">
        <v>5.8500000000000003E-2</v>
      </c>
      <c r="J28">
        <v>3020</v>
      </c>
    </row>
    <row r="29" spans="2:10" x14ac:dyDescent="0.3">
      <c r="B29" s="6" t="s">
        <v>88</v>
      </c>
      <c r="C29" t="s">
        <v>85</v>
      </c>
      <c r="D29" t="s">
        <v>93</v>
      </c>
      <c r="E29" t="s">
        <v>164</v>
      </c>
      <c r="F29">
        <v>201210</v>
      </c>
      <c r="G29" s="17" t="str">
        <f t="shared" si="3"/>
        <v>카페24샴푸HAIR RÉ:COVERY 15 Revital Shampoo [라베나 리커버리 15 리바이탈 샴푸]제품선택=리바이탈 샴푸 2개 세트 5%추가할인201210</v>
      </c>
      <c r="H29">
        <v>51110</v>
      </c>
      <c r="I29" s="9">
        <v>5.8500000000000003E-2</v>
      </c>
      <c r="J29">
        <v>6040</v>
      </c>
    </row>
    <row r="30" spans="2:10" x14ac:dyDescent="0.3">
      <c r="B30" s="6" t="s">
        <v>88</v>
      </c>
      <c r="C30" t="s">
        <v>85</v>
      </c>
      <c r="D30" t="s">
        <v>94</v>
      </c>
      <c r="E30" t="s">
        <v>165</v>
      </c>
      <c r="F30">
        <v>201210</v>
      </c>
      <c r="G30" s="17" t="str">
        <f t="shared" si="3"/>
        <v>카페24샴푸HAIR RÉ:COVERY 15 Revital Shampoo [라베나 리커버리 15 리바이탈 샴푸]제품선택=리바이탈 샴푸 3개 세트 10% 추가할인201210</v>
      </c>
      <c r="H30">
        <v>72630</v>
      </c>
      <c r="I30" s="9">
        <v>5.8500000000000003E-2</v>
      </c>
      <c r="J30">
        <v>9060</v>
      </c>
    </row>
    <row r="31" spans="2:10" x14ac:dyDescent="0.3">
      <c r="B31" s="6" t="s">
        <v>88</v>
      </c>
      <c r="C31" t="s">
        <v>154</v>
      </c>
      <c r="D31" t="s">
        <v>110</v>
      </c>
      <c r="E31" t="s">
        <v>156</v>
      </c>
      <c r="F31">
        <v>201210</v>
      </c>
      <c r="G31" s="17" t="str">
        <f>B31&amp;C31&amp;D31&amp;F31</f>
        <v>카페24뉴트리셔스밤HAIR RÉ:COVERY 15 Nutritious Balm [헤어 리커버리 15 뉴트리셔스 밤]제품선택=뉴트리셔스밤 1개 + 헤어팩 트리트먼트 1개 세트 5%추가할인201210</v>
      </c>
      <c r="H31">
        <v>48355</v>
      </c>
      <c r="I31" s="9">
        <v>5.8500000000000003E-2</v>
      </c>
      <c r="J31">
        <v>3177</v>
      </c>
    </row>
    <row r="32" spans="2:10" x14ac:dyDescent="0.3">
      <c r="B32" s="6" t="s">
        <v>88</v>
      </c>
      <c r="C32" t="s">
        <v>155</v>
      </c>
      <c r="D32" t="s">
        <v>115</v>
      </c>
      <c r="E32" t="s">
        <v>155</v>
      </c>
      <c r="F32">
        <v>201210</v>
      </c>
      <c r="G32" s="17" t="str">
        <f t="shared" ref="G32" si="8">B32&amp;C32&amp;D32&amp;F32</f>
        <v>카페24트리트먼트HAIR RÉ:COVERY 15 Hairpack Treatment [라베나 리커버리 15 헤어팩 트리트먼트]제품선택=헤어 리커버리 15 헤어팩 트리트먼트201210</v>
      </c>
      <c r="H32">
        <v>26000</v>
      </c>
      <c r="I32" s="9">
        <v>5.8500000000000003E-2</v>
      </c>
      <c r="J32">
        <v>1597</v>
      </c>
    </row>
    <row r="33" spans="2:10" x14ac:dyDescent="0.3">
      <c r="B33" s="6" t="s">
        <v>88</v>
      </c>
      <c r="C33" t="s">
        <v>155</v>
      </c>
      <c r="D33" t="s">
        <v>116</v>
      </c>
      <c r="E33" t="s">
        <v>157</v>
      </c>
      <c r="F33">
        <v>201210</v>
      </c>
      <c r="G33" s="17" t="str">
        <f t="shared" ref="G33" si="9">B33&amp;C33&amp;D33&amp;F33</f>
        <v>카페24트리트먼트HAIR RÉ:COVERY 15 Hairpack Treatment [라베나 리커버리 15 헤어팩 트리트먼트]제품선택=헤어팩 트리트먼트 2개 세트 5% 추가할인201210</v>
      </c>
      <c r="H33">
        <v>49400</v>
      </c>
      <c r="I33" s="9">
        <v>5.8500000000000003E-2</v>
      </c>
      <c r="J33">
        <v>3194</v>
      </c>
    </row>
    <row r="34" spans="2:10" x14ac:dyDescent="0.3">
      <c r="B34" s="6" t="s">
        <v>88</v>
      </c>
      <c r="C34" t="s">
        <v>155</v>
      </c>
      <c r="D34" t="s">
        <v>117</v>
      </c>
      <c r="E34" t="s">
        <v>156</v>
      </c>
      <c r="F34">
        <v>201210</v>
      </c>
      <c r="G34" s="17" t="str">
        <f>B34&amp;C34&amp;D34&amp;F34</f>
        <v>카페24트리트먼트HAIR RÉ:COVERY 15 Hairpack Treatment [라베나 리커버리 15 헤어팩 트리트먼트]제품선택=헤어팩 트리트먼트 1개 + 뉴트리셔스밤 1개 세트 5% 추가할인201210</v>
      </c>
      <c r="H34">
        <v>48355</v>
      </c>
      <c r="I34" s="9">
        <v>5.8500000000000003E-2</v>
      </c>
      <c r="J34">
        <v>3177</v>
      </c>
    </row>
    <row r="35" spans="2:10" x14ac:dyDescent="0.3">
      <c r="B35" s="6" t="s">
        <v>88</v>
      </c>
      <c r="C35" t="s">
        <v>154</v>
      </c>
      <c r="D35" t="s">
        <v>118</v>
      </c>
      <c r="E35" t="s">
        <v>154</v>
      </c>
      <c r="F35">
        <v>201210</v>
      </c>
      <c r="G35" s="17" t="str">
        <f>B35&amp;C35&amp;D35&amp;F35</f>
        <v>카페24뉴트리셔스밤HAIR RÉ:COVERY 15 Nutritious Balm [라베나 리커버리 15 뉴트리셔스 밤]제품선택=헤어 리커버리 15 뉴트리셔스 밤201210</v>
      </c>
      <c r="H35">
        <v>24900</v>
      </c>
      <c r="I35" s="9">
        <v>5.8500000000000003E-2</v>
      </c>
      <c r="J35">
        <v>1580</v>
      </c>
    </row>
    <row r="36" spans="2:10" x14ac:dyDescent="0.3">
      <c r="B36" s="6" t="s">
        <v>88</v>
      </c>
      <c r="C36" t="s">
        <v>154</v>
      </c>
      <c r="D36" t="s">
        <v>119</v>
      </c>
      <c r="E36" t="s">
        <v>161</v>
      </c>
      <c r="F36">
        <v>201210</v>
      </c>
      <c r="G36" s="17" t="str">
        <f t="shared" ref="G36" si="10">B36&amp;C36&amp;D36&amp;F36</f>
        <v>카페24뉴트리셔스밤HAIR RÉ:COVERY 15 Nutritious Balm [라베나 리커버리 15 뉴트리셔스 밤]제품선택=뉴트리셔스 밤 3개 세트 10% 추가할인201210</v>
      </c>
      <c r="H36">
        <v>67230</v>
      </c>
      <c r="I36" s="9">
        <v>5.8500000000000003E-2</v>
      </c>
      <c r="J36">
        <v>4740</v>
      </c>
    </row>
    <row r="37" spans="2:10" x14ac:dyDescent="0.3">
      <c r="B37" s="6" t="s">
        <v>88</v>
      </c>
      <c r="C37" t="s">
        <v>155</v>
      </c>
      <c r="D37" t="s">
        <v>120</v>
      </c>
      <c r="E37" t="s">
        <v>158</v>
      </c>
      <c r="F37">
        <v>201210</v>
      </c>
      <c r="G37" s="17" t="str">
        <f t="shared" ref="G37:G38" si="11">B37&amp;C37&amp;D37&amp;F37</f>
        <v>카페24트리트먼트HAIR RÉ:COVERY 15 Hairpack Treatment [라베나 리커버리 15 헤어팩 트리트먼트]제품선택=헤어팩 트리트먼트 3개 세트 10% 추가할인201210</v>
      </c>
      <c r="H37">
        <v>70200</v>
      </c>
      <c r="I37" s="9">
        <v>5.8500000000000003E-2</v>
      </c>
      <c r="J37">
        <v>4791</v>
      </c>
    </row>
    <row r="38" spans="2:10" x14ac:dyDescent="0.3">
      <c r="B38" s="6" t="s">
        <v>88</v>
      </c>
      <c r="C38" t="s">
        <v>154</v>
      </c>
      <c r="D38" t="s">
        <v>121</v>
      </c>
      <c r="E38" t="s">
        <v>160</v>
      </c>
      <c r="F38">
        <v>201210</v>
      </c>
      <c r="G38" s="17" t="str">
        <f t="shared" si="11"/>
        <v>카페24뉴트리셔스밤HAIR RÉ:COVERY 15 Nutritious Balm [라베나 리커버리 15 뉴트리셔스 밤]제품선택=뉴트리셔스 밤 2개 세트 5% 추가할인201210</v>
      </c>
      <c r="H38">
        <v>47310</v>
      </c>
      <c r="I38" s="9">
        <v>5.8500000000000003E-2</v>
      </c>
      <c r="J38">
        <v>3160</v>
      </c>
    </row>
    <row r="39" spans="2:10" x14ac:dyDescent="0.3">
      <c r="B39" s="6" t="s">
        <v>88</v>
      </c>
      <c r="C39" t="s">
        <v>154</v>
      </c>
      <c r="D39" t="s">
        <v>122</v>
      </c>
      <c r="E39" t="s">
        <v>156</v>
      </c>
      <c r="F39">
        <v>201210</v>
      </c>
      <c r="G39" s="17" t="str">
        <f>B39&amp;C39&amp;D39&amp;F39</f>
        <v>카페24뉴트리셔스밤HAIR RÉ:COVERY 15 Nutritious Balm [라베나 리커버리 15 뉴트리셔스 밤]제품선택=뉴트리셔스밤 1개 + 헤어팩 트리트먼트 1개 세트 5%추가할인201210</v>
      </c>
      <c r="H39">
        <v>48355</v>
      </c>
      <c r="I39" s="9">
        <v>5.8500000000000003E-2</v>
      </c>
      <c r="J39">
        <v>3177</v>
      </c>
    </row>
    <row r="40" spans="2:10" x14ac:dyDescent="0.3">
      <c r="B40" t="s">
        <v>95</v>
      </c>
      <c r="C40" t="s">
        <v>85</v>
      </c>
      <c r="D40" t="s">
        <v>123</v>
      </c>
      <c r="E40" t="s">
        <v>153</v>
      </c>
      <c r="F40">
        <v>201210</v>
      </c>
      <c r="G40" s="17" t="str">
        <f>B40&amp;C40&amp;D40&amp;F40</f>
        <v>라베나 CS샴푸헤어 리커버리 15 리바이탈 샴푸201210</v>
      </c>
      <c r="H40">
        <v>0</v>
      </c>
      <c r="I40" s="9">
        <v>0</v>
      </c>
      <c r="J40">
        <v>3020</v>
      </c>
    </row>
    <row r="41" spans="2:10" x14ac:dyDescent="0.3">
      <c r="B41" s="6" t="s">
        <v>88</v>
      </c>
      <c r="C41" t="s">
        <v>85</v>
      </c>
      <c r="D41" t="s">
        <v>123</v>
      </c>
      <c r="E41" t="s">
        <v>153</v>
      </c>
      <c r="F41">
        <v>201210</v>
      </c>
      <c r="G41" s="17" t="str">
        <f>B41&amp;C41&amp;D41&amp;F41</f>
        <v>카페24샴푸헤어 리커버리 15 리바이탈 샴푸201210</v>
      </c>
      <c r="H41">
        <v>26900</v>
      </c>
      <c r="I41" s="9">
        <v>5.8500000000000003E-2</v>
      </c>
      <c r="J41">
        <v>3020</v>
      </c>
    </row>
    <row r="42" spans="2:10" x14ac:dyDescent="0.3">
      <c r="B42" t="s">
        <v>91</v>
      </c>
      <c r="C42" t="s">
        <v>154</v>
      </c>
      <c r="D42" t="s">
        <v>124</v>
      </c>
      <c r="E42" t="s">
        <v>154</v>
      </c>
      <c r="F42">
        <v>201210</v>
      </c>
      <c r="G42" s="17" t="str">
        <f t="shared" ref="G42:G51" si="12">B42&amp;C42&amp;D42&amp;F42</f>
        <v>카페24뉴트리셔스밤라베나 리커버리 15 뉴트리셔스 밤 [HAIR RÉ:COVERY 15 Nutritious Balm]제품선택=헤어 리커버리 15 뉴트리셔스 밤201210</v>
      </c>
      <c r="H42">
        <v>24900</v>
      </c>
      <c r="I42" s="9">
        <v>5.8500000000000003E-2</v>
      </c>
      <c r="J42">
        <v>1580</v>
      </c>
    </row>
    <row r="43" spans="2:10" x14ac:dyDescent="0.3">
      <c r="B43" t="s">
        <v>91</v>
      </c>
      <c r="C43" t="s">
        <v>154</v>
      </c>
      <c r="D43" t="s">
        <v>125</v>
      </c>
      <c r="E43" t="s">
        <v>160</v>
      </c>
      <c r="F43">
        <v>201210</v>
      </c>
      <c r="G43" s="17" t="str">
        <f t="shared" si="12"/>
        <v>카페24뉴트리셔스밤라베나 리커버리 15 뉴트리셔스 밤 [HAIR RÉ:COVERY 15 Nutritious Balm]제품선택=뉴트리셔스 밤 2개 세트 5% 추가할인201210</v>
      </c>
      <c r="H43">
        <v>47310</v>
      </c>
      <c r="I43" s="9">
        <v>5.8500000000000003E-2</v>
      </c>
      <c r="J43">
        <v>3160</v>
      </c>
    </row>
    <row r="44" spans="2:10" x14ac:dyDescent="0.3">
      <c r="B44" t="s">
        <v>91</v>
      </c>
      <c r="C44" t="s">
        <v>154</v>
      </c>
      <c r="D44" t="s">
        <v>126</v>
      </c>
      <c r="E44" t="s">
        <v>156</v>
      </c>
      <c r="F44">
        <v>201210</v>
      </c>
      <c r="G44" s="17" t="str">
        <f t="shared" si="12"/>
        <v>카페24뉴트리셔스밤라베나 리커버리 15 뉴트리셔스 밤 [HAIR RÉ:COVERY 15 Nutritious Balm]제품선택=뉴트리셔스밤 1개 + 헤어팩 트리트먼트 1개 세트 5%추가할인201210</v>
      </c>
      <c r="H44">
        <v>48355</v>
      </c>
      <c r="I44" s="9">
        <v>5.8500000000000003E-2</v>
      </c>
      <c r="J44">
        <v>3177</v>
      </c>
    </row>
    <row r="45" spans="2:10" x14ac:dyDescent="0.3">
      <c r="B45" t="s">
        <v>91</v>
      </c>
      <c r="C45" t="s">
        <v>85</v>
      </c>
      <c r="D45" t="s">
        <v>127</v>
      </c>
      <c r="E45" t="s">
        <v>153</v>
      </c>
      <c r="F45">
        <v>201210</v>
      </c>
      <c r="G45" s="17" t="str">
        <f t="shared" si="12"/>
        <v>카페24샴푸라베나 리커버리 15 리바이탈 샴푸 [HAIR RÉ:COVERY 15 Revital Shampoo]제품선택=헤어 리커버리 15 리바이탈 샴푸 - 500ml201210</v>
      </c>
      <c r="H45">
        <v>26900</v>
      </c>
      <c r="I45" s="9">
        <v>5.8500000000000003E-2</v>
      </c>
      <c r="J45">
        <v>3020</v>
      </c>
    </row>
    <row r="46" spans="2:10" x14ac:dyDescent="0.3">
      <c r="B46" t="s">
        <v>91</v>
      </c>
      <c r="C46" t="s">
        <v>85</v>
      </c>
      <c r="D46" t="s">
        <v>128</v>
      </c>
      <c r="E46" t="s">
        <v>164</v>
      </c>
      <c r="F46">
        <v>201210</v>
      </c>
      <c r="G46" s="17" t="str">
        <f t="shared" si="12"/>
        <v>카페24샴푸라베나 리커버리 15 리바이탈 샴푸 [HAIR RÉ:COVERY 15 Revital Shampoo]제품선택=리바이탈 샴푸 2개 세트 5%추가할인201210</v>
      </c>
      <c r="H46">
        <v>51110</v>
      </c>
      <c r="I46" s="9">
        <v>5.8500000000000003E-2</v>
      </c>
      <c r="J46">
        <v>6040</v>
      </c>
    </row>
    <row r="47" spans="2:10" x14ac:dyDescent="0.3">
      <c r="B47" t="s">
        <v>91</v>
      </c>
      <c r="C47" t="s">
        <v>85</v>
      </c>
      <c r="D47" t="s">
        <v>129</v>
      </c>
      <c r="E47" t="s">
        <v>165</v>
      </c>
      <c r="F47">
        <v>201210</v>
      </c>
      <c r="G47" s="17" t="str">
        <f t="shared" si="12"/>
        <v>카페24샴푸라베나 리커버리 15 리바이탈 샴푸 [HAIR RÉ:COVERY 15 Revital Shampoo]제품선택=리바이탈 샴푸 3개 세트 10% 추가할인201210</v>
      </c>
      <c r="H47">
        <v>72630</v>
      </c>
      <c r="I47" s="9">
        <v>5.8500000000000003E-2</v>
      </c>
      <c r="J47">
        <v>9060</v>
      </c>
    </row>
    <row r="48" spans="2:10" x14ac:dyDescent="0.3">
      <c r="B48" t="s">
        <v>91</v>
      </c>
      <c r="C48" t="s">
        <v>155</v>
      </c>
      <c r="D48" t="s">
        <v>130</v>
      </c>
      <c r="E48" t="s">
        <v>155</v>
      </c>
      <c r="F48">
        <v>201210</v>
      </c>
      <c r="G48" s="17" t="str">
        <f t="shared" si="12"/>
        <v>카페24트리트먼트라베나 리커버리 15 헤어팩 트리트먼트 [HAIR RÉ:COVERY 15 Hairpack Treatment]제품선택=헤어 리커버리 15 헤어팩 트리트먼트201210</v>
      </c>
      <c r="H48">
        <v>26000</v>
      </c>
      <c r="I48" s="9">
        <v>5.8500000000000003E-2</v>
      </c>
      <c r="J48">
        <v>1597</v>
      </c>
    </row>
    <row r="49" spans="2:10" x14ac:dyDescent="0.3">
      <c r="B49" t="s">
        <v>91</v>
      </c>
      <c r="C49" t="s">
        <v>155</v>
      </c>
      <c r="D49" t="s">
        <v>131</v>
      </c>
      <c r="E49" t="s">
        <v>157</v>
      </c>
      <c r="F49">
        <v>201210</v>
      </c>
      <c r="G49" s="17" t="str">
        <f t="shared" si="12"/>
        <v>카페24트리트먼트라베나 리커버리 15 헤어팩 트리트먼트 [HAIR RÉ:COVERY 15 Hairpack Treatment]제품선택=헤어팩 트리트먼트 2개 세트 5% 추가할인201210</v>
      </c>
      <c r="H49">
        <v>49400</v>
      </c>
      <c r="I49" s="9">
        <v>5.8500000000000003E-2</v>
      </c>
      <c r="J49">
        <v>3194</v>
      </c>
    </row>
    <row r="50" spans="2:10" x14ac:dyDescent="0.3">
      <c r="B50" t="s">
        <v>91</v>
      </c>
      <c r="C50" t="s">
        <v>155</v>
      </c>
      <c r="D50" t="s">
        <v>132</v>
      </c>
      <c r="E50" t="s">
        <v>158</v>
      </c>
      <c r="F50">
        <v>201210</v>
      </c>
      <c r="G50" s="17" t="str">
        <f t="shared" si="12"/>
        <v>카페24트리트먼트라베나 리커버리 15 헤어팩 트리트먼트 [HAIR RÉ:COVERY 15 Hairpack Treatment]제품선택=헤어팩 트리트먼트 3개 세트 10% 추가할인201210</v>
      </c>
      <c r="H50">
        <v>70200</v>
      </c>
      <c r="I50" s="9">
        <v>5.8500000000000003E-2</v>
      </c>
      <c r="J50">
        <v>4791</v>
      </c>
    </row>
    <row r="51" spans="2:10" x14ac:dyDescent="0.3">
      <c r="B51" t="s">
        <v>91</v>
      </c>
      <c r="C51" t="s">
        <v>155</v>
      </c>
      <c r="D51" t="s">
        <v>133</v>
      </c>
      <c r="E51" t="s">
        <v>156</v>
      </c>
      <c r="F51">
        <v>201210</v>
      </c>
      <c r="G51" s="17" t="str">
        <f t="shared" si="12"/>
        <v>카페24트리트먼트라베나 리커버리 15 헤어팩 트리트먼트 [HAIR RÉ:COVERY 15 Hairpack Treatment]제품선택=헤어팩 트리트먼트 1개 + 뉴트리셔스밤 1개 세트 5% 추가할인201210</v>
      </c>
      <c r="H51">
        <v>48355</v>
      </c>
      <c r="I51" s="9">
        <v>5.8500000000000003E-2</v>
      </c>
      <c r="J51">
        <v>3177</v>
      </c>
    </row>
    <row r="52" spans="2:10" x14ac:dyDescent="0.3">
      <c r="B52" t="s">
        <v>91</v>
      </c>
      <c r="C52" t="s">
        <v>154</v>
      </c>
      <c r="D52" t="s">
        <v>134</v>
      </c>
      <c r="E52" t="s">
        <v>161</v>
      </c>
      <c r="F52">
        <v>201210</v>
      </c>
      <c r="G52" s="17" t="str">
        <f t="shared" ref="G52" si="13">B52&amp;C52&amp;D52&amp;F52</f>
        <v>카페24뉴트리셔스밤라베나 리커버리 15 뉴트리셔스 밤 [HAIR RÉ:COVERY 15 Nutritious Balm]제품선택=뉴트리셔스 밤 3개 세트 10% 추가할인201210</v>
      </c>
      <c r="H52">
        <v>62868</v>
      </c>
      <c r="I52" s="9">
        <v>5.8500000000000003E-2</v>
      </c>
      <c r="J52">
        <v>4740</v>
      </c>
    </row>
    <row r="53" spans="2:10" x14ac:dyDescent="0.3">
      <c r="B53" t="s">
        <v>91</v>
      </c>
      <c r="C53" t="s">
        <v>85</v>
      </c>
      <c r="D53" t="s">
        <v>144</v>
      </c>
      <c r="E53" t="s">
        <v>153</v>
      </c>
      <c r="F53">
        <v>201210</v>
      </c>
      <c r="G53" s="17" t="str">
        <f t="shared" ref="G53:G67" si="14">B53&amp;C53&amp;D53&amp;F53</f>
        <v>카페24샴푸라베나 리커버리 15 리바이탈 바이오플라보노이드샴푸 [HAIR RÉ:COVERY 15 Revital Shampoo]제품선택=헤어 리커버리 15 리바이탈 샴푸 - 500ml201210</v>
      </c>
      <c r="H53">
        <v>26900</v>
      </c>
      <c r="I53" s="9">
        <v>5.8500000000000003E-2</v>
      </c>
      <c r="J53">
        <v>3020</v>
      </c>
    </row>
    <row r="54" spans="2:10" x14ac:dyDescent="0.3">
      <c r="B54" t="s">
        <v>91</v>
      </c>
      <c r="C54" t="s">
        <v>85</v>
      </c>
      <c r="D54" t="s">
        <v>145</v>
      </c>
      <c r="E54" t="s">
        <v>164</v>
      </c>
      <c r="F54">
        <v>201210</v>
      </c>
      <c r="G54" s="17" t="str">
        <f t="shared" si="14"/>
        <v>카페24샴푸라베나 리커버리 15 리바이탈 바이오플라보노이드샴푸 [HAIR RÉ:COVERY 15 Revital Shampoo]제품선택=리바이탈 샴푸 2개 세트 5%추가할인201210</v>
      </c>
      <c r="H54">
        <v>51110</v>
      </c>
      <c r="I54" s="9">
        <v>5.8500000000000003E-2</v>
      </c>
      <c r="J54">
        <v>6040</v>
      </c>
    </row>
    <row r="55" spans="2:10" x14ac:dyDescent="0.3">
      <c r="B55" t="s">
        <v>91</v>
      </c>
      <c r="C55" t="s">
        <v>85</v>
      </c>
      <c r="D55" t="s">
        <v>146</v>
      </c>
      <c r="E55" t="s">
        <v>165</v>
      </c>
      <c r="F55">
        <v>201210</v>
      </c>
      <c r="G55" s="17" t="str">
        <f t="shared" si="14"/>
        <v>카페24샴푸라베나 리커버리 15 리바이탈 바이오플라보노이드샴푸 [HAIR RÉ:COVERY 15 Revital Shampoo]제품선택=리바이탈 샴푸 3개 세트 10% 추가할인201210</v>
      </c>
      <c r="H55">
        <v>72630</v>
      </c>
      <c r="I55" s="9">
        <v>5.8500000000000003E-2</v>
      </c>
      <c r="J55">
        <v>9060</v>
      </c>
    </row>
    <row r="56" spans="2:10" x14ac:dyDescent="0.3">
      <c r="B56" t="s">
        <v>91</v>
      </c>
      <c r="C56" t="s">
        <v>154</v>
      </c>
      <c r="D56" t="s">
        <v>124</v>
      </c>
      <c r="E56" t="s">
        <v>154</v>
      </c>
      <c r="F56">
        <v>210201</v>
      </c>
      <c r="G56" s="17" t="str">
        <f t="shared" si="14"/>
        <v>카페24뉴트리셔스밤라베나 리커버리 15 뉴트리셔스 밤 [HAIR RÉ:COVERY 15 Nutritious Balm]제품선택=헤어 리커버리 15 뉴트리셔스 밤210201</v>
      </c>
      <c r="H56">
        <v>24900</v>
      </c>
      <c r="I56" s="9">
        <v>5.8500000000000003E-2</v>
      </c>
      <c r="J56">
        <v>1580</v>
      </c>
    </row>
    <row r="57" spans="2:10" x14ac:dyDescent="0.3">
      <c r="B57" t="s">
        <v>91</v>
      </c>
      <c r="C57" t="s">
        <v>154</v>
      </c>
      <c r="D57" t="s">
        <v>125</v>
      </c>
      <c r="E57" t="s">
        <v>160</v>
      </c>
      <c r="F57">
        <v>210201</v>
      </c>
      <c r="G57" s="17" t="str">
        <f t="shared" si="14"/>
        <v>카페24뉴트리셔스밤라베나 리커버리 15 뉴트리셔스 밤 [HAIR RÉ:COVERY 15 Nutritious Balm]제품선택=뉴트리셔스 밤 2개 세트 5% 추가할인210201</v>
      </c>
      <c r="H57">
        <v>47310</v>
      </c>
      <c r="I57" s="9">
        <v>5.8500000000000003E-2</v>
      </c>
      <c r="J57">
        <v>3160</v>
      </c>
    </row>
    <row r="58" spans="2:10" x14ac:dyDescent="0.3">
      <c r="B58" t="s">
        <v>91</v>
      </c>
      <c r="C58" t="s">
        <v>154</v>
      </c>
      <c r="D58" t="s">
        <v>134</v>
      </c>
      <c r="E58" t="s">
        <v>161</v>
      </c>
      <c r="F58">
        <v>210201</v>
      </c>
      <c r="G58" s="17" t="str">
        <f t="shared" si="14"/>
        <v>카페24뉴트리셔스밤라베나 리커버리 15 뉴트리셔스 밤 [HAIR RÉ:COVERY 15 Nutritious Balm]제품선택=뉴트리셔스 밤 3개 세트 10% 추가할인210201</v>
      </c>
      <c r="H58">
        <v>67230</v>
      </c>
      <c r="I58" s="9">
        <v>5.8500000000000003E-2</v>
      </c>
      <c r="J58">
        <v>4740</v>
      </c>
    </row>
    <row r="59" spans="2:10" x14ac:dyDescent="0.3">
      <c r="B59" t="s">
        <v>91</v>
      </c>
      <c r="C59" t="s">
        <v>85</v>
      </c>
      <c r="D59" t="s">
        <v>144</v>
      </c>
      <c r="E59" t="s">
        <v>153</v>
      </c>
      <c r="F59">
        <v>210201</v>
      </c>
      <c r="G59" s="17" t="str">
        <f t="shared" si="14"/>
        <v>카페24샴푸라베나 리커버리 15 리바이탈 바이오플라보노이드샴푸 [HAIR RÉ:COVERY 15 Revital Shampoo]제품선택=헤어 리커버리 15 리바이탈 샴푸 - 500ml210201</v>
      </c>
      <c r="H59">
        <v>26900</v>
      </c>
      <c r="I59" s="9">
        <v>5.8500000000000003E-2</v>
      </c>
      <c r="J59">
        <v>2865</v>
      </c>
    </row>
    <row r="60" spans="2:10" x14ac:dyDescent="0.3">
      <c r="B60" t="s">
        <v>91</v>
      </c>
      <c r="C60" t="s">
        <v>85</v>
      </c>
      <c r="D60" t="s">
        <v>145</v>
      </c>
      <c r="E60" t="s">
        <v>164</v>
      </c>
      <c r="F60">
        <v>210201</v>
      </c>
      <c r="G60" s="17" t="str">
        <f t="shared" si="14"/>
        <v>카페24샴푸라베나 리커버리 15 리바이탈 바이오플라보노이드샴푸 [HAIR RÉ:COVERY 15 Revital Shampoo]제품선택=리바이탈 샴푸 2개 세트 5%추가할인210201</v>
      </c>
      <c r="H60">
        <v>51110</v>
      </c>
      <c r="I60" s="9">
        <v>5.8500000000000003E-2</v>
      </c>
      <c r="J60">
        <v>5730</v>
      </c>
    </row>
    <row r="61" spans="2:10" x14ac:dyDescent="0.3">
      <c r="B61" t="s">
        <v>91</v>
      </c>
      <c r="C61" t="s">
        <v>85</v>
      </c>
      <c r="D61" t="s">
        <v>146</v>
      </c>
      <c r="E61" t="s">
        <v>165</v>
      </c>
      <c r="F61">
        <v>210201</v>
      </c>
      <c r="G61" s="17" t="str">
        <f t="shared" si="14"/>
        <v>카페24샴푸라베나 리커버리 15 리바이탈 바이오플라보노이드샴푸 [HAIR RÉ:COVERY 15 Revital Shampoo]제품선택=리바이탈 샴푸 3개 세트 10% 추가할인210201</v>
      </c>
      <c r="H61">
        <v>72630</v>
      </c>
      <c r="I61" s="9">
        <v>5.8500000000000003E-2</v>
      </c>
      <c r="J61">
        <v>8595</v>
      </c>
    </row>
    <row r="62" spans="2:10" x14ac:dyDescent="0.3">
      <c r="B62" t="s">
        <v>91</v>
      </c>
      <c r="C62" t="s">
        <v>85</v>
      </c>
      <c r="D62" t="s">
        <v>127</v>
      </c>
      <c r="E62" t="s">
        <v>153</v>
      </c>
      <c r="F62">
        <v>210201</v>
      </c>
      <c r="G62" s="17" t="str">
        <f t="shared" si="14"/>
        <v>카페24샴푸라베나 리커버리 15 리바이탈 샴푸 [HAIR RÉ:COVERY 15 Revital Shampoo]제품선택=헤어 리커버리 15 리바이탈 샴푸 - 500ml210201</v>
      </c>
      <c r="H62">
        <v>26900</v>
      </c>
      <c r="I62" s="9">
        <v>5.8500000000000003E-2</v>
      </c>
      <c r="J62">
        <v>2865</v>
      </c>
    </row>
    <row r="63" spans="2:10" x14ac:dyDescent="0.3">
      <c r="B63" t="s">
        <v>91</v>
      </c>
      <c r="C63" t="s">
        <v>155</v>
      </c>
      <c r="D63" t="s">
        <v>130</v>
      </c>
      <c r="E63" t="s">
        <v>155</v>
      </c>
      <c r="F63">
        <v>210201</v>
      </c>
      <c r="G63" s="17" t="str">
        <f t="shared" si="14"/>
        <v>카페24트리트먼트라베나 리커버리 15 헤어팩 트리트먼트 [HAIR RÉ:COVERY 15 Hairpack Treatment]제품선택=헤어 리커버리 15 헤어팩 트리트먼트210201</v>
      </c>
      <c r="H63">
        <v>26000</v>
      </c>
      <c r="I63" s="9">
        <v>5.8500000000000003E-2</v>
      </c>
      <c r="J63">
        <v>1597</v>
      </c>
    </row>
    <row r="64" spans="2:10" x14ac:dyDescent="0.3">
      <c r="B64" t="s">
        <v>91</v>
      </c>
      <c r="C64" t="s">
        <v>155</v>
      </c>
      <c r="D64" t="s">
        <v>131</v>
      </c>
      <c r="E64" t="s">
        <v>157</v>
      </c>
      <c r="F64">
        <v>210201</v>
      </c>
      <c r="G64" s="17" t="str">
        <f t="shared" si="14"/>
        <v>카페24트리트먼트라베나 리커버리 15 헤어팩 트리트먼트 [HAIR RÉ:COVERY 15 Hairpack Treatment]제품선택=헤어팩 트리트먼트 2개 세트 5% 추가할인210201</v>
      </c>
      <c r="H64">
        <v>49400</v>
      </c>
      <c r="I64" s="9">
        <v>5.8500000000000003E-2</v>
      </c>
      <c r="J64">
        <v>3194</v>
      </c>
    </row>
    <row r="65" spans="2:10" x14ac:dyDescent="0.3">
      <c r="B65" t="s">
        <v>91</v>
      </c>
      <c r="C65" t="s">
        <v>155</v>
      </c>
      <c r="D65" t="s">
        <v>132</v>
      </c>
      <c r="E65" t="s">
        <v>158</v>
      </c>
      <c r="F65">
        <v>210201</v>
      </c>
      <c r="G65" s="17" t="str">
        <f t="shared" si="14"/>
        <v>카페24트리트먼트라베나 리커버리 15 헤어팩 트리트먼트 [HAIR RÉ:COVERY 15 Hairpack Treatment]제품선택=헤어팩 트리트먼트 3개 세트 10% 추가할인210201</v>
      </c>
      <c r="H65">
        <v>70200</v>
      </c>
      <c r="I65" s="9">
        <v>5.8500000000000003E-2</v>
      </c>
      <c r="J65">
        <v>4791</v>
      </c>
    </row>
    <row r="66" spans="2:10" x14ac:dyDescent="0.3">
      <c r="B66" t="s">
        <v>91</v>
      </c>
      <c r="C66" t="s">
        <v>85</v>
      </c>
      <c r="D66" t="s">
        <v>123</v>
      </c>
      <c r="E66" t="s">
        <v>153</v>
      </c>
      <c r="F66">
        <v>210201</v>
      </c>
      <c r="G66" s="17" t="str">
        <f t="shared" si="14"/>
        <v>카페24샴푸헤어 리커버리 15 리바이탈 샴푸210201</v>
      </c>
      <c r="H66">
        <v>26900</v>
      </c>
      <c r="I66" s="9">
        <v>5.8500000000000003E-2</v>
      </c>
      <c r="J66">
        <v>2865</v>
      </c>
    </row>
    <row r="67" spans="2:10" x14ac:dyDescent="0.3">
      <c r="B67" t="s">
        <v>91</v>
      </c>
      <c r="C67" t="s">
        <v>155</v>
      </c>
      <c r="D67" t="s">
        <v>133</v>
      </c>
      <c r="E67" t="s">
        <v>156</v>
      </c>
      <c r="F67">
        <v>210201</v>
      </c>
      <c r="G67" s="17" t="str">
        <f t="shared" si="14"/>
        <v>카페24트리트먼트라베나 리커버리 15 헤어팩 트리트먼트 [HAIR RÉ:COVERY 15 Hairpack Treatment]제품선택=헤어팩 트리트먼트 1개 + 뉴트리셔스밤 1개 세트 5% 추가할인210201</v>
      </c>
      <c r="H67">
        <v>48355</v>
      </c>
      <c r="I67" s="9">
        <v>5.8500000000000003E-2</v>
      </c>
      <c r="J67">
        <v>3177</v>
      </c>
    </row>
    <row r="68" spans="2:10" x14ac:dyDescent="0.3">
      <c r="B68" t="s">
        <v>95</v>
      </c>
      <c r="C68" t="s">
        <v>85</v>
      </c>
      <c r="D68" t="s">
        <v>123</v>
      </c>
      <c r="E68" t="s">
        <v>85</v>
      </c>
      <c r="F68">
        <v>210201</v>
      </c>
      <c r="G68" s="17" t="str">
        <f t="shared" ref="G68" si="15">B68&amp;C68&amp;D68&amp;F68</f>
        <v>라베나 CS샴푸헤어 리커버리 15 리바이탈 샴푸210201</v>
      </c>
      <c r="H68">
        <v>0</v>
      </c>
      <c r="I68" s="9">
        <v>5.8500000000000003E-2</v>
      </c>
      <c r="J68">
        <v>2865</v>
      </c>
    </row>
    <row r="69" spans="2:10" x14ac:dyDescent="0.3">
      <c r="B69" t="s">
        <v>95</v>
      </c>
      <c r="C69" t="s">
        <v>85</v>
      </c>
      <c r="D69" t="s">
        <v>145</v>
      </c>
      <c r="E69" t="s">
        <v>85</v>
      </c>
      <c r="F69">
        <v>210201</v>
      </c>
      <c r="G69" s="17" t="str">
        <f t="shared" ref="G69:G70" si="16">B69&amp;C69&amp;D69&amp;F69</f>
        <v>라베나 CS샴푸라베나 리커버리 15 리바이탈 바이오플라보노이드샴푸 [HAIR RÉ:COVERY 15 Revital Shampoo]제품선택=리바이탈 샴푸 2개 세트 5%추가할인210201</v>
      </c>
      <c r="H69">
        <v>0</v>
      </c>
      <c r="I69" s="9">
        <v>5.8500000000000003E-2</v>
      </c>
      <c r="J69">
        <v>2865</v>
      </c>
    </row>
    <row r="70" spans="2:10" x14ac:dyDescent="0.3">
      <c r="B70" t="s">
        <v>91</v>
      </c>
      <c r="C70" t="s">
        <v>85</v>
      </c>
      <c r="D70" t="s">
        <v>128</v>
      </c>
      <c r="E70" t="s">
        <v>164</v>
      </c>
      <c r="F70">
        <v>210201</v>
      </c>
      <c r="G70" s="17" t="str">
        <f t="shared" si="16"/>
        <v>카페24샴푸라베나 리커버리 15 리바이탈 샴푸 [HAIR RÉ:COVERY 15 Revital Shampoo]제품선택=리바이탈 샴푸 2개 세트 5%추가할인210201</v>
      </c>
      <c r="H70">
        <v>51110</v>
      </c>
      <c r="I70" s="9">
        <v>5.8500000000000003E-2</v>
      </c>
      <c r="J70">
        <v>5730</v>
      </c>
    </row>
    <row r="71" spans="2:10" x14ac:dyDescent="0.3">
      <c r="B71" t="s">
        <v>91</v>
      </c>
      <c r="C71" t="s">
        <v>154</v>
      </c>
      <c r="D71" t="s">
        <v>126</v>
      </c>
      <c r="E71" t="s">
        <v>156</v>
      </c>
      <c r="F71">
        <v>210201</v>
      </c>
      <c r="G71" s="17" t="str">
        <f t="shared" ref="G71" si="17">B71&amp;C71&amp;D71&amp;F71</f>
        <v>카페24뉴트리셔스밤라베나 리커버리 15 뉴트리셔스 밤 [HAIR RÉ:COVERY 15 Nutritious Balm]제품선택=뉴트리셔스밤 1개 + 헤어팩 트리트먼트 1개 세트 5%추가할인210201</v>
      </c>
      <c r="H71">
        <v>48355</v>
      </c>
      <c r="I71" s="9">
        <v>5.8500000000000003E-2</v>
      </c>
      <c r="J71">
        <v>3177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AE-F1F6-41AE-A65D-04807EC1995D}">
  <dimension ref="B1:D94"/>
  <sheetViews>
    <sheetView topLeftCell="A12" workbookViewId="0">
      <selection activeCell="C59" sqref="C59"/>
    </sheetView>
  </sheetViews>
  <sheetFormatPr defaultRowHeight="16.5" x14ac:dyDescent="0.3"/>
  <cols>
    <col min="2" max="2" width="10.875" bestFit="1" customWidth="1"/>
    <col min="3" max="3" width="12.25" style="15" bestFit="1" customWidth="1"/>
    <col min="4" max="4" width="23.25" style="15" bestFit="1" customWidth="1"/>
    <col min="5" max="5" width="25" bestFit="1" customWidth="1"/>
    <col min="6" max="6" width="11.25" bestFit="1" customWidth="1"/>
    <col min="7" max="7" width="18" bestFit="1" customWidth="1"/>
    <col min="8" max="8" width="29.75" bestFit="1" customWidth="1"/>
  </cols>
  <sheetData>
    <row r="1" spans="2:4" x14ac:dyDescent="0.3">
      <c r="B1" s="12" t="s">
        <v>148</v>
      </c>
      <c r="C1" t="s">
        <v>166</v>
      </c>
    </row>
    <row r="3" spans="2:4" x14ac:dyDescent="0.3">
      <c r="B3" s="12" t="s">
        <v>7</v>
      </c>
      <c r="C3" t="s">
        <v>0</v>
      </c>
      <c r="D3" t="s">
        <v>167</v>
      </c>
    </row>
    <row r="4" spans="2:4" x14ac:dyDescent="0.3">
      <c r="B4" s="13">
        <v>44144</v>
      </c>
      <c r="C4" s="16">
        <v>53800</v>
      </c>
      <c r="D4" s="16">
        <v>48909.090909090904</v>
      </c>
    </row>
    <row r="5" spans="2:4" x14ac:dyDescent="0.3">
      <c r="B5" s="13">
        <v>44148</v>
      </c>
      <c r="C5" s="16">
        <v>26900</v>
      </c>
      <c r="D5" s="16">
        <v>24454.545454545452</v>
      </c>
    </row>
    <row r="6" spans="2:4" x14ac:dyDescent="0.3">
      <c r="B6" s="13">
        <v>44149</v>
      </c>
      <c r="C6" s="16">
        <v>201750</v>
      </c>
      <c r="D6" s="16">
        <v>183409.09090909088</v>
      </c>
    </row>
    <row r="7" spans="2:4" x14ac:dyDescent="0.3">
      <c r="B7" s="13">
        <v>44150</v>
      </c>
      <c r="C7" s="16">
        <v>225960</v>
      </c>
      <c r="D7" s="16">
        <v>205418.18181818179</v>
      </c>
    </row>
    <row r="8" spans="2:4" x14ac:dyDescent="0.3">
      <c r="B8" s="14" t="s">
        <v>11</v>
      </c>
      <c r="C8" s="16"/>
      <c r="D8" s="16"/>
    </row>
    <row r="9" spans="2:4" x14ac:dyDescent="0.3">
      <c r="B9" s="13">
        <v>44151</v>
      </c>
      <c r="C9" s="16">
        <v>126430</v>
      </c>
      <c r="D9" s="16">
        <v>114936.36363636362</v>
      </c>
    </row>
    <row r="10" spans="2:4" x14ac:dyDescent="0.3">
      <c r="B10" s="13">
        <v>44152</v>
      </c>
      <c r="C10" s="16">
        <v>204440</v>
      </c>
      <c r="D10" s="16">
        <v>185854.54545454541</v>
      </c>
    </row>
    <row r="11" spans="2:4" x14ac:dyDescent="0.3">
      <c r="B11" s="13">
        <v>44153</v>
      </c>
      <c r="C11" s="16">
        <v>524550</v>
      </c>
      <c r="D11" s="16">
        <v>476863.63636363635</v>
      </c>
    </row>
    <row r="12" spans="2:4" x14ac:dyDescent="0.3">
      <c r="B12" s="13">
        <v>44154</v>
      </c>
      <c r="C12" s="16">
        <v>312040</v>
      </c>
      <c r="D12" s="16">
        <v>283672.72727272724</v>
      </c>
    </row>
    <row r="13" spans="2:4" x14ac:dyDescent="0.3">
      <c r="B13" s="13">
        <v>44155</v>
      </c>
      <c r="C13" s="16">
        <v>564900</v>
      </c>
      <c r="D13" s="16">
        <v>513545.45454545447</v>
      </c>
    </row>
    <row r="14" spans="2:4" x14ac:dyDescent="0.3">
      <c r="B14" s="13">
        <v>44156</v>
      </c>
      <c r="C14" s="16">
        <v>1834580</v>
      </c>
      <c r="D14" s="16">
        <v>1667799.9999999998</v>
      </c>
    </row>
    <row r="15" spans="2:4" x14ac:dyDescent="0.3">
      <c r="B15" s="13">
        <v>44157</v>
      </c>
      <c r="C15" s="16">
        <v>1848030</v>
      </c>
      <c r="D15" s="16">
        <v>1680027.2727272725</v>
      </c>
    </row>
    <row r="16" spans="2:4" x14ac:dyDescent="0.3">
      <c r="B16" s="13">
        <v>44158</v>
      </c>
      <c r="C16" s="16">
        <v>1646280</v>
      </c>
      <c r="D16" s="16">
        <v>1496618.1818181816</v>
      </c>
    </row>
    <row r="17" spans="2:4" x14ac:dyDescent="0.3">
      <c r="B17" s="13">
        <v>44159</v>
      </c>
      <c r="C17" s="16">
        <v>1923350</v>
      </c>
      <c r="D17" s="16">
        <v>1748500</v>
      </c>
    </row>
    <row r="18" spans="2:4" x14ac:dyDescent="0.3">
      <c r="B18" s="13">
        <v>44160</v>
      </c>
      <c r="C18" s="16">
        <v>1291200</v>
      </c>
      <c r="D18" s="16">
        <v>1173818.1818181816</v>
      </c>
    </row>
    <row r="19" spans="2:4" x14ac:dyDescent="0.3">
      <c r="B19" s="13">
        <v>44161</v>
      </c>
      <c r="C19" s="16">
        <v>1250850</v>
      </c>
      <c r="D19" s="16">
        <v>1137136.3636363635</v>
      </c>
    </row>
    <row r="20" spans="2:4" x14ac:dyDescent="0.3">
      <c r="B20" s="13">
        <v>44162</v>
      </c>
      <c r="C20" s="16">
        <v>1022200</v>
      </c>
      <c r="D20" s="22">
        <v>929272.72727272706</v>
      </c>
    </row>
    <row r="21" spans="2:4" x14ac:dyDescent="0.3">
      <c r="B21" s="13">
        <v>44163</v>
      </c>
      <c r="C21" s="16">
        <v>960330</v>
      </c>
      <c r="D21" s="22">
        <v>873027.27272727271</v>
      </c>
    </row>
    <row r="22" spans="2:4" x14ac:dyDescent="0.3">
      <c r="B22" s="13">
        <v>44164</v>
      </c>
      <c r="C22" s="16">
        <v>1899140</v>
      </c>
      <c r="D22" s="22">
        <v>1726490.9090909089</v>
      </c>
    </row>
    <row r="23" spans="2:4" x14ac:dyDescent="0.3">
      <c r="B23" s="13">
        <v>44165</v>
      </c>
      <c r="C23" s="16">
        <v>2049780</v>
      </c>
      <c r="D23" s="22">
        <v>1863436.3636363633</v>
      </c>
    </row>
    <row r="24" spans="2:4" x14ac:dyDescent="0.3">
      <c r="B24" s="13">
        <v>44166</v>
      </c>
      <c r="C24" s="16">
        <v>2055160</v>
      </c>
      <c r="D24" s="16">
        <v>1868327.2727272725</v>
      </c>
    </row>
    <row r="25" spans="2:4" x14ac:dyDescent="0.3">
      <c r="B25" s="13">
        <v>44167</v>
      </c>
      <c r="C25" s="16">
        <v>1654350</v>
      </c>
      <c r="D25" s="16">
        <v>1503954.5454545452</v>
      </c>
    </row>
    <row r="26" spans="2:4" x14ac:dyDescent="0.3">
      <c r="B26" s="13">
        <v>44168</v>
      </c>
      <c r="C26" s="16">
        <v>2001360</v>
      </c>
      <c r="D26" s="16">
        <v>1819418.1818181816</v>
      </c>
    </row>
    <row r="27" spans="2:4" x14ac:dyDescent="0.3">
      <c r="B27" s="13">
        <v>44169</v>
      </c>
      <c r="C27" s="16">
        <v>1436460</v>
      </c>
      <c r="D27" s="16">
        <v>1305872.7272727271</v>
      </c>
    </row>
    <row r="28" spans="2:4" x14ac:dyDescent="0.3">
      <c r="B28" s="13">
        <v>44170</v>
      </c>
      <c r="C28" s="16">
        <v>2558190</v>
      </c>
      <c r="D28" s="16">
        <v>2325627.2727272725</v>
      </c>
    </row>
    <row r="29" spans="2:4" x14ac:dyDescent="0.3">
      <c r="B29" s="13">
        <v>44171</v>
      </c>
      <c r="C29" s="16">
        <v>2329540</v>
      </c>
      <c r="D29" s="16">
        <v>2117763.6363636362</v>
      </c>
    </row>
    <row r="30" spans="2:4" x14ac:dyDescent="0.3">
      <c r="B30" s="13">
        <v>44172</v>
      </c>
      <c r="C30" s="16">
        <v>1630140</v>
      </c>
      <c r="D30" s="16">
        <v>1481945.4545454544</v>
      </c>
    </row>
    <row r="31" spans="2:4" x14ac:dyDescent="0.3">
      <c r="B31" s="13">
        <v>44173</v>
      </c>
      <c r="C31" s="16">
        <v>3080383</v>
      </c>
      <c r="D31" s="16">
        <v>2800348.1818181816</v>
      </c>
    </row>
    <row r="32" spans="2:4" x14ac:dyDescent="0.3">
      <c r="B32" s="13">
        <v>44174</v>
      </c>
      <c r="C32" s="16">
        <v>2184002</v>
      </c>
      <c r="D32" s="16">
        <v>1985456.3636363633</v>
      </c>
    </row>
    <row r="33" spans="2:4" x14ac:dyDescent="0.3">
      <c r="B33" s="13">
        <v>44175</v>
      </c>
      <c r="C33" s="16">
        <v>2010677</v>
      </c>
      <c r="D33" s="16">
        <v>1827888.1818181816</v>
      </c>
    </row>
    <row r="34" spans="2:4" x14ac:dyDescent="0.3">
      <c r="B34" s="13">
        <v>44176</v>
      </c>
      <c r="C34" s="16">
        <v>2521509</v>
      </c>
      <c r="D34" s="16">
        <v>2292280.9090909092</v>
      </c>
    </row>
    <row r="35" spans="2:4" x14ac:dyDescent="0.3">
      <c r="B35" s="13">
        <v>44177</v>
      </c>
      <c r="C35" s="16">
        <v>1606125</v>
      </c>
      <c r="D35" s="16">
        <v>1460113.6363636362</v>
      </c>
    </row>
    <row r="36" spans="2:4" x14ac:dyDescent="0.3">
      <c r="B36" s="13">
        <v>44178</v>
      </c>
      <c r="C36" s="16">
        <v>1132745</v>
      </c>
      <c r="D36" s="16">
        <v>1029768.1818181816</v>
      </c>
    </row>
    <row r="37" spans="2:4" x14ac:dyDescent="0.3">
      <c r="B37" s="13">
        <v>44179</v>
      </c>
      <c r="C37" s="16">
        <v>1876630</v>
      </c>
      <c r="D37" s="16">
        <v>1706027.2727272725</v>
      </c>
    </row>
    <row r="38" spans="2:4" x14ac:dyDescent="0.3">
      <c r="B38" s="13">
        <v>44180</v>
      </c>
      <c r="C38" s="16">
        <v>1247830</v>
      </c>
      <c r="D38" s="16">
        <v>1134390.9090909089</v>
      </c>
    </row>
    <row r="39" spans="2:4" x14ac:dyDescent="0.3">
      <c r="B39" s="13">
        <v>44181</v>
      </c>
      <c r="C39" s="16">
        <v>1562300</v>
      </c>
      <c r="D39" s="16">
        <v>1420272.7272727271</v>
      </c>
    </row>
    <row r="40" spans="2:4" x14ac:dyDescent="0.3">
      <c r="B40" s="13">
        <v>44182</v>
      </c>
      <c r="C40" s="16">
        <v>3293990</v>
      </c>
      <c r="D40" s="16">
        <v>2994536.3636363633</v>
      </c>
    </row>
    <row r="41" spans="2:4" x14ac:dyDescent="0.3">
      <c r="B41" s="13">
        <v>44185</v>
      </c>
      <c r="C41" s="16">
        <v>6215290</v>
      </c>
      <c r="D41" s="16">
        <v>5650263.6363636358</v>
      </c>
    </row>
    <row r="42" spans="2:4" x14ac:dyDescent="0.3">
      <c r="B42" s="13">
        <v>44184</v>
      </c>
      <c r="C42" s="16">
        <v>3419315</v>
      </c>
      <c r="D42" s="16">
        <v>3108468.1818181816</v>
      </c>
    </row>
    <row r="43" spans="2:4" x14ac:dyDescent="0.3">
      <c r="B43" s="13">
        <v>44183</v>
      </c>
      <c r="C43" s="16">
        <v>5382450</v>
      </c>
      <c r="D43" s="16">
        <v>4893136.3636363633</v>
      </c>
    </row>
    <row r="44" spans="2:4" x14ac:dyDescent="0.3">
      <c r="B44" s="13">
        <v>44186</v>
      </c>
      <c r="C44" s="16">
        <v>5450325</v>
      </c>
      <c r="D44" s="16">
        <v>4954840.9090909082</v>
      </c>
    </row>
    <row r="45" spans="2:4" x14ac:dyDescent="0.3">
      <c r="B45" s="13">
        <v>44187</v>
      </c>
      <c r="C45" s="16">
        <v>2722615</v>
      </c>
      <c r="D45" s="16">
        <v>2475104.5454545449</v>
      </c>
    </row>
    <row r="46" spans="2:4" x14ac:dyDescent="0.3">
      <c r="B46" s="13">
        <v>44188</v>
      </c>
      <c r="C46" s="16">
        <v>3427625</v>
      </c>
      <c r="D46" s="16">
        <v>3116022.7272727271</v>
      </c>
    </row>
    <row r="47" spans="2:4" x14ac:dyDescent="0.3">
      <c r="B47" s="13">
        <v>44189</v>
      </c>
      <c r="C47" s="16">
        <v>2494345</v>
      </c>
      <c r="D47" s="16">
        <v>2267586.3636363633</v>
      </c>
    </row>
    <row r="48" spans="2:4" x14ac:dyDescent="0.3">
      <c r="B48" s="13">
        <v>44190</v>
      </c>
      <c r="C48" s="16">
        <v>2457060</v>
      </c>
      <c r="D48" s="16">
        <v>2233690.9090909087</v>
      </c>
    </row>
    <row r="49" spans="2:4" x14ac:dyDescent="0.3">
      <c r="B49" s="13">
        <v>44191</v>
      </c>
      <c r="C49" s="16">
        <v>1105800</v>
      </c>
      <c r="D49" s="16">
        <v>1005272.7272727272</v>
      </c>
    </row>
    <row r="50" spans="2:4" x14ac:dyDescent="0.3">
      <c r="B50" s="13">
        <v>44192</v>
      </c>
      <c r="C50" s="16">
        <v>2729475</v>
      </c>
      <c r="D50" s="16">
        <v>2481340.9090909096</v>
      </c>
    </row>
    <row r="51" spans="2:4" x14ac:dyDescent="0.3">
      <c r="B51" s="13">
        <v>44193</v>
      </c>
      <c r="C51" s="16">
        <v>2984405</v>
      </c>
      <c r="D51" s="16">
        <v>2713095.4545454546</v>
      </c>
    </row>
    <row r="52" spans="2:4" x14ac:dyDescent="0.3">
      <c r="B52" s="13">
        <v>44194</v>
      </c>
      <c r="C52" s="16">
        <v>1904845</v>
      </c>
      <c r="D52" s="16">
        <v>1731677.2727272727</v>
      </c>
    </row>
    <row r="53" spans="2:4" x14ac:dyDescent="0.3">
      <c r="B53" s="13">
        <v>44195</v>
      </c>
      <c r="C53" s="16">
        <v>1456190</v>
      </c>
      <c r="D53" s="16">
        <v>1323809.0909090908</v>
      </c>
    </row>
    <row r="54" spans="2:4" x14ac:dyDescent="0.3">
      <c r="B54" s="13">
        <v>44196</v>
      </c>
      <c r="C54" s="16">
        <v>1242930</v>
      </c>
      <c r="D54" s="16">
        <v>1129936.3636363635</v>
      </c>
    </row>
    <row r="55" spans="2:4" x14ac:dyDescent="0.3">
      <c r="B55" s="13">
        <v>44197</v>
      </c>
      <c r="C55" s="16">
        <v>1482315</v>
      </c>
      <c r="D55" s="16">
        <v>1347559.0909090908</v>
      </c>
    </row>
    <row r="56" spans="2:4" x14ac:dyDescent="0.3">
      <c r="B56" s="13">
        <v>44198</v>
      </c>
      <c r="C56" s="16">
        <v>1992640</v>
      </c>
      <c r="D56" s="16">
        <v>1811490.9090909089</v>
      </c>
    </row>
    <row r="57" spans="2:4" x14ac:dyDescent="0.3">
      <c r="B57" s="13">
        <v>44199</v>
      </c>
      <c r="C57" s="16">
        <v>2561125</v>
      </c>
      <c r="D57" s="16">
        <v>2328295.4545454541</v>
      </c>
    </row>
    <row r="58" spans="2:4" x14ac:dyDescent="0.3">
      <c r="B58" s="13">
        <v>44200</v>
      </c>
      <c r="C58" s="16">
        <v>2013140</v>
      </c>
      <c r="D58" s="16">
        <v>1830127.2727272725</v>
      </c>
    </row>
    <row r="59" spans="2:4" x14ac:dyDescent="0.3">
      <c r="B59" s="13">
        <v>44201</v>
      </c>
      <c r="C59" s="16">
        <v>1710500</v>
      </c>
      <c r="D59" s="16">
        <v>1555000.0000000002</v>
      </c>
    </row>
    <row r="60" spans="2:4" x14ac:dyDescent="0.3">
      <c r="B60" s="13">
        <v>44202</v>
      </c>
      <c r="C60" s="16">
        <v>1659335</v>
      </c>
      <c r="D60" s="16">
        <v>1508486.3636363635</v>
      </c>
    </row>
    <row r="61" spans="2:4" x14ac:dyDescent="0.3">
      <c r="B61" s="13">
        <v>44203</v>
      </c>
      <c r="C61" s="16">
        <v>2493470</v>
      </c>
      <c r="D61" s="16">
        <v>2266790.9090909092</v>
      </c>
    </row>
    <row r="62" spans="2:4" x14ac:dyDescent="0.3">
      <c r="B62" s="13">
        <v>44204</v>
      </c>
      <c r="C62" s="16">
        <v>1242025</v>
      </c>
      <c r="D62" s="16">
        <v>1129113.636363636</v>
      </c>
    </row>
    <row r="63" spans="2:4" x14ac:dyDescent="0.3">
      <c r="B63" s="13">
        <v>44205</v>
      </c>
      <c r="C63" s="16">
        <v>1631035</v>
      </c>
      <c r="D63" s="16">
        <v>1482759.0909090908</v>
      </c>
    </row>
    <row r="64" spans="2:4" x14ac:dyDescent="0.3">
      <c r="B64" s="13">
        <v>44206</v>
      </c>
      <c r="C64" s="16">
        <v>2119950</v>
      </c>
      <c r="D64" s="16">
        <v>1927227.2727272727</v>
      </c>
    </row>
    <row r="65" spans="2:4" x14ac:dyDescent="0.3">
      <c r="B65" s="13">
        <v>44207</v>
      </c>
      <c r="C65" s="16">
        <v>2186580</v>
      </c>
      <c r="D65" s="16">
        <v>1987799.9999999995</v>
      </c>
    </row>
    <row r="66" spans="2:4" x14ac:dyDescent="0.3">
      <c r="B66" s="13">
        <v>44208</v>
      </c>
      <c r="C66" s="16">
        <v>26237655</v>
      </c>
      <c r="D66" s="16">
        <v>23852413.636363637</v>
      </c>
    </row>
    <row r="67" spans="2:4" x14ac:dyDescent="0.3">
      <c r="B67" s="13">
        <v>44209</v>
      </c>
      <c r="C67" s="16">
        <v>5581505</v>
      </c>
      <c r="D67" s="16">
        <v>5074095.4545454551</v>
      </c>
    </row>
    <row r="68" spans="2:4" x14ac:dyDescent="0.3">
      <c r="B68" s="13">
        <v>44210</v>
      </c>
      <c r="C68" s="16">
        <v>5646420</v>
      </c>
      <c r="D68" s="16">
        <v>5133109.090909089</v>
      </c>
    </row>
    <row r="69" spans="2:4" x14ac:dyDescent="0.3">
      <c r="B69" s="13">
        <v>44211</v>
      </c>
      <c r="C69" s="16">
        <v>19823471</v>
      </c>
      <c r="D69" s="16">
        <v>18021337.27272727</v>
      </c>
    </row>
    <row r="70" spans="2:4" x14ac:dyDescent="0.3">
      <c r="B70" s="13">
        <v>44212</v>
      </c>
      <c r="C70" s="16">
        <v>4631598</v>
      </c>
      <c r="D70" s="16">
        <v>4210543.6363636367</v>
      </c>
    </row>
    <row r="71" spans="2:4" x14ac:dyDescent="0.3">
      <c r="B71" s="13">
        <v>44213</v>
      </c>
      <c r="C71" s="16">
        <v>2961310</v>
      </c>
      <c r="D71" s="16">
        <v>2692099.9999999995</v>
      </c>
    </row>
    <row r="72" spans="2:4" x14ac:dyDescent="0.3">
      <c r="B72" s="13">
        <v>44214</v>
      </c>
      <c r="C72" s="16">
        <v>10712150</v>
      </c>
      <c r="D72" s="16">
        <v>9738318.1818181816</v>
      </c>
    </row>
    <row r="73" spans="2:4" x14ac:dyDescent="0.3">
      <c r="B73" s="13">
        <v>44215</v>
      </c>
      <c r="C73" s="16">
        <v>13821660</v>
      </c>
      <c r="D73" s="16">
        <v>12565145.454545453</v>
      </c>
    </row>
    <row r="74" spans="2:4" x14ac:dyDescent="0.3">
      <c r="B74" s="13">
        <v>44216</v>
      </c>
      <c r="C74" s="16">
        <v>10169710</v>
      </c>
      <c r="D74" s="16">
        <v>9245190.9090909082</v>
      </c>
    </row>
    <row r="75" spans="2:4" x14ac:dyDescent="0.3">
      <c r="B75" s="13">
        <v>44217</v>
      </c>
      <c r="C75" s="16">
        <v>10271365</v>
      </c>
      <c r="D75" s="16">
        <v>9337604.5454545449</v>
      </c>
    </row>
    <row r="76" spans="2:4" x14ac:dyDescent="0.3">
      <c r="B76" s="13">
        <v>44218</v>
      </c>
      <c r="C76" s="16">
        <v>8520523</v>
      </c>
      <c r="D76" s="16">
        <v>7745929.9999999981</v>
      </c>
    </row>
    <row r="77" spans="2:4" x14ac:dyDescent="0.3">
      <c r="B77" s="13">
        <v>44219</v>
      </c>
      <c r="C77" s="16">
        <v>8191560</v>
      </c>
      <c r="D77" s="16">
        <v>7446872.7272727257</v>
      </c>
    </row>
    <row r="78" spans="2:4" x14ac:dyDescent="0.3">
      <c r="B78" s="13">
        <v>44220</v>
      </c>
      <c r="C78" s="16">
        <v>9104865</v>
      </c>
      <c r="D78" s="16">
        <v>8277149.9999999991</v>
      </c>
    </row>
    <row r="79" spans="2:4" x14ac:dyDescent="0.3">
      <c r="B79" s="13">
        <v>44221</v>
      </c>
      <c r="C79" s="16">
        <v>8835100</v>
      </c>
      <c r="D79" s="16">
        <v>8031909.0909090908</v>
      </c>
    </row>
    <row r="80" spans="2:4" x14ac:dyDescent="0.3">
      <c r="B80" s="13">
        <v>44222</v>
      </c>
      <c r="C80" s="16">
        <v>7928313</v>
      </c>
      <c r="D80" s="16">
        <v>7207557.2727272725</v>
      </c>
    </row>
    <row r="81" spans="2:4" x14ac:dyDescent="0.3">
      <c r="B81" s="13">
        <v>44223</v>
      </c>
      <c r="C81" s="16">
        <v>8016625</v>
      </c>
      <c r="D81" s="16">
        <v>7287840.9090909082</v>
      </c>
    </row>
    <row r="82" spans="2:4" x14ac:dyDescent="0.3">
      <c r="B82" s="13">
        <v>44224</v>
      </c>
      <c r="C82" s="16">
        <v>8516459</v>
      </c>
      <c r="D82" s="16">
        <v>7742235.4545454532</v>
      </c>
    </row>
    <row r="83" spans="2:4" x14ac:dyDescent="0.3">
      <c r="B83" s="13">
        <v>44225</v>
      </c>
      <c r="C83" s="16">
        <v>10357601</v>
      </c>
      <c r="D83" s="16">
        <v>9416000.9090909082</v>
      </c>
    </row>
    <row r="84" spans="2:4" x14ac:dyDescent="0.3">
      <c r="B84" s="13">
        <v>44226</v>
      </c>
      <c r="C84" s="16">
        <v>7128766</v>
      </c>
      <c r="D84" s="16">
        <v>6480696.3636363633</v>
      </c>
    </row>
    <row r="85" spans="2:4" x14ac:dyDescent="0.3">
      <c r="B85" s="13">
        <v>44227</v>
      </c>
      <c r="C85" s="16">
        <v>9035000</v>
      </c>
      <c r="D85" s="16">
        <v>8213636.3636363624</v>
      </c>
    </row>
    <row r="86" spans="2:4" x14ac:dyDescent="0.3">
      <c r="B86" s="13">
        <v>44228</v>
      </c>
      <c r="C86" s="16">
        <v>12289070</v>
      </c>
      <c r="D86" s="16">
        <v>11171881.818181815</v>
      </c>
    </row>
    <row r="87" spans="2:4" x14ac:dyDescent="0.3">
      <c r="B87" s="13">
        <v>44229</v>
      </c>
      <c r="C87" s="16">
        <v>11751710</v>
      </c>
      <c r="D87" s="16">
        <v>10683372.727272727</v>
      </c>
    </row>
    <row r="88" spans="2:4" x14ac:dyDescent="0.3">
      <c r="B88" s="13">
        <v>44230</v>
      </c>
      <c r="C88" s="16">
        <v>8209515</v>
      </c>
      <c r="D88" s="16">
        <v>7463195.4545454541</v>
      </c>
    </row>
    <row r="89" spans="2:4" x14ac:dyDescent="0.3">
      <c r="B89" s="13">
        <v>44231</v>
      </c>
      <c r="C89" s="16">
        <v>7854395</v>
      </c>
      <c r="D89" s="16">
        <v>7140359.0909090899</v>
      </c>
    </row>
    <row r="90" spans="2:4" x14ac:dyDescent="0.3">
      <c r="B90" s="13">
        <v>44232</v>
      </c>
      <c r="C90" s="16">
        <v>6933410</v>
      </c>
      <c r="D90" s="16">
        <v>6303100</v>
      </c>
    </row>
    <row r="91" spans="2:4" x14ac:dyDescent="0.3">
      <c r="B91" s="13">
        <v>44233</v>
      </c>
      <c r="C91" s="16">
        <v>8735630</v>
      </c>
      <c r="D91" s="16">
        <v>7941481.8181818174</v>
      </c>
    </row>
    <row r="92" spans="2:4" x14ac:dyDescent="0.3">
      <c r="B92" s="13">
        <v>44234</v>
      </c>
      <c r="C92" s="16">
        <v>9466870</v>
      </c>
      <c r="D92" s="16">
        <v>8606245.4545454532</v>
      </c>
    </row>
    <row r="93" spans="2:4" x14ac:dyDescent="0.3">
      <c r="B93" s="13">
        <v>44235</v>
      </c>
      <c r="C93" s="16">
        <v>8647770</v>
      </c>
      <c r="D93" s="16">
        <v>7861609.0909090908</v>
      </c>
    </row>
    <row r="94" spans="2:4" x14ac:dyDescent="0.3">
      <c r="B94" s="14" t="s">
        <v>15</v>
      </c>
      <c r="C94" s="16">
        <v>385612712</v>
      </c>
      <c r="D94" s="16">
        <v>350557010.90909082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광고비</vt:lpstr>
      <vt:lpstr>제품별 매출</vt:lpstr>
      <vt:lpstr>RD</vt:lpstr>
      <vt:lpstr>매칭테이블</vt:lpstr>
      <vt:lpstr>피벗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tf</dc:creator>
  <cp:keywords/>
  <dc:description/>
  <cp:lastModifiedBy>선형</cp:lastModifiedBy>
  <cp:revision/>
  <dcterms:created xsi:type="dcterms:W3CDTF">2019-08-29T01:30:10Z</dcterms:created>
  <dcterms:modified xsi:type="dcterms:W3CDTF">2021-02-09T04:09:40Z</dcterms:modified>
  <cp:category/>
  <cp:contentStatus/>
</cp:coreProperties>
</file>